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260" windowWidth="15330" windowHeight="4320" activeTab="1"/>
  </bookViews>
  <sheets>
    <sheet name="Dateneingabe" sheetId="1" r:id="rId1"/>
    <sheet name="Berechnung" sheetId="2" r:id="rId2"/>
    <sheet name="Korrektur" sheetId="3" r:id="rId3"/>
    <sheet name="Hilfe" sheetId="4" r:id="rId4"/>
  </sheets>
  <externalReferences>
    <externalReference r:id="rId7"/>
  </externalReferences>
  <definedNames>
    <definedName name="_xlnm.Print_Area" localSheetId="1">'Berechnung'!$A$1:$I$48</definedName>
    <definedName name="_xlnm.Print_Area" localSheetId="2">'Korrektur'!$A$1:$L$62</definedName>
    <definedName name="_xlnm.Print_Titles" localSheetId="3">'Hilfe'!$1:$4</definedName>
    <definedName name="_xlnm.Print_Titles" localSheetId="2">'Korrektur'!$1:$7</definedName>
  </definedNames>
  <calcPr fullCalcOnLoad="1"/>
</workbook>
</file>

<file path=xl/comments1.xml><?xml version="1.0" encoding="utf-8"?>
<comments xmlns="http://schemas.openxmlformats.org/spreadsheetml/2006/main">
  <authors>
    <author>Wolfgang Harasleben</author>
  </authors>
  <commentList>
    <comment ref="C3" authorId="0">
      <text>
        <r>
          <rPr>
            <sz val="8"/>
            <rFont val="Tahoma"/>
            <family val="2"/>
          </rPr>
          <t xml:space="preserve">Bitte </t>
        </r>
        <r>
          <rPr>
            <b/>
            <sz val="8"/>
            <color indexed="10"/>
            <rFont val="Tahoma"/>
            <family val="2"/>
          </rPr>
          <t>beachte</t>
        </r>
        <r>
          <rPr>
            <sz val="8"/>
            <rFont val="Tahoma"/>
            <family val="2"/>
          </rPr>
          <t>, dass du weder Einheiten noch Dezimalpunkte eingeben darfst!!!</t>
        </r>
      </text>
    </comment>
    <comment ref="C5" authorId="0">
      <text>
        <r>
          <rPr>
            <sz val="8"/>
            <rFont val="Tahoma"/>
            <family val="2"/>
          </rPr>
          <t xml:space="preserve">Bitte </t>
        </r>
        <r>
          <rPr>
            <b/>
            <sz val="8"/>
            <color indexed="10"/>
            <rFont val="Tahoma"/>
            <family val="2"/>
          </rPr>
          <t xml:space="preserve">beachte </t>
        </r>
        <r>
          <rPr>
            <sz val="8"/>
            <rFont val="Tahoma"/>
            <family val="2"/>
          </rPr>
          <t>auch hier</t>
        </r>
        <r>
          <rPr>
            <sz val="8"/>
            <rFont val="Tahoma"/>
            <family val="2"/>
          </rPr>
          <t>, dass du weder Einheiten noch Dezimalpunkte eingeben darfst!!!</t>
        </r>
      </text>
    </comment>
    <comment ref="C7" authorId="0">
      <text>
        <r>
          <rPr>
            <sz val="8"/>
            <rFont val="Tahoma"/>
            <family val="2"/>
          </rPr>
          <t xml:space="preserve">Bitte </t>
        </r>
        <r>
          <rPr>
            <b/>
            <sz val="8"/>
            <color indexed="10"/>
            <rFont val="Tahoma"/>
            <family val="2"/>
          </rPr>
          <t>beachte</t>
        </r>
        <r>
          <rPr>
            <sz val="8"/>
            <rFont val="Tahoma"/>
            <family val="2"/>
          </rPr>
          <t xml:space="preserve"> auch hier, dass du weder Einheiten noch Dezimalpunkte eingeben darfst!!!</t>
        </r>
      </text>
    </comment>
  </commentList>
</comments>
</file>

<file path=xl/comments2.xml><?xml version="1.0" encoding="utf-8"?>
<comments xmlns="http://schemas.openxmlformats.org/spreadsheetml/2006/main">
  <authors>
    <author>Wolfgang Harasleben</author>
  </authors>
  <commentList>
    <comment ref="A1" authorId="0">
      <text>
        <r>
          <rPr>
            <b/>
            <sz val="8"/>
            <rFont val="Tahoma"/>
            <family val="2"/>
          </rPr>
          <t>Tipp:</t>
        </r>
        <r>
          <rPr>
            <sz val="8"/>
            <rFont val="Tahoma"/>
            <family val="2"/>
          </rPr>
          <t xml:space="preserve"> Wenn du die Summenformel benötigst, solltest du folgendermaßen vorgehen:
◙ gib einfach </t>
        </r>
        <r>
          <rPr>
            <b/>
            <sz val="8"/>
            <color indexed="10"/>
            <rFont val="Tahoma"/>
            <family val="2"/>
          </rPr>
          <t>=summe(</t>
        </r>
        <r>
          <rPr>
            <sz val="8"/>
            <rFont val="Tahoma"/>
            <family val="2"/>
          </rPr>
          <t xml:space="preserve"> ein
◙ markiere dann die gewünschten Zellen, z.B. </t>
        </r>
        <r>
          <rPr>
            <b/>
            <sz val="8"/>
            <color indexed="10"/>
            <rFont val="Tahoma"/>
            <family val="2"/>
          </rPr>
          <t>A1:A9</t>
        </r>
        <r>
          <rPr>
            <sz val="8"/>
            <rFont val="Tahoma"/>
            <family val="2"/>
          </rPr>
          <t xml:space="preserve">
◙ und gib zuletzt noch 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2"/>
          </rPr>
          <t xml:space="preserve"> ein.
So sieht dann die komplette Formel aus: </t>
        </r>
        <r>
          <rPr>
            <b/>
            <sz val="8"/>
            <color indexed="10"/>
            <rFont val="Tahoma"/>
            <family val="2"/>
          </rPr>
          <t>=summe(A1:A9)</t>
        </r>
        <r>
          <rPr>
            <sz val="8"/>
            <rFont val="Tahoma"/>
            <family val="2"/>
          </rPr>
          <t xml:space="preserve">
Schließe diesen Vorgang mit Enter ab.</t>
        </r>
      </text>
    </comment>
  </commentList>
</comments>
</file>

<file path=xl/sharedStrings.xml><?xml version="1.0" encoding="utf-8"?>
<sst xmlns="http://schemas.openxmlformats.org/spreadsheetml/2006/main" count="235" uniqueCount="137">
  <si>
    <t>Variable Kosten</t>
  </si>
  <si>
    <t>Rohstoffkosten</t>
  </si>
  <si>
    <t>Verarbeitungskosten</t>
  </si>
  <si>
    <t>Fixkosten</t>
  </si>
  <si>
    <t>Spezialkosten</t>
  </si>
  <si>
    <t>Gemein- und Vermarktungskosten</t>
  </si>
  <si>
    <t>Gewinn- und Risikozuschlag</t>
  </si>
  <si>
    <t>Arbeitskosten</t>
  </si>
  <si>
    <t>Lohnansatz</t>
  </si>
  <si>
    <t>Gemein- und Vermarktungskostenzuschlag</t>
  </si>
  <si>
    <t>der Herstellungskosten</t>
  </si>
  <si>
    <t>der Vollkosten</t>
  </si>
  <si>
    <t>Menge</t>
  </si>
  <si>
    <t>Preis/
Einheit</t>
  </si>
  <si>
    <t>Summe Rohstoffkosten</t>
  </si>
  <si>
    <t>Summe Verarbeitungskosten</t>
  </si>
  <si>
    <t>Summe Arbeitskosten</t>
  </si>
  <si>
    <t>je Akh</t>
  </si>
  <si>
    <t>Summe Fixkosten</t>
  </si>
  <si>
    <t>Sorte:</t>
  </si>
  <si>
    <t>Preisuntergrenze</t>
  </si>
  <si>
    <t>Glasgröße</t>
  </si>
  <si>
    <t>Rohmilch</t>
  </si>
  <si>
    <t>Glas</t>
  </si>
  <si>
    <t>Deckel</t>
  </si>
  <si>
    <t>Jogurtkultur</t>
  </si>
  <si>
    <t>Zucker</t>
  </si>
  <si>
    <t>Strom</t>
  </si>
  <si>
    <t>Herstellungskosten</t>
  </si>
  <si>
    <t>Vollkosten</t>
  </si>
  <si>
    <t>Verkaufserlös</t>
  </si>
  <si>
    <t>Wasser (inkl. Abwasser)</t>
  </si>
  <si>
    <t>Dateneingabe</t>
  </si>
  <si>
    <t>/Jahr</t>
  </si>
  <si>
    <t/>
  </si>
  <si>
    <t>in Gläsern</t>
  </si>
  <si>
    <t>in Litern</t>
  </si>
  <si>
    <t>pro Stk.</t>
  </si>
  <si>
    <t>KOSTEN</t>
  </si>
  <si>
    <t>LEISTUNG</t>
  </si>
  <si>
    <t>Einheit</t>
  </si>
  <si>
    <t>Preis /</t>
  </si>
  <si>
    <t>Eingabefelder:</t>
  </si>
  <si>
    <t>xxx</t>
  </si>
  <si>
    <r>
      <t xml:space="preserve">In diese Felder </t>
    </r>
    <r>
      <rPr>
        <b/>
        <sz val="7"/>
        <color indexed="10"/>
        <rFont val="Arial"/>
        <family val="2"/>
      </rPr>
      <t>musst</t>
    </r>
    <r>
      <rPr>
        <sz val="7"/>
        <rFont val="Arial"/>
        <family val="2"/>
      </rPr>
      <t xml:space="preserve"> du </t>
    </r>
    <r>
      <rPr>
        <b/>
        <sz val="7"/>
        <color indexed="10"/>
        <rFont val="Arial"/>
        <family val="2"/>
      </rPr>
      <t>betriebliche Daten</t>
    </r>
    <r>
      <rPr>
        <sz val="7"/>
        <rFont val="Arial"/>
        <family val="2"/>
      </rPr>
      <t xml:space="preserve"> eingeben!</t>
    </r>
  </si>
  <si>
    <r>
      <t xml:space="preserve">Die hier enthaltenen Daten </t>
    </r>
    <r>
      <rPr>
        <b/>
        <sz val="7"/>
        <color indexed="12"/>
        <rFont val="Arial"/>
        <family val="2"/>
      </rPr>
      <t xml:space="preserve">kannst </t>
    </r>
    <r>
      <rPr>
        <sz val="7"/>
        <rFont val="Arial"/>
        <family val="2"/>
      </rPr>
      <t xml:space="preserve">du in </t>
    </r>
    <r>
      <rPr>
        <b/>
        <sz val="7"/>
        <color indexed="12"/>
        <rFont val="Arial"/>
        <family val="2"/>
      </rPr>
      <t>betriebliche Werte</t>
    </r>
    <r>
      <rPr>
        <sz val="7"/>
        <rFont val="Arial"/>
        <family val="2"/>
      </rPr>
      <t xml:space="preserve"> verändern!</t>
    </r>
  </si>
  <si>
    <r>
      <t xml:space="preserve">Hier </t>
    </r>
    <r>
      <rPr>
        <b/>
        <sz val="7"/>
        <rFont val="Arial"/>
        <family val="2"/>
      </rPr>
      <t>kannst</t>
    </r>
    <r>
      <rPr>
        <sz val="7"/>
        <rFont val="Arial"/>
        <family val="2"/>
      </rPr>
      <t xml:space="preserve"> du die Kalkulation um </t>
    </r>
    <r>
      <rPr>
        <b/>
        <sz val="7"/>
        <rFont val="Arial"/>
        <family val="2"/>
      </rPr>
      <t>betriebsspezifische Werte</t>
    </r>
    <r>
      <rPr>
        <sz val="7"/>
        <rFont val="Arial"/>
        <family val="2"/>
      </rPr>
      <t xml:space="preserve"> ergänzen!</t>
    </r>
  </si>
  <si>
    <t>© Mag. Wolfgang Harasleben</t>
  </si>
  <si>
    <t>Verkaufsmenge</t>
  </si>
  <si>
    <t>pro Woche</t>
  </si>
  <si>
    <t>Preis</t>
  </si>
  <si>
    <t>Sorte</t>
  </si>
  <si>
    <t>/ Stk.</t>
  </si>
  <si>
    <t>/ Kaffeelöffel</t>
  </si>
  <si>
    <t>/ kg</t>
  </si>
  <si>
    <t>/ KWh</t>
  </si>
  <si>
    <t>/ m³</t>
  </si>
  <si>
    <t>Kosten 
pro Glas</t>
  </si>
  <si>
    <t>Menge od. Preis /</t>
  </si>
  <si>
    <t>Hilfe - Formeln, Rechenansätze und Ergebnisse</t>
  </si>
  <si>
    <t>Notizen</t>
  </si>
  <si>
    <t>Bsp.</t>
  </si>
  <si>
    <t>Arbeitszeitbedarf für Herstellung und Abfüllung</t>
  </si>
  <si>
    <t>FK</t>
  </si>
  <si>
    <t>/ Jahr</t>
  </si>
  <si>
    <t>unabhängige Ergebnisse</t>
  </si>
  <si>
    <t>abhängige Ergebnisse (werden wenn die Formel korrekt ist, als Folgefehler mit 0,5 Punkten bewertet)</t>
  </si>
  <si>
    <t>Ergebnis</t>
  </si>
  <si>
    <t>Formel-
prüfung</t>
  </si>
  <si>
    <t>Deine Be-rechnung</t>
  </si>
  <si>
    <t>Punkte</t>
  </si>
  <si>
    <t>1. Milchleistung</t>
  </si>
  <si>
    <t>│</t>
  </si>
  <si>
    <t>2.</t>
  </si>
  <si>
    <t>3.</t>
  </si>
  <si>
    <t>4.</t>
  </si>
  <si>
    <t>5.</t>
  </si>
  <si>
    <t>6.</t>
  </si>
  <si>
    <t>Gesamtpunktezahl</t>
  </si>
  <si>
    <t>Note</t>
  </si>
  <si>
    <t>Abstufung:</t>
  </si>
  <si>
    <t>Korrekturblatt zur Vollkostenrechnung</t>
  </si>
  <si>
    <t>pro lt</t>
  </si>
  <si>
    <t>Kühlschrank und Geschirrspüler</t>
  </si>
  <si>
    <t>Verarbeitungsraum (anteilig)</t>
  </si>
  <si>
    <t>Pasteur (anteilig)</t>
  </si>
  <si>
    <t>Nr.</t>
  </si>
  <si>
    <t>Sorten</t>
  </si>
  <si>
    <t>Zutaten</t>
  </si>
  <si>
    <t>1.</t>
  </si>
  <si>
    <t>Apfel</t>
  </si>
  <si>
    <t>Banane</t>
  </si>
  <si>
    <t>Birnen</t>
  </si>
  <si>
    <t>Blaubeer</t>
  </si>
  <si>
    <t>Butterkeks</t>
  </si>
  <si>
    <t>Erdbeer</t>
  </si>
  <si>
    <t>7.</t>
  </si>
  <si>
    <t>Heidelbeer</t>
  </si>
  <si>
    <t>8.</t>
  </si>
  <si>
    <t>Himbeer</t>
  </si>
  <si>
    <t>9.</t>
  </si>
  <si>
    <t>Johannisbeer</t>
  </si>
  <si>
    <t>10.</t>
  </si>
  <si>
    <t>Kaffee</t>
  </si>
  <si>
    <t>11.</t>
  </si>
  <si>
    <t>Kakao</t>
  </si>
  <si>
    <t>12.</t>
  </si>
  <si>
    <t>Kirsch</t>
  </si>
  <si>
    <t>13.</t>
  </si>
  <si>
    <t>Marille</t>
  </si>
  <si>
    <t>14.</t>
  </si>
  <si>
    <t>Moosbeer</t>
  </si>
  <si>
    <t>15.</t>
  </si>
  <si>
    <t>Müsli</t>
  </si>
  <si>
    <t>16.</t>
  </si>
  <si>
    <t>Natur</t>
  </si>
  <si>
    <t>17.</t>
  </si>
  <si>
    <t>Orangen</t>
  </si>
  <si>
    <t>18.</t>
  </si>
  <si>
    <t>Pfirsich</t>
  </si>
  <si>
    <t>19.</t>
  </si>
  <si>
    <t>Pflaumen</t>
  </si>
  <si>
    <t>20.</t>
  </si>
  <si>
    <t>Schoko</t>
  </si>
  <si>
    <t>21.</t>
  </si>
  <si>
    <t>Stracciatella</t>
  </si>
  <si>
    <t>22.</t>
  </si>
  <si>
    <t>Tiramisú</t>
  </si>
  <si>
    <t>23.</t>
  </si>
  <si>
    <t>Trauben</t>
  </si>
  <si>
    <t>24.</t>
  </si>
  <si>
    <t>Vanille</t>
  </si>
  <si>
    <t>25.</t>
  </si>
  <si>
    <t>Zwetschken</t>
  </si>
  <si>
    <t>Jogurt</t>
  </si>
  <si>
    <t>Kirsch-Jogurt</t>
  </si>
  <si>
    <t>2014.01.25.171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</si>
</sst>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#,##0.00\ &quot;€&quot;"/>
    <numFmt numFmtId="169" formatCode="0.0\ &quot;AKh&quot;"/>
    <numFmt numFmtId="170" formatCode="0.00\ &quot;L Alkohol&quot;"/>
    <numFmt numFmtId="171" formatCode="&quot;je&quot;\ 0\ &quot;kg Obst&quot;"/>
    <numFmt numFmtId="172" formatCode="0\ &quot;kg&quot;"/>
    <numFmt numFmtId="173" formatCode="#,##0\ &quot;Stk.&quot;"/>
    <numFmt numFmtId="174" formatCode="&quot;pro Glas&quot;"/>
    <numFmt numFmtId="175" formatCode="0\ &quot;Gläser&quot;"/>
    <numFmt numFmtId="176" formatCode="#,##0\ &quot;L&quot;"/>
    <numFmt numFmtId="177" formatCode="#,##0\ &quot;Kaffeelöffel&quot;"/>
    <numFmt numFmtId="178" formatCode="#,##0.000\ &quot;€&quot;"/>
    <numFmt numFmtId="179" formatCode="0.00\ &quot;kg&quot;"/>
    <numFmt numFmtId="180" formatCode="0\ &quot;KWh&quot;"/>
    <numFmt numFmtId="181" formatCode="0.0\ &quot;m³&quot;"/>
    <numFmt numFmtId="182" formatCode="0.00\ &quot;h&quot;"/>
    <numFmt numFmtId="183" formatCode="#,##0.00\ &quot;AKh&quot;"/>
    <numFmt numFmtId="184" formatCode="&quot;Vollkostenrechnung &quot;0"/>
    <numFmt numFmtId="185" formatCode="#,##0.00\ &quot;€/Woche&quot;"/>
    <numFmt numFmtId="186" formatCode="&quot;Pro Glas&quot;"/>
    <numFmt numFmtId="187" formatCode="#,##0.00\ &quot;€/Glas&quot;"/>
    <numFmt numFmtId="188" formatCode="##,##0.00\ &quot;€/Glas&quot;"/>
    <numFmt numFmtId="189" formatCode="0.00\ &quot;lt&quot;"/>
    <numFmt numFmtId="190" formatCode="0.0#\ &quot;lt&quot;"/>
    <numFmt numFmtId="191" formatCode="#,##0.0#\ &quot;lt&quot;"/>
    <numFmt numFmtId="192" formatCode="#,##0.00\ &quot;Kaffeelöffel&quot;"/>
    <numFmt numFmtId="193" formatCode="#,##0.00\ &quot;kg&quot;"/>
    <numFmt numFmtId="194" formatCode="#,##0\ &quot;KWh&quot;"/>
    <numFmt numFmtId="195" formatCode="#,##0\ &quot;m³&quot;"/>
    <numFmt numFmtId="196" formatCode="#,##0.0#\ %"/>
    <numFmt numFmtId="197" formatCode="&quot;Glas&quot;"/>
    <numFmt numFmtId="198" formatCode="0.0#\ %"/>
    <numFmt numFmtId="199" formatCode="0.0"/>
    <numFmt numFmtId="200" formatCode="&quot;Ergebnis in Prozent:&quot;\ 0\ %"/>
    <numFmt numFmtId="201" formatCode="0\ &quot;bis&quot;"/>
    <numFmt numFmtId="202" formatCode="&quot;oder&quot;\ 0\ &quot;Punkte&quot;"/>
    <numFmt numFmtId="203" formatCode="#,##0.00\ &quot;€ Gewinn/Woche&quot;;\-#,##0.00\ &quot;€ Verlust/Woche&quot;"/>
    <numFmt numFmtId="204" formatCode="&quot;Version&quot;\ @"/>
  </numFmts>
  <fonts count="77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9"/>
      <name val="Arial Black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color indexed="9"/>
      <name val="Arial Black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4"/>
      <color indexed="9"/>
      <name val="Arial Black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12"/>
      <color indexed="42"/>
      <name val="Arial Black"/>
      <family val="2"/>
    </font>
    <font>
      <sz val="8"/>
      <color indexed="50"/>
      <name val="Arial Black"/>
      <family val="2"/>
    </font>
    <font>
      <sz val="8"/>
      <color indexed="9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</font>
    <font>
      <sz val="10"/>
      <name val="Arial Black"/>
      <family val="2"/>
    </font>
    <font>
      <sz val="10"/>
      <color indexed="42"/>
      <name val="Arial Black"/>
      <family val="2"/>
    </font>
    <font>
      <sz val="14"/>
      <name val="Arial Black"/>
      <family val="2"/>
    </font>
    <font>
      <b/>
      <sz val="18"/>
      <name val="Wingdings 2"/>
      <family val="1"/>
    </font>
    <font>
      <b/>
      <sz val="18"/>
      <color indexed="10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b/>
      <sz val="10"/>
      <color indexed="9"/>
      <name val="Arial"/>
      <family val="2"/>
    </font>
    <font>
      <b/>
      <i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Black"/>
      <family val="2"/>
    </font>
    <font>
      <b/>
      <sz val="8"/>
      <color indexed="9"/>
      <name val="Wingdings 3"/>
      <family val="1"/>
    </font>
    <font>
      <b/>
      <sz val="9.6"/>
      <color indexed="9"/>
      <name val="Arial"/>
      <family val="2"/>
    </font>
    <font>
      <b/>
      <sz val="10"/>
      <color indexed="9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8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2" fillId="0" borderId="0" applyFont="0" applyAlignment="0">
      <protection hidden="1"/>
    </xf>
    <xf numFmtId="0" fontId="5" fillId="0" borderId="0">
      <alignment horizontal="left" vertical="center" indent="1"/>
      <protection hidden="1"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27" borderId="3">
      <alignment horizontal="left" vertical="center" wrapText="1"/>
      <protection hidden="1"/>
    </xf>
    <xf numFmtId="0" fontId="0" fillId="0" borderId="0">
      <alignment/>
      <protection hidden="1"/>
    </xf>
    <xf numFmtId="0" fontId="63" fillId="28" borderId="2" applyNumberFormat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3" borderId="10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 indent="1"/>
      <protection hidden="1"/>
    </xf>
    <xf numFmtId="191" fontId="9" fillId="27" borderId="3" xfId="43" applyNumberFormat="1" applyFont="1" applyFill="1" applyBorder="1" applyAlignment="1" applyProtection="1">
      <alignment horizontal="center" vertical="center"/>
      <protection locked="0"/>
    </xf>
    <xf numFmtId="168" fontId="9" fillId="27" borderId="3" xfId="0" applyNumberFormat="1" applyFont="1" applyFill="1" applyBorder="1" applyAlignment="1" applyProtection="1">
      <alignment horizontal="center" vertical="center"/>
      <protection locked="0"/>
    </xf>
    <xf numFmtId="168" fontId="9" fillId="27" borderId="3" xfId="0" applyNumberFormat="1" applyFont="1" applyFill="1" applyBorder="1" applyAlignment="1" applyProtection="1">
      <alignment horizontal="right" vertical="center"/>
      <protection locked="0"/>
    </xf>
    <xf numFmtId="183" fontId="9" fillId="27" borderId="3" xfId="0" applyNumberFormat="1" applyFont="1" applyFill="1" applyBorder="1" applyAlignment="1" applyProtection="1">
      <alignment horizontal="right" vertical="center"/>
      <protection locked="0"/>
    </xf>
    <xf numFmtId="3" fontId="17" fillId="35" borderId="3" xfId="43" applyNumberFormat="1" applyFont="1" applyFill="1" applyBorder="1" applyAlignment="1" applyProtection="1">
      <alignment horizontal="left" vertical="center"/>
      <protection locked="0"/>
    </xf>
    <xf numFmtId="192" fontId="9" fillId="27" borderId="3" xfId="0" applyNumberFormat="1" applyFont="1" applyFill="1" applyBorder="1" applyAlignment="1" applyProtection="1">
      <alignment horizontal="right" vertical="center"/>
      <protection locked="0"/>
    </xf>
    <xf numFmtId="193" fontId="9" fillId="27" borderId="3" xfId="0" applyNumberFormat="1" applyFont="1" applyFill="1" applyBorder="1" applyAlignment="1" applyProtection="1">
      <alignment horizontal="right" vertical="center"/>
      <protection locked="0"/>
    </xf>
    <xf numFmtId="194" fontId="9" fillId="27" borderId="3" xfId="0" applyNumberFormat="1" applyFont="1" applyFill="1" applyBorder="1" applyAlignment="1" applyProtection="1">
      <alignment horizontal="right" vertical="center"/>
      <protection locked="0"/>
    </xf>
    <xf numFmtId="195" fontId="9" fillId="27" borderId="3" xfId="0" applyNumberFormat="1" applyFont="1" applyFill="1" applyBorder="1" applyAlignment="1" applyProtection="1">
      <alignment horizontal="right" vertical="center"/>
      <protection locked="0"/>
    </xf>
    <xf numFmtId="196" fontId="9" fillId="27" borderId="3" xfId="0" applyNumberFormat="1" applyFont="1" applyFill="1" applyBorder="1" applyAlignment="1" applyProtection="1">
      <alignment horizontal="right" vertical="center"/>
      <protection locked="0"/>
    </xf>
    <xf numFmtId="168" fontId="9" fillId="35" borderId="3" xfId="0" applyNumberFormat="1" applyFont="1" applyFill="1" applyBorder="1" applyAlignment="1" applyProtection="1">
      <alignment horizontal="center" vertical="center"/>
      <protection locked="0"/>
    </xf>
    <xf numFmtId="0" fontId="17" fillId="35" borderId="3" xfId="0" applyNumberFormat="1" applyFont="1" applyFill="1" applyBorder="1" applyAlignment="1" applyProtection="1">
      <alignment horizontal="left" vertical="center"/>
      <protection locked="0"/>
    </xf>
    <xf numFmtId="0" fontId="17" fillId="35" borderId="3" xfId="43" applyNumberFormat="1" applyFont="1" applyFill="1" applyBorder="1" applyAlignment="1" applyProtection="1">
      <alignment horizontal="left" vertical="center"/>
      <protection locked="0"/>
    </xf>
    <xf numFmtId="0" fontId="16" fillId="36" borderId="11" xfId="0" applyFont="1" applyFill="1" applyBorder="1" applyAlignment="1" applyProtection="1">
      <alignment vertical="center"/>
      <protection hidden="1"/>
    </xf>
    <xf numFmtId="0" fontId="16" fillId="36" borderId="12" xfId="0" applyFont="1" applyFill="1" applyBorder="1" applyAlignment="1" applyProtection="1">
      <alignment/>
      <protection hidden="1"/>
    </xf>
    <xf numFmtId="0" fontId="16" fillId="36" borderId="13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 wrapText="1"/>
      <protection hidden="1"/>
    </xf>
    <xf numFmtId="0" fontId="6" fillId="34" borderId="0" xfId="0" applyFont="1" applyFill="1" applyAlignment="1" applyProtection="1" quotePrefix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38" borderId="0" xfId="0" applyFont="1" applyFill="1" applyAlignment="1" applyProtection="1">
      <alignment/>
      <protection hidden="1"/>
    </xf>
    <xf numFmtId="0" fontId="23" fillId="39" borderId="0" xfId="0" applyFont="1" applyFill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2" fillId="39" borderId="0" xfId="0" applyFont="1" applyFill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/>
      <protection hidden="1"/>
    </xf>
    <xf numFmtId="4" fontId="1" fillId="38" borderId="14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4" fontId="3" fillId="0" borderId="14" xfId="0" applyNumberFormat="1" applyFont="1" applyBorder="1" applyAlignment="1" applyProtection="1">
      <alignment/>
      <protection hidden="1"/>
    </xf>
    <xf numFmtId="0" fontId="23" fillId="39" borderId="0" xfId="0" applyFont="1" applyFill="1" applyAlignment="1" applyProtection="1">
      <alignment horizontal="center"/>
      <protection hidden="1"/>
    </xf>
    <xf numFmtId="0" fontId="23" fillId="39" borderId="15" xfId="0" applyNumberFormat="1" applyFont="1" applyFill="1" applyBorder="1" applyAlignment="1" applyProtection="1">
      <alignment horizontal="center"/>
      <protection hidden="1"/>
    </xf>
    <xf numFmtId="4" fontId="1" fillId="38" borderId="0" xfId="0" applyNumberFormat="1" applyFont="1" applyFill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/>
      <protection hidden="1"/>
    </xf>
    <xf numFmtId="0" fontId="23" fillId="39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" fontId="1" fillId="37" borderId="14" xfId="0" applyNumberFormat="1" applyFont="1" applyFill="1" applyBorder="1" applyAlignment="1" applyProtection="1">
      <alignment/>
      <protection hidden="1"/>
    </xf>
    <xf numFmtId="4" fontId="1" fillId="40" borderId="0" xfId="0" applyNumberFormat="1" applyFont="1" applyFill="1" applyBorder="1" applyAlignment="1" applyProtection="1">
      <alignment/>
      <protection hidden="1"/>
    </xf>
    <xf numFmtId="4" fontId="3" fillId="37" borderId="14" xfId="0" applyNumberFormat="1" applyFont="1" applyFill="1" applyBorder="1" applyAlignment="1" applyProtection="1">
      <alignment/>
      <protection hidden="1"/>
    </xf>
    <xf numFmtId="0" fontId="24" fillId="40" borderId="0" xfId="0" applyFont="1" applyFill="1" applyAlignment="1" applyProtection="1">
      <alignment vertical="top"/>
      <protection hidden="1"/>
    </xf>
    <xf numFmtId="0" fontId="24" fillId="40" borderId="0" xfId="0" applyFont="1" applyFill="1" applyAlignment="1" applyProtection="1">
      <alignment wrapText="1"/>
      <protection hidden="1"/>
    </xf>
    <xf numFmtId="0" fontId="25" fillId="40" borderId="0" xfId="0" applyFont="1" applyFill="1" applyAlignment="1" applyProtection="1">
      <alignment wrapText="1"/>
      <protection hidden="1"/>
    </xf>
    <xf numFmtId="199" fontId="24" fillId="40" borderId="0" xfId="0" applyNumberFormat="1" applyFont="1" applyFill="1" applyAlignment="1" applyProtection="1">
      <alignment horizontal="left" wrapText="1"/>
      <protection hidden="1"/>
    </xf>
    <xf numFmtId="199" fontId="24" fillId="40" borderId="0" xfId="0" applyNumberFormat="1" applyFont="1" applyFill="1" applyAlignment="1" applyProtection="1">
      <alignment horizontal="right" wrapText="1"/>
      <protection hidden="1"/>
    </xf>
    <xf numFmtId="0" fontId="2" fillId="40" borderId="0" xfId="0" applyFont="1" applyFill="1" applyAlignment="1" applyProtection="1">
      <alignment horizontal="center"/>
      <protection hidden="1"/>
    </xf>
    <xf numFmtId="0" fontId="0" fillId="40" borderId="15" xfId="0" applyFill="1" applyBorder="1" applyAlignment="1" applyProtection="1">
      <alignment/>
      <protection hidden="1"/>
    </xf>
    <xf numFmtId="0" fontId="1" fillId="40" borderId="15" xfId="0" applyFont="1" applyFill="1" applyBorder="1" applyAlignment="1" applyProtection="1">
      <alignment/>
      <protection hidden="1"/>
    </xf>
    <xf numFmtId="0" fontId="23" fillId="40" borderId="15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200" fontId="0" fillId="34" borderId="0" xfId="0" applyNumberFormat="1" applyFill="1" applyAlignment="1" applyProtection="1">
      <alignment horizontal="left"/>
      <protection hidden="1"/>
    </xf>
    <xf numFmtId="200" fontId="0" fillId="0" borderId="0" xfId="0" applyNumberFormat="1" applyAlignment="1" applyProtection="1">
      <alignment horizontal="left"/>
      <protection hidden="1"/>
    </xf>
    <xf numFmtId="9" fontId="0" fillId="0" borderId="0" xfId="0" applyNumberFormat="1" applyAlignment="1" applyProtection="1">
      <alignment/>
      <protection hidden="1"/>
    </xf>
    <xf numFmtId="201" fontId="2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right"/>
      <protection hidden="1"/>
    </xf>
    <xf numFmtId="9" fontId="30" fillId="0" borderId="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84" fontId="16" fillId="41" borderId="0" xfId="55" applyNumberFormat="1" applyFont="1" applyFill="1" applyBorder="1" applyAlignment="1" applyProtection="1">
      <alignment horizontal="left" vertical="center"/>
      <protection hidden="1"/>
    </xf>
    <xf numFmtId="184" fontId="4" fillId="41" borderId="0" xfId="55" applyNumberFormat="1" applyFont="1" applyFill="1" applyBorder="1" applyAlignment="1" applyProtection="1">
      <alignment horizontal="left" vertical="center"/>
      <protection hidden="1"/>
    </xf>
    <xf numFmtId="184" fontId="4" fillId="41" borderId="0" xfId="55" applyNumberFormat="1" applyFont="1" applyFill="1" applyBorder="1" applyAlignment="1" applyProtection="1">
      <alignment horizontal="right" vertical="center"/>
      <protection hidden="1"/>
    </xf>
    <xf numFmtId="0" fontId="1" fillId="41" borderId="0" xfId="55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0" fillId="0" borderId="0" xfId="46" applyProtection="1">
      <alignment/>
      <protection hidden="1"/>
    </xf>
    <xf numFmtId="0" fontId="5" fillId="0" borderId="0" xfId="42" applyProtection="1">
      <alignment horizontal="left" vertical="center" indent="1"/>
      <protection hidden="1"/>
    </xf>
    <xf numFmtId="0" fontId="6" fillId="27" borderId="3" xfId="45" applyFont="1" applyAlignment="1" applyProtection="1">
      <alignment horizontal="center" vertical="center" wrapText="1"/>
      <protection hidden="1"/>
    </xf>
    <xf numFmtId="0" fontId="10" fillId="0" borderId="0" xfId="46" applyFont="1" applyAlignment="1" applyProtection="1">
      <alignment horizontal="left" indent="1"/>
      <protection hidden="1"/>
    </xf>
    <xf numFmtId="0" fontId="12" fillId="35" borderId="3" xfId="45" applyFont="1" applyFill="1" applyAlignment="1" applyProtection="1">
      <alignment horizontal="center" vertical="center" wrapText="1"/>
      <protection hidden="1"/>
    </xf>
    <xf numFmtId="0" fontId="5" fillId="42" borderId="3" xfId="45" applyFont="1" applyFill="1" applyAlignment="1" applyProtection="1">
      <alignment horizontal="center" vertical="center" wrapText="1"/>
      <protection hidden="1"/>
    </xf>
    <xf numFmtId="0" fontId="0" fillId="34" borderId="0" xfId="46" applyFill="1" applyProtection="1">
      <alignment/>
      <protection hidden="1"/>
    </xf>
    <xf numFmtId="0" fontId="1" fillId="34" borderId="0" xfId="55" applyFont="1" applyFill="1" applyBorder="1" applyAlignment="1" applyProtection="1">
      <alignment vertical="center"/>
      <protection hidden="1"/>
    </xf>
    <xf numFmtId="0" fontId="5" fillId="34" borderId="0" xfId="55" applyFont="1" applyFill="1" applyBorder="1" applyAlignment="1" applyProtection="1">
      <alignment vertical="center"/>
      <protection hidden="1"/>
    </xf>
    <xf numFmtId="0" fontId="6" fillId="34" borderId="0" xfId="55" applyFont="1" applyFill="1" applyBorder="1" applyAlignment="1" applyProtection="1">
      <alignment vertical="center"/>
      <protection hidden="1"/>
    </xf>
    <xf numFmtId="0" fontId="6" fillId="34" borderId="0" xfId="55" applyFont="1" applyFill="1" applyBorder="1" applyAlignment="1" applyProtection="1">
      <alignment horizontal="right" vertical="center"/>
      <protection hidden="1"/>
    </xf>
    <xf numFmtId="174" fontId="1" fillId="34" borderId="0" xfId="53" applyNumberFormat="1" applyFont="1" applyFill="1" applyBorder="1" applyAlignment="1" applyProtection="1">
      <alignment horizontal="left" vertical="center"/>
      <protection hidden="1"/>
    </xf>
    <xf numFmtId="170" fontId="1" fillId="34" borderId="0" xfId="53" applyNumberFormat="1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3" fontId="9" fillId="34" borderId="0" xfId="43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5" fillId="34" borderId="0" xfId="55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172" fontId="5" fillId="34" borderId="0" xfId="55" applyNumberFormat="1" applyFont="1" applyFill="1" applyBorder="1" applyAlignment="1" applyProtection="1">
      <alignment horizontal="center" vertical="center"/>
      <protection hidden="1"/>
    </xf>
    <xf numFmtId="168" fontId="6" fillId="34" borderId="0" xfId="55" applyNumberFormat="1" applyFont="1" applyFill="1" applyBorder="1" applyAlignment="1" applyProtection="1">
      <alignment vertical="center"/>
      <protection hidden="1"/>
    </xf>
    <xf numFmtId="0" fontId="5" fillId="34" borderId="0" xfId="55" applyFont="1" applyFill="1" applyBorder="1" applyAlignment="1" applyProtection="1">
      <alignment horizontal="center" vertical="center"/>
      <protection hidden="1"/>
    </xf>
    <xf numFmtId="0" fontId="5" fillId="34" borderId="0" xfId="55" applyFont="1" applyFill="1" applyBorder="1" applyAlignment="1" applyProtection="1">
      <alignment horizontal="center" vertical="center" wrapText="1"/>
      <protection hidden="1"/>
    </xf>
    <xf numFmtId="173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9" fillId="34" borderId="0" xfId="43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3" fontId="9" fillId="34" borderId="0" xfId="43" applyNumberFormat="1" applyFont="1" applyFill="1" applyBorder="1" applyAlignment="1" applyProtection="1">
      <alignment horizontal="right" vertical="center"/>
      <protection hidden="1"/>
    </xf>
    <xf numFmtId="0" fontId="1" fillId="34" borderId="0" xfId="55" applyFont="1" applyFill="1" applyBorder="1" applyAlignment="1" applyProtection="1">
      <alignment horizontal="right" vertical="center"/>
      <protection hidden="1"/>
    </xf>
    <xf numFmtId="169" fontId="1" fillId="34" borderId="0" xfId="0" applyNumberFormat="1" applyFont="1" applyFill="1" applyBorder="1" applyAlignment="1" applyProtection="1">
      <alignment vertical="center"/>
      <protection hidden="1"/>
    </xf>
    <xf numFmtId="0" fontId="12" fillId="0" borderId="0" xfId="41" applyFont="1" applyAlignment="1" applyProtection="1">
      <alignment vertical="center"/>
      <protection hidden="1"/>
    </xf>
    <xf numFmtId="0" fontId="0" fillId="0" borderId="0" xfId="41" applyFont="1" applyAlignment="1" applyProtection="1">
      <alignment/>
      <protection hidden="1"/>
    </xf>
    <xf numFmtId="0" fontId="0" fillId="34" borderId="0" xfId="41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55" applyFont="1" applyBorder="1" applyProtection="1">
      <alignment/>
      <protection hidden="1"/>
    </xf>
    <xf numFmtId="0" fontId="1" fillId="0" borderId="0" xfId="55" applyFont="1" applyBorder="1" applyAlignment="1" applyProtection="1">
      <alignment vertical="center"/>
      <protection hidden="1"/>
    </xf>
    <xf numFmtId="0" fontId="5" fillId="43" borderId="0" xfId="55" applyFont="1" applyFill="1" applyBorder="1" applyAlignment="1" applyProtection="1">
      <alignment vertical="center"/>
      <protection hidden="1"/>
    </xf>
    <xf numFmtId="0" fontId="5" fillId="0" borderId="16" xfId="55" applyFont="1" applyFill="1" applyBorder="1" applyAlignment="1" applyProtection="1">
      <alignment horizontal="left" vertical="center" indent="1"/>
      <protection hidden="1"/>
    </xf>
    <xf numFmtId="0" fontId="6" fillId="0" borderId="17" xfId="55" applyFont="1" applyFill="1" applyBorder="1" applyAlignment="1" applyProtection="1">
      <alignment vertical="center"/>
      <protection hidden="1"/>
    </xf>
    <xf numFmtId="0" fontId="6" fillId="0" borderId="18" xfId="55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" fontId="1" fillId="0" borderId="0" xfId="55" applyNumberFormat="1" applyFont="1" applyBorder="1" applyAlignment="1" applyProtection="1">
      <alignment vertical="center"/>
      <protection hidden="1"/>
    </xf>
    <xf numFmtId="0" fontId="1" fillId="43" borderId="0" xfId="55" applyFont="1" applyFill="1" applyBorder="1" applyAlignment="1" applyProtection="1">
      <alignment vertical="center"/>
      <protection hidden="1"/>
    </xf>
    <xf numFmtId="0" fontId="5" fillId="43" borderId="0" xfId="55" applyFont="1" applyFill="1" applyBorder="1" applyAlignment="1" applyProtection="1">
      <alignment horizontal="center" vertical="center"/>
      <protection hidden="1"/>
    </xf>
    <xf numFmtId="186" fontId="5" fillId="43" borderId="0" xfId="55" applyNumberFormat="1" applyFont="1" applyFill="1" applyBorder="1" applyAlignment="1" applyProtection="1">
      <alignment horizontal="center" vertical="center"/>
      <protection hidden="1"/>
    </xf>
    <xf numFmtId="0" fontId="1" fillId="39" borderId="0" xfId="55" applyFont="1" applyFill="1" applyBorder="1" applyAlignment="1" applyProtection="1">
      <alignment vertical="center"/>
      <protection hidden="1"/>
    </xf>
    <xf numFmtId="0" fontId="1" fillId="39" borderId="0" xfId="55" applyFont="1" applyFill="1" applyBorder="1" applyAlignment="1" applyProtection="1">
      <alignment horizontal="center" vertical="center"/>
      <protection hidden="1"/>
    </xf>
    <xf numFmtId="170" fontId="1" fillId="39" borderId="0" xfId="53" applyNumberFormat="1" applyFont="1" applyFill="1" applyBorder="1" applyAlignment="1" applyProtection="1">
      <alignment vertical="center"/>
      <protection hidden="1"/>
    </xf>
    <xf numFmtId="190" fontId="1" fillId="0" borderId="19" xfId="55" applyNumberFormat="1" applyFont="1" applyFill="1" applyBorder="1" applyAlignment="1" applyProtection="1">
      <alignment vertical="center"/>
      <protection hidden="1"/>
    </xf>
    <xf numFmtId="188" fontId="1" fillId="0" borderId="20" xfId="55" applyNumberFormat="1" applyFont="1" applyFill="1" applyBorder="1" applyAlignment="1" applyProtection="1">
      <alignment vertical="center"/>
      <protection hidden="1"/>
    </xf>
    <xf numFmtId="0" fontId="5" fillId="44" borderId="0" xfId="55" applyFont="1" applyFill="1" applyBorder="1" applyAlignment="1" applyProtection="1">
      <alignment vertical="center"/>
      <protection hidden="1"/>
    </xf>
    <xf numFmtId="0" fontId="5" fillId="0" borderId="0" xfId="55" applyFont="1" applyFill="1" applyBorder="1" applyAlignment="1" applyProtection="1">
      <alignment vertical="center"/>
      <protection hidden="1"/>
    </xf>
    <xf numFmtId="0" fontId="1" fillId="43" borderId="0" xfId="55" applyFont="1" applyFill="1" applyBorder="1" applyAlignment="1" applyProtection="1">
      <alignment vertical="center"/>
      <protection hidden="1"/>
    </xf>
    <xf numFmtId="0" fontId="5" fillId="43" borderId="0" xfId="55" applyFont="1" applyFill="1" applyBorder="1" applyAlignment="1" applyProtection="1">
      <alignment horizontal="center" vertical="center" wrapText="1"/>
      <protection hidden="1"/>
    </xf>
    <xf numFmtId="0" fontId="8" fillId="43" borderId="0" xfId="55" applyFont="1" applyFill="1" applyBorder="1" applyAlignment="1" applyProtection="1">
      <alignment horizontal="center" vertical="center"/>
      <protection hidden="1"/>
    </xf>
    <xf numFmtId="176" fontId="1" fillId="0" borderId="19" xfId="55" applyNumberFormat="1" applyFont="1" applyFill="1" applyBorder="1" applyAlignment="1" applyProtection="1">
      <alignment vertical="center"/>
      <protection hidden="1"/>
    </xf>
    <xf numFmtId="168" fontId="1" fillId="0" borderId="16" xfId="55" applyNumberFormat="1" applyFont="1" applyFill="1" applyBorder="1" applyAlignment="1" applyProtection="1">
      <alignment vertical="center"/>
      <protection hidden="1"/>
    </xf>
    <xf numFmtId="168" fontId="1" fillId="0" borderId="17" xfId="55" applyNumberFormat="1" applyFont="1" applyFill="1" applyBorder="1" applyAlignment="1" applyProtection="1">
      <alignment vertical="center"/>
      <protection hidden="1"/>
    </xf>
    <xf numFmtId="168" fontId="1" fillId="38" borderId="2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45" borderId="0" xfId="55" applyFont="1" applyFill="1" applyBorder="1" applyAlignment="1" applyProtection="1">
      <alignment vertical="center"/>
      <protection hidden="1"/>
    </xf>
    <xf numFmtId="172" fontId="5" fillId="45" borderId="0" xfId="55" applyNumberFormat="1" applyFont="1" applyFill="1" applyBorder="1" applyAlignment="1" applyProtection="1">
      <alignment horizontal="center" vertical="center"/>
      <protection hidden="1"/>
    </xf>
    <xf numFmtId="168" fontId="6" fillId="45" borderId="0" xfId="55" applyNumberFormat="1" applyFont="1" applyFill="1" applyBorder="1" applyAlignment="1" applyProtection="1">
      <alignment vertical="center"/>
      <protection hidden="1"/>
    </xf>
    <xf numFmtId="168" fontId="5" fillId="37" borderId="21" xfId="55" applyNumberFormat="1" applyFont="1" applyFill="1" applyBorder="1" applyAlignment="1" applyProtection="1">
      <alignment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8" fillId="43" borderId="0" xfId="55" applyFont="1" applyFill="1" applyBorder="1" applyAlignment="1" applyProtection="1">
      <alignment horizontal="right" vertical="center"/>
      <protection hidden="1"/>
    </xf>
    <xf numFmtId="0" fontId="8" fillId="43" borderId="0" xfId="55" applyFont="1" applyFill="1" applyBorder="1" applyAlignment="1" applyProtection="1">
      <alignment horizontal="left" vertical="center"/>
      <protection hidden="1"/>
    </xf>
    <xf numFmtId="173" fontId="1" fillId="0" borderId="19" xfId="0" applyNumberFormat="1" applyFont="1" applyFill="1" applyBorder="1" applyAlignment="1" applyProtection="1">
      <alignment vertical="center"/>
      <protection hidden="1"/>
    </xf>
    <xf numFmtId="177" fontId="1" fillId="0" borderId="19" xfId="0" applyNumberFormat="1" applyFont="1" applyFill="1" applyBorder="1" applyAlignment="1" applyProtection="1">
      <alignment vertical="center"/>
      <protection hidden="1"/>
    </xf>
    <xf numFmtId="179" fontId="1" fillId="0" borderId="19" xfId="0" applyNumberFormat="1" applyFont="1" applyFill="1" applyBorder="1" applyAlignment="1" applyProtection="1">
      <alignment vertical="center"/>
      <protection hidden="1"/>
    </xf>
    <xf numFmtId="180" fontId="1" fillId="0" borderId="19" xfId="0" applyNumberFormat="1" applyFont="1" applyFill="1" applyBorder="1" applyAlignment="1" applyProtection="1">
      <alignment vertical="center"/>
      <protection hidden="1"/>
    </xf>
    <xf numFmtId="181" fontId="1" fillId="0" borderId="19" xfId="0" applyNumberFormat="1" applyFont="1" applyFill="1" applyBorder="1" applyAlignment="1" applyProtection="1">
      <alignment vertical="center"/>
      <protection hidden="1"/>
    </xf>
    <xf numFmtId="171" fontId="1" fillId="0" borderId="17" xfId="55" applyNumberFormat="1" applyFont="1" applyFill="1" applyBorder="1" applyAlignment="1" applyProtection="1">
      <alignment horizontal="left" vertical="center"/>
      <protection hidden="1"/>
    </xf>
    <xf numFmtId="182" fontId="1" fillId="39" borderId="0" xfId="55" applyNumberFormat="1" applyFont="1" applyFill="1" applyBorder="1" applyAlignment="1" applyProtection="1">
      <alignment vertical="center"/>
      <protection hidden="1"/>
    </xf>
    <xf numFmtId="183" fontId="1" fillId="0" borderId="16" xfId="55" applyNumberFormat="1" applyFont="1" applyFill="1" applyBorder="1" applyAlignment="1" applyProtection="1">
      <alignment vertical="center"/>
      <protection hidden="1"/>
    </xf>
    <xf numFmtId="183" fontId="1" fillId="0" borderId="18" xfId="55" applyNumberFormat="1" applyFont="1" applyFill="1" applyBorder="1" applyAlignment="1" applyProtection="1">
      <alignment vertical="center"/>
      <protection hidden="1"/>
    </xf>
    <xf numFmtId="168" fontId="1" fillId="0" borderId="0" xfId="55" applyNumberFormat="1" applyFont="1" applyBorder="1" applyAlignment="1" applyProtection="1">
      <alignment vertical="center"/>
      <protection hidden="1"/>
    </xf>
    <xf numFmtId="172" fontId="1" fillId="39" borderId="0" xfId="55" applyNumberFormat="1" applyFont="1" applyFill="1" applyBorder="1" applyAlignment="1" applyProtection="1">
      <alignment vertical="center"/>
      <protection hidden="1"/>
    </xf>
    <xf numFmtId="168" fontId="1" fillId="0" borderId="16" xfId="0" applyNumberFormat="1" applyFont="1" applyFill="1" applyBorder="1" applyAlignment="1" applyProtection="1">
      <alignment horizontal="right" vertical="center"/>
      <protection hidden="1"/>
    </xf>
    <xf numFmtId="171" fontId="1" fillId="0" borderId="17" xfId="0" applyNumberFormat="1" applyFont="1" applyFill="1" applyBorder="1" applyAlignment="1" applyProtection="1">
      <alignment horizontal="left" vertical="center"/>
      <protection hidden="1"/>
    </xf>
    <xf numFmtId="168" fontId="1" fillId="38" borderId="21" xfId="55" applyNumberFormat="1" applyFont="1" applyFill="1" applyBorder="1" applyAlignment="1" applyProtection="1">
      <alignment vertical="center"/>
      <protection hidden="1"/>
    </xf>
    <xf numFmtId="178" fontId="5" fillId="37" borderId="21" xfId="55" applyNumberFormat="1" applyFont="1" applyFill="1" applyBorder="1" applyAlignment="1" applyProtection="1">
      <alignment vertical="center"/>
      <protection hidden="1"/>
    </xf>
    <xf numFmtId="0" fontId="1" fillId="39" borderId="0" xfId="0" applyFont="1" applyFill="1" applyBorder="1" applyAlignment="1" applyProtection="1">
      <alignment vertical="center"/>
      <protection hidden="1"/>
    </xf>
    <xf numFmtId="168" fontId="1" fillId="0" borderId="17" xfId="55" applyNumberFormat="1" applyFont="1" applyFill="1" applyBorder="1" applyAlignment="1" applyProtection="1" quotePrefix="1">
      <alignment vertical="center"/>
      <protection hidden="1"/>
    </xf>
    <xf numFmtId="0" fontId="5" fillId="0" borderId="0" xfId="55" applyFont="1" applyBorder="1" applyAlignment="1" applyProtection="1">
      <alignment vertical="center"/>
      <protection hidden="1"/>
    </xf>
    <xf numFmtId="0" fontId="5" fillId="40" borderId="0" xfId="55" applyFont="1" applyFill="1" applyBorder="1" applyAlignment="1" applyProtection="1">
      <alignment vertical="center"/>
      <protection hidden="1"/>
    </xf>
    <xf numFmtId="168" fontId="5" fillId="46" borderId="21" xfId="55" applyNumberFormat="1" applyFont="1" applyFill="1" applyBorder="1" applyAlignment="1" applyProtection="1">
      <alignment vertical="center"/>
      <protection hidden="1"/>
    </xf>
    <xf numFmtId="168" fontId="5" fillId="0" borderId="0" xfId="55" applyNumberFormat="1" applyFont="1" applyFill="1" applyBorder="1" applyAlignment="1" applyProtection="1">
      <alignment vertical="center"/>
      <protection hidden="1"/>
    </xf>
    <xf numFmtId="198" fontId="1" fillId="0" borderId="19" xfId="53" applyNumberFormat="1" applyFont="1" applyFill="1" applyBorder="1" applyAlignment="1" applyProtection="1">
      <alignment vertical="center"/>
      <protection hidden="1"/>
    </xf>
    <xf numFmtId="169" fontId="18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168" fontId="5" fillId="47" borderId="21" xfId="55" applyNumberFormat="1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168" fontId="1" fillId="38" borderId="21" xfId="0" applyNumberFormat="1" applyFont="1" applyFill="1" applyBorder="1" applyAlignment="1" applyProtection="1">
      <alignment vertical="center"/>
      <protection locked="0"/>
    </xf>
    <xf numFmtId="168" fontId="5" fillId="37" borderId="21" xfId="55" applyNumberFormat="1" applyFont="1" applyFill="1" applyBorder="1" applyAlignment="1" applyProtection="1">
      <alignment vertical="center"/>
      <protection locked="0"/>
    </xf>
    <xf numFmtId="168" fontId="1" fillId="38" borderId="21" xfId="55" applyNumberFormat="1" applyFont="1" applyFill="1" applyBorder="1" applyAlignment="1" applyProtection="1">
      <alignment vertical="center"/>
      <protection locked="0"/>
    </xf>
    <xf numFmtId="178" fontId="5" fillId="37" borderId="21" xfId="55" applyNumberFormat="1" applyFont="1" applyFill="1" applyBorder="1" applyAlignment="1" applyProtection="1">
      <alignment vertical="center"/>
      <protection locked="0"/>
    </xf>
    <xf numFmtId="168" fontId="5" fillId="46" borderId="21" xfId="55" applyNumberFormat="1" applyFont="1" applyFill="1" applyBorder="1" applyAlignment="1" applyProtection="1">
      <alignment vertical="center"/>
      <protection locked="0"/>
    </xf>
    <xf numFmtId="168" fontId="5" fillId="47" borderId="21" xfId="55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4" fontId="1" fillId="34" borderId="0" xfId="55" applyNumberFormat="1" applyFont="1" applyFill="1" applyBorder="1" applyAlignment="1" applyProtection="1">
      <alignment vertical="center"/>
      <protection hidden="1"/>
    </xf>
    <xf numFmtId="0" fontId="20" fillId="43" borderId="23" xfId="0" applyFont="1" applyFill="1" applyBorder="1" applyAlignment="1" applyProtection="1">
      <alignment/>
      <protection hidden="1"/>
    </xf>
    <xf numFmtId="0" fontId="21" fillId="43" borderId="24" xfId="0" applyFont="1" applyFill="1" applyBorder="1" applyAlignment="1" applyProtection="1">
      <alignment/>
      <protection hidden="1"/>
    </xf>
    <xf numFmtId="0" fontId="21" fillId="43" borderId="25" xfId="0" applyFont="1" applyFill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2" fillId="48" borderId="27" xfId="0" applyFont="1" applyFill="1" applyBorder="1" applyAlignment="1" applyProtection="1">
      <alignment/>
      <protection hidden="1"/>
    </xf>
    <xf numFmtId="0" fontId="1" fillId="48" borderId="0" xfId="0" applyFont="1" applyFill="1" applyBorder="1" applyAlignment="1" applyProtection="1">
      <alignment/>
      <protection hidden="1"/>
    </xf>
    <xf numFmtId="0" fontId="1" fillId="48" borderId="28" xfId="0" applyFont="1" applyFill="1" applyBorder="1" applyAlignment="1" applyProtection="1">
      <alignment/>
      <protection hidden="1"/>
    </xf>
    <xf numFmtId="0" fontId="9" fillId="48" borderId="29" xfId="0" applyFont="1" applyFill="1" applyBorder="1" applyAlignment="1" applyProtection="1">
      <alignment/>
      <protection hidden="1"/>
    </xf>
    <xf numFmtId="0" fontId="1" fillId="48" borderId="30" xfId="0" applyFont="1" applyFill="1" applyBorder="1" applyAlignment="1" applyProtection="1">
      <alignment/>
      <protection hidden="1"/>
    </xf>
    <xf numFmtId="0" fontId="1" fillId="48" borderId="31" xfId="0" applyFont="1" applyFill="1" applyBorder="1" applyAlignment="1" applyProtection="1">
      <alignment/>
      <protection hidden="1"/>
    </xf>
    <xf numFmtId="0" fontId="1" fillId="0" borderId="0" xfId="55" applyFont="1" applyFill="1" applyBorder="1" applyAlignment="1" applyProtection="1">
      <alignment vertical="center"/>
      <protection hidden="1"/>
    </xf>
    <xf numFmtId="197" fontId="12" fillId="48" borderId="27" xfId="0" applyNumberFormat="1" applyFont="1" applyFill="1" applyBorder="1" applyAlignment="1" applyProtection="1">
      <alignment/>
      <protection hidden="1"/>
    </xf>
    <xf numFmtId="0" fontId="10" fillId="43" borderId="0" xfId="55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43" borderId="0" xfId="55" applyFont="1" applyFill="1" applyBorder="1" applyAlignment="1" applyProtection="1">
      <alignment horizontal="right" vertical="center"/>
      <protection hidden="1"/>
    </xf>
    <xf numFmtId="0" fontId="10" fillId="43" borderId="0" xfId="55" applyFont="1" applyFill="1" applyBorder="1" applyAlignment="1" applyProtection="1">
      <alignment horizontal="left" vertical="center"/>
      <protection hidden="1"/>
    </xf>
    <xf numFmtId="197" fontId="6" fillId="48" borderId="27" xfId="0" applyNumberFormat="1" applyFont="1" applyFill="1" applyBorder="1" applyAlignment="1" applyProtection="1">
      <alignment/>
      <protection hidden="1"/>
    </xf>
    <xf numFmtId="0" fontId="9" fillId="48" borderId="0" xfId="0" applyFont="1" applyFill="1" applyBorder="1" applyAlignment="1" applyProtection="1">
      <alignment/>
      <protection hidden="1"/>
    </xf>
    <xf numFmtId="0" fontId="9" fillId="48" borderId="28" xfId="0" applyFont="1" applyFill="1" applyBorder="1" applyAlignment="1" applyProtection="1">
      <alignment/>
      <protection hidden="1"/>
    </xf>
    <xf numFmtId="0" fontId="9" fillId="48" borderId="30" xfId="0" applyFont="1" applyFill="1" applyBorder="1" applyAlignment="1" applyProtection="1">
      <alignment/>
      <protection hidden="1"/>
    </xf>
    <xf numFmtId="0" fontId="9" fillId="48" borderId="31" xfId="0" applyFont="1" applyFill="1" applyBorder="1" applyAlignment="1" applyProtection="1">
      <alignment/>
      <protection hidden="1"/>
    </xf>
    <xf numFmtId="168" fontId="5" fillId="34" borderId="0" xfId="55" applyNumberFormat="1" applyFont="1" applyFill="1" applyBorder="1" applyAlignment="1" applyProtection="1">
      <alignment vertical="center"/>
      <protection hidden="1"/>
    </xf>
    <xf numFmtId="0" fontId="1" fillId="34" borderId="0" xfId="55" applyFont="1" applyFill="1" applyBorder="1" applyProtection="1">
      <alignment/>
      <protection hidden="1"/>
    </xf>
    <xf numFmtId="0" fontId="5" fillId="44" borderId="0" xfId="55" applyFont="1" applyFill="1" applyBorder="1" applyAlignment="1" applyProtection="1">
      <alignment vertical="center" wrapText="1"/>
      <protection hidden="1"/>
    </xf>
    <xf numFmtId="168" fontId="21" fillId="0" borderId="0" xfId="0" applyNumberFormat="1" applyFont="1" applyAlignment="1" applyProtection="1">
      <alignment vertical="center"/>
      <protection hidden="1"/>
    </xf>
    <xf numFmtId="184" fontId="7" fillId="49" borderId="0" xfId="55" applyNumberFormat="1" applyFont="1" applyFill="1" applyBorder="1" applyAlignment="1" applyProtection="1">
      <alignment vertical="center"/>
      <protection hidden="1"/>
    </xf>
    <xf numFmtId="0" fontId="5" fillId="43" borderId="0" xfId="56" applyFont="1" applyFill="1" applyAlignment="1" applyProtection="1">
      <alignment vertical="center"/>
      <protection hidden="1"/>
    </xf>
    <xf numFmtId="0" fontId="1" fillId="0" borderId="0" xfId="56" applyFont="1" applyProtection="1">
      <alignment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0" xfId="55" applyFont="1" applyFill="1" applyBorder="1" applyAlignment="1" applyProtection="1">
      <alignment vertical="center"/>
      <protection hidden="1"/>
    </xf>
    <xf numFmtId="187" fontId="5" fillId="46" borderId="21" xfId="55" applyNumberFormat="1" applyFont="1" applyFill="1" applyBorder="1" applyAlignment="1" applyProtection="1">
      <alignment vertical="center"/>
      <protection locked="0"/>
    </xf>
    <xf numFmtId="204" fontId="76" fillId="0" borderId="0" xfId="41" applyNumberFormat="1" applyFont="1" applyAlignment="1" applyProtection="1">
      <alignment horizontal="right" vertical="center"/>
      <protection hidden="1"/>
    </xf>
    <xf numFmtId="0" fontId="6" fillId="27" borderId="32" xfId="55" applyFont="1" applyFill="1" applyBorder="1" applyAlignment="1" applyProtection="1">
      <alignment horizontal="left" vertical="center" indent="1"/>
      <protection locked="0"/>
    </xf>
    <xf numFmtId="0" fontId="6" fillId="27" borderId="33" xfId="55" applyFont="1" applyFill="1" applyBorder="1" applyAlignment="1" applyProtection="1">
      <alignment horizontal="left" vertical="center" indent="1"/>
      <protection locked="0"/>
    </xf>
    <xf numFmtId="0" fontId="6" fillId="27" borderId="34" xfId="55" applyFont="1" applyFill="1" applyBorder="1" applyAlignment="1" applyProtection="1">
      <alignment horizontal="left" vertical="center" indent="1"/>
      <protection locked="0"/>
    </xf>
    <xf numFmtId="3" fontId="1" fillId="42" borderId="32" xfId="0" applyNumberFormat="1" applyFont="1" applyFill="1" applyBorder="1" applyAlignment="1" applyProtection="1">
      <alignment vertical="center"/>
      <protection locked="0"/>
    </xf>
    <xf numFmtId="3" fontId="1" fillId="42" borderId="33" xfId="0" applyNumberFormat="1" applyFont="1" applyFill="1" applyBorder="1" applyAlignment="1" applyProtection="1">
      <alignment vertical="center"/>
      <protection locked="0"/>
    </xf>
    <xf numFmtId="3" fontId="1" fillId="42" borderId="34" xfId="0" applyNumberFormat="1" applyFont="1" applyFill="1" applyBorder="1" applyAlignment="1" applyProtection="1">
      <alignment vertical="center"/>
      <protection locked="0"/>
    </xf>
    <xf numFmtId="0" fontId="8" fillId="43" borderId="0" xfId="55" applyFont="1" applyFill="1" applyBorder="1" applyAlignment="1" applyProtection="1">
      <alignment horizontal="center" vertical="center" wrapText="1"/>
      <protection hidden="1"/>
    </xf>
    <xf numFmtId="0" fontId="5" fillId="43" borderId="0" xfId="55" applyFont="1" applyFill="1" applyBorder="1" applyAlignment="1" applyProtection="1">
      <alignment horizontal="center" vertical="center"/>
      <protection hidden="1"/>
    </xf>
    <xf numFmtId="0" fontId="8" fillId="43" borderId="22" xfId="55" applyFont="1" applyFill="1" applyBorder="1" applyAlignment="1" applyProtection="1">
      <alignment horizontal="center" vertical="center" wrapText="1"/>
      <protection hidden="1"/>
    </xf>
    <xf numFmtId="189" fontId="1" fillId="0" borderId="35" xfId="55" applyNumberFormat="1" applyFont="1" applyFill="1" applyBorder="1" applyAlignment="1" applyProtection="1">
      <alignment vertical="center"/>
      <protection hidden="1"/>
    </xf>
    <xf numFmtId="189" fontId="1" fillId="0" borderId="20" xfId="55" applyNumberFormat="1" applyFont="1" applyFill="1" applyBorder="1" applyAlignment="1" applyProtection="1">
      <alignment vertical="center"/>
      <protection hidden="1"/>
    </xf>
    <xf numFmtId="175" fontId="1" fillId="38" borderId="36" xfId="55" applyNumberFormat="1" applyFont="1" applyFill="1" applyBorder="1" applyAlignment="1" applyProtection="1">
      <alignment vertical="center"/>
      <protection locked="0"/>
    </xf>
    <xf numFmtId="175" fontId="1" fillId="38" borderId="37" xfId="55" applyNumberFormat="1" applyFont="1" applyFill="1" applyBorder="1" applyAlignment="1" applyProtection="1">
      <alignment vertical="center"/>
      <protection locked="0"/>
    </xf>
    <xf numFmtId="185" fontId="1" fillId="38" borderId="36" xfId="55" applyNumberFormat="1" applyFont="1" applyFill="1" applyBorder="1" applyAlignment="1" applyProtection="1">
      <alignment vertical="center"/>
      <protection locked="0"/>
    </xf>
    <xf numFmtId="185" fontId="1" fillId="38" borderId="37" xfId="55" applyNumberFormat="1" applyFont="1" applyFill="1" applyBorder="1" applyAlignment="1" applyProtection="1">
      <alignment vertical="center"/>
      <protection locked="0"/>
    </xf>
    <xf numFmtId="203" fontId="5" fillId="46" borderId="36" xfId="55" applyNumberFormat="1" applyFont="1" applyFill="1" applyBorder="1" applyAlignment="1" applyProtection="1">
      <alignment vertical="center"/>
      <protection locked="0"/>
    </xf>
    <xf numFmtId="203" fontId="5" fillId="46" borderId="37" xfId="55" applyNumberFormat="1" applyFont="1" applyFill="1" applyBorder="1" applyAlignment="1" applyProtection="1">
      <alignment vertical="center"/>
      <protection locked="0"/>
    </xf>
    <xf numFmtId="0" fontId="5" fillId="44" borderId="0" xfId="55" applyFont="1" applyFill="1" applyBorder="1" applyAlignment="1" applyProtection="1">
      <alignment vertical="center" wrapText="1"/>
      <protection hidden="1"/>
    </xf>
    <xf numFmtId="0" fontId="5" fillId="44" borderId="38" xfId="55" applyFont="1" applyFill="1" applyBorder="1" applyAlignment="1" applyProtection="1">
      <alignment vertical="center" wrapText="1"/>
      <protection hidden="1"/>
    </xf>
    <xf numFmtId="0" fontId="8" fillId="43" borderId="0" xfId="55" applyFont="1" applyFill="1" applyBorder="1" applyAlignment="1" applyProtection="1">
      <alignment horizontal="center" vertical="center"/>
      <protection hidden="1"/>
    </xf>
    <xf numFmtId="0" fontId="8" fillId="43" borderId="22" xfId="55" applyFont="1" applyFill="1" applyBorder="1" applyAlignment="1" applyProtection="1">
      <alignment horizontal="center" vertical="center"/>
      <protection hidden="1"/>
    </xf>
    <xf numFmtId="0" fontId="8" fillId="43" borderId="39" xfId="55" applyFont="1" applyFill="1" applyBorder="1" applyAlignment="1" applyProtection="1">
      <alignment horizontal="center" vertical="center" wrapText="1"/>
      <protection hidden="1"/>
    </xf>
    <xf numFmtId="202" fontId="2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vertical="center" wrapText="1"/>
      <protection hidden="1"/>
    </xf>
    <xf numFmtId="0" fontId="12" fillId="34" borderId="0" xfId="0" applyFont="1" applyFill="1" applyAlignment="1" applyProtection="1">
      <alignment horizontal="center"/>
      <protection hidden="1"/>
    </xf>
    <xf numFmtId="199" fontId="24" fillId="40" borderId="0" xfId="0" applyNumberFormat="1" applyFont="1" applyFill="1" applyAlignment="1" applyProtection="1">
      <alignment horizontal="left" wrapText="1"/>
      <protection hidden="1"/>
    </xf>
    <xf numFmtId="200" fontId="0" fillId="34" borderId="0" xfId="0" applyNumberFormat="1" applyFill="1" applyAlignment="1" applyProtection="1">
      <alignment horizontal="left"/>
      <protection hidden="1"/>
    </xf>
    <xf numFmtId="197" fontId="12" fillId="48" borderId="27" xfId="0" applyNumberFormat="1" applyFont="1" applyFill="1" applyBorder="1" applyAlignment="1" applyProtection="1">
      <alignment vertical="top" wrapText="1"/>
      <protection hidden="1"/>
    </xf>
    <xf numFmtId="197" fontId="12" fillId="48" borderId="0" xfId="0" applyNumberFormat="1" applyFont="1" applyFill="1" applyBorder="1" applyAlignment="1" applyProtection="1">
      <alignment vertical="top" wrapText="1"/>
      <protection hidden="1"/>
    </xf>
    <xf numFmtId="197" fontId="12" fillId="48" borderId="28" xfId="0" applyNumberFormat="1" applyFont="1" applyFill="1" applyBorder="1" applyAlignment="1" applyProtection="1">
      <alignment vertical="top" wrapText="1"/>
      <protection hidden="1"/>
    </xf>
    <xf numFmtId="0" fontId="9" fillId="48" borderId="27" xfId="0" applyFont="1" applyFill="1" applyBorder="1" applyAlignment="1" applyProtection="1">
      <alignment vertical="top" wrapText="1"/>
      <protection hidden="1"/>
    </xf>
    <xf numFmtId="0" fontId="9" fillId="48" borderId="0" xfId="0" applyFont="1" applyFill="1" applyBorder="1" applyAlignment="1" applyProtection="1">
      <alignment vertical="top" wrapText="1"/>
      <protection hidden="1"/>
    </xf>
    <xf numFmtId="0" fontId="9" fillId="48" borderId="28" xfId="0" applyFont="1" applyFill="1" applyBorder="1" applyAlignment="1" applyProtection="1">
      <alignment vertical="top" wrapText="1"/>
      <protection hidden="1"/>
    </xf>
    <xf numFmtId="0" fontId="9" fillId="48" borderId="29" xfId="0" applyFont="1" applyFill="1" applyBorder="1" applyAlignment="1" applyProtection="1">
      <alignment vertical="top" wrapText="1"/>
      <protection hidden="1"/>
    </xf>
    <xf numFmtId="0" fontId="9" fillId="48" borderId="30" xfId="0" applyFont="1" applyFill="1" applyBorder="1" applyAlignment="1" applyProtection="1">
      <alignment vertical="top" wrapText="1"/>
      <protection hidden="1"/>
    </xf>
    <xf numFmtId="0" fontId="9" fillId="48" borderId="31" xfId="0" applyFont="1" applyFill="1" applyBorder="1" applyAlignment="1" applyProtection="1">
      <alignment vertical="top" wrapText="1"/>
      <protection hidden="1"/>
    </xf>
    <xf numFmtId="175" fontId="1" fillId="38" borderId="36" xfId="55" applyNumberFormat="1" applyFont="1" applyFill="1" applyBorder="1" applyAlignment="1" applyProtection="1">
      <alignment vertical="center"/>
      <protection hidden="1"/>
    </xf>
    <xf numFmtId="175" fontId="1" fillId="38" borderId="37" xfId="55" applyNumberFormat="1" applyFont="1" applyFill="1" applyBorder="1" applyAlignment="1" applyProtection="1">
      <alignment vertical="center"/>
      <protection hidden="1"/>
    </xf>
    <xf numFmtId="185" fontId="1" fillId="38" borderId="36" xfId="55" applyNumberFormat="1" applyFont="1" applyFill="1" applyBorder="1" applyAlignment="1" applyProtection="1">
      <alignment vertical="center"/>
      <protection hidden="1"/>
    </xf>
    <xf numFmtId="185" fontId="1" fillId="38" borderId="37" xfId="55" applyNumberFormat="1" applyFont="1" applyFill="1" applyBorder="1" applyAlignment="1" applyProtection="1">
      <alignment vertical="center"/>
      <protection hidden="1"/>
    </xf>
    <xf numFmtId="0" fontId="10" fillId="43" borderId="0" xfId="55" applyFont="1" applyFill="1" applyBorder="1" applyAlignment="1" applyProtection="1">
      <alignment horizontal="center" vertical="center" wrapText="1"/>
      <protection hidden="1"/>
    </xf>
    <xf numFmtId="0" fontId="10" fillId="43" borderId="22" xfId="55" applyFont="1" applyFill="1" applyBorder="1" applyAlignment="1" applyProtection="1">
      <alignment horizontal="center" vertical="center" wrapText="1"/>
      <protection hidden="1"/>
    </xf>
    <xf numFmtId="0" fontId="19" fillId="43" borderId="0" xfId="0" applyFont="1" applyFill="1" applyBorder="1" applyAlignment="1" applyProtection="1">
      <alignment horizontal="center" vertical="center"/>
      <protection hidden="1"/>
    </xf>
    <xf numFmtId="184" fontId="7" fillId="36" borderId="0" xfId="55" applyNumberFormat="1" applyFont="1" applyFill="1" applyBorder="1" applyAlignment="1" applyProtection="1">
      <alignment vertical="center"/>
      <protection hidden="1"/>
    </xf>
    <xf numFmtId="0" fontId="10" fillId="43" borderId="0" xfId="55" applyFont="1" applyFill="1" applyBorder="1" applyAlignment="1" applyProtection="1">
      <alignment horizontal="center" vertical="center"/>
      <protection hidden="1"/>
    </xf>
    <xf numFmtId="0" fontId="10" fillId="43" borderId="22" xfId="55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-Copyright" xfId="41"/>
    <cellStyle name="D-Eingabefelder" xfId="42"/>
    <cellStyle name="Comma" xfId="43"/>
    <cellStyle name="Comma [0]" xfId="44"/>
    <cellStyle name="D-Text8F" xfId="45"/>
    <cellStyle name="D-Weiß12" xfId="46"/>
    <cellStyle name="Eingabe" xfId="47"/>
    <cellStyle name="Ergebnis" xfId="48"/>
    <cellStyle name="Erklärender Text" xfId="49"/>
    <cellStyle name="Gut" xfId="50"/>
    <cellStyle name="Neutral" xfId="51"/>
    <cellStyle name="Notiz" xfId="52"/>
    <cellStyle name="Percent" xfId="53"/>
    <cellStyle name="Schlecht" xfId="54"/>
    <cellStyle name="Standard_bsp - jogurt" xfId="55"/>
    <cellStyle name="Standard_vollkostenrechnung jogurt für plare neu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88">
    <dxf>
      <fill>
        <patternFill patternType="none">
          <bgColor indexed="65"/>
        </patternFill>
      </fill>
      <border>
        <left style="hair"/>
        <right style="hair"/>
        <top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ont>
        <color rgb="FFFFFF00"/>
      </font>
      <fill>
        <patternFill>
          <bgColor rgb="FF0000FF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0000FF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0000FF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name val="Cambria"/>
        <color rgb="FFFFFF00"/>
      </font>
      <fill>
        <patternFill>
          <bgColor indexed="12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hair"/>
        <right style="hair"/>
        <top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</border>
    </dxf>
    <dxf>
      <font>
        <color rgb="FFFFFF00"/>
      </font>
      <fill>
        <patternFill>
          <bgColor rgb="FF0000FF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0000FF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0000FF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name val="Cambria"/>
        <color rgb="FFFFFF00"/>
      </font>
      <fill>
        <patternFill>
          <bgColor indexed="12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</border>
    </dxf>
    <dxf>
      <fill>
        <patternFill patternType="none">
          <bgColor indexed="65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color indexed="43"/>
      </font>
      <fill>
        <patternFill>
          <bgColor indexed="12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34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9EB8C4"/>
      </font>
      <fill>
        <patternFill>
          <bgColor rgb="FF0000FF"/>
        </patternFill>
      </fill>
      <border/>
    </dxf>
    <dxf>
      <font>
        <b/>
        <i val="0"/>
        <color rgb="FFFFFF66"/>
      </font>
      <fill>
        <patternFill>
          <bgColor rgb="FF0000FF"/>
        </patternFill>
      </fill>
      <border/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bottom style="hair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</border>
    </dxf>
    <dxf>
      <font>
        <color theme="0"/>
      </font>
      <fill>
        <patternFill>
          <bgColor theme="3" tint="0.3999499976634979"/>
        </patternFill>
      </fill>
      <border/>
    </dxf>
    <dxf>
      <font>
        <b/>
        <i val="0"/>
        <color rgb="FFFFFF0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theme="3" tint="0.3999499976634979"/>
        </patternFill>
      </fill>
      <border/>
    </dxf>
    <dxf>
      <font>
        <color rgb="FFFFFF00"/>
      </font>
      <fill>
        <patternFill>
          <bgColor rgb="FF0000FF"/>
        </patternFill>
      </fill>
      <border/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>
          <color rgb="FF000000"/>
        </top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66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C9D2"/>
      <rgbColor rgb="000000FF"/>
      <rgbColor rgb="009EB8C4"/>
      <rgbColor rgb="00FFFFCC"/>
      <rgbColor rgb="00CCDAE0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F1F3"/>
      <rgbColor rgb="00CCFFFF"/>
      <rgbColor rgb="00E8FBAD"/>
      <rgbColor rgb="00FFFF66"/>
      <rgbColor rgb="00CCCCFF"/>
      <rgbColor rgb="00FFFF99"/>
      <rgbColor rgb="00CC99FF"/>
      <rgbColor rgb="00FDEA97"/>
      <rgbColor rgb="003366FF"/>
      <rgbColor rgb="0033CCCC"/>
      <rgbColor rgb="00D5EBAD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CC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erechnung!F8" /><Relationship Id="rId2" Type="http://schemas.openxmlformats.org/officeDocument/2006/relationships/hyperlink" Target="#Dateneingabe!E6" /><Relationship Id="rId3" Type="http://schemas.openxmlformats.org/officeDocument/2006/relationships/hyperlink" Target="#Dateneingabe!E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Korrektur!A1" /><Relationship Id="rId2" Type="http://schemas.openxmlformats.org/officeDocument/2006/relationships/hyperlink" Target="#Dateneingabe!E10" /><Relationship Id="rId3" Type="http://schemas.openxmlformats.org/officeDocument/2006/relationships/hyperlink" Target="#Hilfe!A5:Q22" /><Relationship Id="rId4" Type="http://schemas.openxmlformats.org/officeDocument/2006/relationships/hyperlink" Target="#Hilfe!A23:Q36" /><Relationship Id="rId5" Type="http://schemas.openxmlformats.org/officeDocument/2006/relationships/hyperlink" Target="#Hilfe!A37:Q61" /><Relationship Id="rId6" Type="http://schemas.openxmlformats.org/officeDocument/2006/relationships/hyperlink" Target="#Hilfe!A62:Q76" /><Relationship Id="rId7" Type="http://schemas.openxmlformats.org/officeDocument/2006/relationships/hyperlink" Target="#Hilfe!A77:Q104" /><Relationship Id="rId8" Type="http://schemas.openxmlformats.org/officeDocument/2006/relationships/hyperlink" Target="#Hilfe!A105:Q131" /><Relationship Id="rId9" Type="http://schemas.openxmlformats.org/officeDocument/2006/relationships/hyperlink" Target="#Dateneingabe!E6" /><Relationship Id="rId10" Type="http://schemas.openxmlformats.org/officeDocument/2006/relationships/hyperlink" Target="#Dateneingabe!E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E6" /><Relationship Id="rId2" Type="http://schemas.openxmlformats.org/officeDocument/2006/relationships/hyperlink" Target="#Dateneingabe!C6" /><Relationship Id="rId3" Type="http://schemas.openxmlformats.org/officeDocument/2006/relationships/hyperlink" Target="#Dateneingabe!E6" /><Relationship Id="rId4" Type="http://schemas.openxmlformats.org/officeDocument/2006/relationships/hyperlink" Target="#Dateneingabe!C10" /><Relationship Id="rId5" Type="http://schemas.openxmlformats.org/officeDocument/2006/relationships/hyperlink" Target="#Dateneingabe!E6" /><Relationship Id="rId6" Type="http://schemas.openxmlformats.org/officeDocument/2006/relationships/hyperlink" Target="#Hilfe!A5:Q22" /><Relationship Id="rId7" Type="http://schemas.openxmlformats.org/officeDocument/2006/relationships/hyperlink" Target="#Hilfe!A23:Q36" /><Relationship Id="rId8" Type="http://schemas.openxmlformats.org/officeDocument/2006/relationships/hyperlink" Target="#Berechnung!F8" /><Relationship Id="rId9" Type="http://schemas.openxmlformats.org/officeDocument/2006/relationships/hyperlink" Target="#Berechnung!G16" /><Relationship Id="rId10" Type="http://schemas.openxmlformats.org/officeDocument/2006/relationships/hyperlink" Target="#Hilfe!A37:Q61" /><Relationship Id="rId11" Type="http://schemas.openxmlformats.org/officeDocument/2006/relationships/hyperlink" Target="#Berechnung!G20" /><Relationship Id="rId12" Type="http://schemas.openxmlformats.org/officeDocument/2006/relationships/hyperlink" Target="#Hilfe!A62:Q76" /><Relationship Id="rId13" Type="http://schemas.openxmlformats.org/officeDocument/2006/relationships/hyperlink" Target="#Berechnung!G33" /><Relationship Id="rId14" Type="http://schemas.openxmlformats.org/officeDocument/2006/relationships/hyperlink" Target="#Hilfe!A77:Q104" /><Relationship Id="rId15" Type="http://schemas.openxmlformats.org/officeDocument/2006/relationships/hyperlink" Target="#Berechnung!G37" /><Relationship Id="rId16" Type="http://schemas.openxmlformats.org/officeDocument/2006/relationships/hyperlink" Target="#Hilfe!A105:Q131" /><Relationship Id="rId17" Type="http://schemas.openxmlformats.org/officeDocument/2006/relationships/hyperlink" Target="#Berechnung!G44" /><Relationship Id="rId18" Type="http://schemas.openxmlformats.org/officeDocument/2006/relationships/hyperlink" Target="#Dateneingabe!E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E10" /><Relationship Id="rId2" Type="http://schemas.openxmlformats.org/officeDocument/2006/relationships/hyperlink" Target="#Korrektur!A1" /><Relationship Id="rId3" Type="http://schemas.openxmlformats.org/officeDocument/2006/relationships/hyperlink" Target="#Berechnung!F8" /><Relationship Id="rId4" Type="http://schemas.openxmlformats.org/officeDocument/2006/relationships/hyperlink" Target="#Berechnung!G16" /><Relationship Id="rId5" Type="http://schemas.openxmlformats.org/officeDocument/2006/relationships/hyperlink" Target="#Berechnung!G20" /><Relationship Id="rId6" Type="http://schemas.openxmlformats.org/officeDocument/2006/relationships/hyperlink" Target="#Berechnung!G33" /><Relationship Id="rId7" Type="http://schemas.openxmlformats.org/officeDocument/2006/relationships/hyperlink" Target="#Berechnung!G37" /><Relationship Id="rId8" Type="http://schemas.openxmlformats.org/officeDocument/2006/relationships/hyperlink" Target="#Berechnung!G44" /><Relationship Id="rId9" Type="http://schemas.openxmlformats.org/officeDocument/2006/relationships/hyperlink" Target="#Dateneingabe!E6" /><Relationship Id="rId10" Type="http://schemas.openxmlformats.org/officeDocument/2006/relationships/hyperlink" Target="#Dateneingabe!E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17</xdr:row>
      <xdr:rowOff>104775</xdr:rowOff>
    </xdr:from>
    <xdr:to>
      <xdr:col>10</xdr:col>
      <xdr:colOff>114300</xdr:colOff>
      <xdr:row>17</xdr:row>
      <xdr:rowOff>104775</xdr:rowOff>
    </xdr:to>
    <xdr:sp>
      <xdr:nvSpPr>
        <xdr:cNvPr id="1" name="Rectangle 9"/>
        <xdr:cNvSpPr>
          <a:spLocks/>
        </xdr:cNvSpPr>
      </xdr:nvSpPr>
      <xdr:spPr>
        <a:xfrm>
          <a:off x="3009900" y="2714625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17</xdr:row>
      <xdr:rowOff>104775</xdr:rowOff>
    </xdr:from>
    <xdr:to>
      <xdr:col>10</xdr:col>
      <xdr:colOff>114300</xdr:colOff>
      <xdr:row>17</xdr:row>
      <xdr:rowOff>104775</xdr:rowOff>
    </xdr:to>
    <xdr:sp>
      <xdr:nvSpPr>
        <xdr:cNvPr id="2" name="Rectangle 10"/>
        <xdr:cNvSpPr>
          <a:spLocks/>
        </xdr:cNvSpPr>
      </xdr:nvSpPr>
      <xdr:spPr>
        <a:xfrm>
          <a:off x="3009900" y="2714625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</xdr:row>
      <xdr:rowOff>200025</xdr:rowOff>
    </xdr:from>
    <xdr:to>
      <xdr:col>10</xdr:col>
      <xdr:colOff>152400</xdr:colOff>
      <xdr:row>17</xdr:row>
      <xdr:rowOff>114300</xdr:rowOff>
    </xdr:to>
    <xdr:grpSp>
      <xdr:nvGrpSpPr>
        <xdr:cNvPr id="3" name="Group 51"/>
        <xdr:cNvGrpSpPr>
          <a:grpSpLocks/>
        </xdr:cNvGrpSpPr>
      </xdr:nvGrpSpPr>
      <xdr:grpSpPr>
        <a:xfrm>
          <a:off x="314325" y="1343025"/>
          <a:ext cx="5343525" cy="1381125"/>
          <a:chOff x="33" y="141"/>
          <a:chExt cx="597" cy="141"/>
        </a:xfrm>
        <a:solidFill>
          <a:srgbClr val="FFFFFF"/>
        </a:solidFill>
      </xdr:grpSpPr>
      <xdr:sp>
        <xdr:nvSpPr>
          <xdr:cNvPr id="4" name="Rectangle 11"/>
          <xdr:cNvSpPr>
            <a:spLocks/>
          </xdr:cNvSpPr>
        </xdr:nvSpPr>
        <xdr:spPr>
          <a:xfrm>
            <a:off x="33" y="148"/>
            <a:ext cx="596" cy="1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34" y="149"/>
            <a:ext cx="596" cy="133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3"/>
          <xdr:cNvSpPr txBox="1">
            <a:spLocks noChangeArrowheads="1"/>
          </xdr:cNvSpPr>
        </xdr:nvSpPr>
        <xdr:spPr>
          <a:xfrm>
            <a:off x="71" y="141"/>
            <a:ext cx="98" cy="15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Ausgangsdaten</a:t>
            </a:r>
          </a:p>
        </xdr:txBody>
      </xdr:sp>
    </xdr:grpSp>
    <xdr:clientData/>
  </xdr:twoCellAnchor>
  <xdr:twoCellAnchor>
    <xdr:from>
      <xdr:col>0</xdr:col>
      <xdr:colOff>314325</xdr:colOff>
      <xdr:row>17</xdr:row>
      <xdr:rowOff>314325</xdr:rowOff>
    </xdr:from>
    <xdr:to>
      <xdr:col>10</xdr:col>
      <xdr:colOff>152400</xdr:colOff>
      <xdr:row>20</xdr:row>
      <xdr:rowOff>104775</xdr:rowOff>
    </xdr:to>
    <xdr:grpSp>
      <xdr:nvGrpSpPr>
        <xdr:cNvPr id="7" name="Group 33"/>
        <xdr:cNvGrpSpPr>
          <a:grpSpLocks/>
        </xdr:cNvGrpSpPr>
      </xdr:nvGrpSpPr>
      <xdr:grpSpPr>
        <a:xfrm>
          <a:off x="314325" y="2924175"/>
          <a:ext cx="5343525" cy="571500"/>
          <a:chOff x="33" y="299"/>
          <a:chExt cx="597" cy="60"/>
        </a:xfrm>
        <a:solidFill>
          <a:srgbClr val="FFFFFF"/>
        </a:solidFill>
      </xdr:grpSpPr>
      <xdr:sp>
        <xdr:nvSpPr>
          <xdr:cNvPr id="8" name="Rectangle 18"/>
          <xdr:cNvSpPr>
            <a:spLocks/>
          </xdr:cNvSpPr>
        </xdr:nvSpPr>
        <xdr:spPr>
          <a:xfrm>
            <a:off x="33" y="307"/>
            <a:ext cx="596" cy="51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9"/>
          <xdr:cNvSpPr>
            <a:spLocks/>
          </xdr:cNvSpPr>
        </xdr:nvSpPr>
        <xdr:spPr>
          <a:xfrm>
            <a:off x="34" y="308"/>
            <a:ext cx="596" cy="51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20"/>
          <xdr:cNvSpPr txBox="1">
            <a:spLocks noChangeArrowheads="1"/>
          </xdr:cNvSpPr>
        </xdr:nvSpPr>
        <xdr:spPr>
          <a:xfrm>
            <a:off x="75" y="299"/>
            <a:ext cx="99" cy="17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Rohstoffkosten</a:t>
            </a:r>
          </a:p>
        </xdr:txBody>
      </xdr:sp>
    </xdr:grpSp>
    <xdr:clientData/>
  </xdr:twoCellAnchor>
  <xdr:twoCellAnchor>
    <xdr:from>
      <xdr:col>0</xdr:col>
      <xdr:colOff>314325</xdr:colOff>
      <xdr:row>20</xdr:row>
      <xdr:rowOff>295275</xdr:rowOff>
    </xdr:from>
    <xdr:to>
      <xdr:col>10</xdr:col>
      <xdr:colOff>152400</xdr:colOff>
      <xdr:row>39</xdr:row>
      <xdr:rowOff>114300</xdr:rowOff>
    </xdr:to>
    <xdr:grpSp>
      <xdr:nvGrpSpPr>
        <xdr:cNvPr id="11" name="Group 31"/>
        <xdr:cNvGrpSpPr>
          <a:grpSpLocks/>
        </xdr:cNvGrpSpPr>
      </xdr:nvGrpSpPr>
      <xdr:grpSpPr>
        <a:xfrm>
          <a:off x="314325" y="3686175"/>
          <a:ext cx="5343525" cy="1971675"/>
          <a:chOff x="33" y="355"/>
          <a:chExt cx="597" cy="207"/>
        </a:xfrm>
        <a:solidFill>
          <a:srgbClr val="FFFFFF"/>
        </a:solidFill>
      </xdr:grpSpPr>
      <xdr:sp>
        <xdr:nvSpPr>
          <xdr:cNvPr id="12" name="Rectangle 27"/>
          <xdr:cNvSpPr>
            <a:spLocks/>
          </xdr:cNvSpPr>
        </xdr:nvSpPr>
        <xdr:spPr>
          <a:xfrm>
            <a:off x="33" y="364"/>
            <a:ext cx="596" cy="19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8"/>
          <xdr:cNvSpPr>
            <a:spLocks/>
          </xdr:cNvSpPr>
        </xdr:nvSpPr>
        <xdr:spPr>
          <a:xfrm>
            <a:off x="34" y="365"/>
            <a:ext cx="596" cy="197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29"/>
          <xdr:cNvSpPr txBox="1">
            <a:spLocks noChangeArrowheads="1"/>
          </xdr:cNvSpPr>
        </xdr:nvSpPr>
        <xdr:spPr>
          <a:xfrm>
            <a:off x="62" y="355"/>
            <a:ext cx="116" cy="18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Verarbeitungskosten</a:t>
            </a:r>
          </a:p>
        </xdr:txBody>
      </xdr:sp>
    </xdr:grpSp>
    <xdr:clientData/>
  </xdr:twoCellAnchor>
  <xdr:twoCellAnchor>
    <xdr:from>
      <xdr:col>0</xdr:col>
      <xdr:colOff>314325</xdr:colOff>
      <xdr:row>40</xdr:row>
      <xdr:rowOff>66675</xdr:rowOff>
    </xdr:from>
    <xdr:to>
      <xdr:col>10</xdr:col>
      <xdr:colOff>152400</xdr:colOff>
      <xdr:row>44</xdr:row>
      <xdr:rowOff>123825</xdr:rowOff>
    </xdr:to>
    <xdr:grpSp>
      <xdr:nvGrpSpPr>
        <xdr:cNvPr id="15" name="Group 38"/>
        <xdr:cNvGrpSpPr>
          <a:grpSpLocks/>
        </xdr:cNvGrpSpPr>
      </xdr:nvGrpSpPr>
      <xdr:grpSpPr>
        <a:xfrm>
          <a:off x="314325" y="5762625"/>
          <a:ext cx="5343525" cy="628650"/>
          <a:chOff x="33" y="597"/>
          <a:chExt cx="597" cy="66"/>
        </a:xfrm>
        <a:solidFill>
          <a:srgbClr val="FFFFFF"/>
        </a:solidFill>
      </xdr:grpSpPr>
      <xdr:sp>
        <xdr:nvSpPr>
          <xdr:cNvPr id="16" name="Rectangle 35"/>
          <xdr:cNvSpPr>
            <a:spLocks/>
          </xdr:cNvSpPr>
        </xdr:nvSpPr>
        <xdr:spPr>
          <a:xfrm>
            <a:off x="33" y="605"/>
            <a:ext cx="596" cy="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6"/>
          <xdr:cNvSpPr>
            <a:spLocks/>
          </xdr:cNvSpPr>
        </xdr:nvSpPr>
        <xdr:spPr>
          <a:xfrm>
            <a:off x="34" y="606"/>
            <a:ext cx="596" cy="57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37"/>
          <xdr:cNvSpPr txBox="1">
            <a:spLocks noChangeArrowheads="1"/>
          </xdr:cNvSpPr>
        </xdr:nvSpPr>
        <xdr:spPr>
          <a:xfrm>
            <a:off x="72" y="597"/>
            <a:ext cx="96" cy="17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Arbeitskosten</a:t>
            </a:r>
          </a:p>
        </xdr:txBody>
      </xdr:sp>
    </xdr:grpSp>
    <xdr:clientData/>
  </xdr:twoCellAnchor>
  <xdr:twoCellAnchor>
    <xdr:from>
      <xdr:col>0</xdr:col>
      <xdr:colOff>314325</xdr:colOff>
      <xdr:row>45</xdr:row>
      <xdr:rowOff>66675</xdr:rowOff>
    </xdr:from>
    <xdr:to>
      <xdr:col>10</xdr:col>
      <xdr:colOff>152400</xdr:colOff>
      <xdr:row>51</xdr:row>
      <xdr:rowOff>123825</xdr:rowOff>
    </xdr:to>
    <xdr:grpSp>
      <xdr:nvGrpSpPr>
        <xdr:cNvPr id="19" name="Group 48"/>
        <xdr:cNvGrpSpPr>
          <a:grpSpLocks/>
        </xdr:cNvGrpSpPr>
      </xdr:nvGrpSpPr>
      <xdr:grpSpPr>
        <a:xfrm>
          <a:off x="314325" y="6715125"/>
          <a:ext cx="5343525" cy="800100"/>
          <a:chOff x="33" y="697"/>
          <a:chExt cx="597" cy="84"/>
        </a:xfrm>
        <a:solidFill>
          <a:srgbClr val="FFFFFF"/>
        </a:solidFill>
      </xdr:grpSpPr>
      <xdr:sp>
        <xdr:nvSpPr>
          <xdr:cNvPr id="20" name="Rectangle 40"/>
          <xdr:cNvSpPr>
            <a:spLocks/>
          </xdr:cNvSpPr>
        </xdr:nvSpPr>
        <xdr:spPr>
          <a:xfrm>
            <a:off x="33" y="705"/>
            <a:ext cx="596" cy="75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1"/>
          <xdr:cNvSpPr>
            <a:spLocks/>
          </xdr:cNvSpPr>
        </xdr:nvSpPr>
        <xdr:spPr>
          <a:xfrm>
            <a:off x="34" y="706"/>
            <a:ext cx="596" cy="75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42"/>
          <xdr:cNvSpPr txBox="1">
            <a:spLocks noChangeArrowheads="1"/>
          </xdr:cNvSpPr>
        </xdr:nvSpPr>
        <xdr:spPr>
          <a:xfrm>
            <a:off x="85" y="697"/>
            <a:ext cx="70" cy="17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Fixosten</a:t>
            </a:r>
          </a:p>
        </xdr:txBody>
      </xdr:sp>
    </xdr:grpSp>
    <xdr:clientData/>
  </xdr:twoCellAnchor>
  <xdr:twoCellAnchor>
    <xdr:from>
      <xdr:col>0</xdr:col>
      <xdr:colOff>314325</xdr:colOff>
      <xdr:row>52</xdr:row>
      <xdr:rowOff>57150</xdr:rowOff>
    </xdr:from>
    <xdr:to>
      <xdr:col>10</xdr:col>
      <xdr:colOff>152400</xdr:colOff>
      <xdr:row>56</xdr:row>
      <xdr:rowOff>114300</xdr:rowOff>
    </xdr:to>
    <xdr:grpSp>
      <xdr:nvGrpSpPr>
        <xdr:cNvPr id="23" name="Group 47"/>
        <xdr:cNvGrpSpPr>
          <a:grpSpLocks/>
        </xdr:cNvGrpSpPr>
      </xdr:nvGrpSpPr>
      <xdr:grpSpPr>
        <a:xfrm>
          <a:off x="314325" y="7696200"/>
          <a:ext cx="5343525" cy="628650"/>
          <a:chOff x="33" y="800"/>
          <a:chExt cx="597" cy="66"/>
        </a:xfrm>
        <a:solidFill>
          <a:srgbClr val="FFFFFF"/>
        </a:solidFill>
      </xdr:grpSpPr>
      <xdr:sp>
        <xdr:nvSpPr>
          <xdr:cNvPr id="24" name="Rectangle 44"/>
          <xdr:cNvSpPr>
            <a:spLocks/>
          </xdr:cNvSpPr>
        </xdr:nvSpPr>
        <xdr:spPr>
          <a:xfrm>
            <a:off x="33" y="808"/>
            <a:ext cx="596" cy="57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45"/>
          <xdr:cNvSpPr>
            <a:spLocks/>
          </xdr:cNvSpPr>
        </xdr:nvSpPr>
        <xdr:spPr>
          <a:xfrm>
            <a:off x="34" y="809"/>
            <a:ext cx="596" cy="57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46"/>
          <xdr:cNvSpPr txBox="1">
            <a:spLocks noChangeArrowheads="1"/>
          </xdr:cNvSpPr>
        </xdr:nvSpPr>
        <xdr:spPr>
          <a:xfrm>
            <a:off x="84" y="800"/>
            <a:ext cx="72" cy="17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Zuschläge</a:t>
            </a:r>
          </a:p>
        </xdr:txBody>
      </xdr:sp>
    </xdr:grpSp>
    <xdr:clientData/>
  </xdr:twoCellAnchor>
  <xdr:twoCellAnchor>
    <xdr:from>
      <xdr:col>11</xdr:col>
      <xdr:colOff>47625</xdr:colOff>
      <xdr:row>0</xdr:row>
      <xdr:rowOff>57150</xdr:rowOff>
    </xdr:from>
    <xdr:to>
      <xdr:col>11</xdr:col>
      <xdr:colOff>1123950</xdr:colOff>
      <xdr:row>0</xdr:row>
      <xdr:rowOff>352425</xdr:rowOff>
    </xdr:to>
    <xdr:grpSp>
      <xdr:nvGrpSpPr>
        <xdr:cNvPr id="27" name="Group 52">
          <a:hlinkClick r:id="rId1"/>
        </xdr:cNvPr>
        <xdr:cNvGrpSpPr>
          <a:grpSpLocks/>
        </xdr:cNvGrpSpPr>
      </xdr:nvGrpSpPr>
      <xdr:grpSpPr>
        <a:xfrm>
          <a:off x="5962650" y="57150"/>
          <a:ext cx="1076325" cy="295275"/>
          <a:chOff x="376" y="330"/>
          <a:chExt cx="145" cy="22"/>
        </a:xfrm>
        <a:solidFill>
          <a:srgbClr val="FFFFFF"/>
        </a:solidFill>
      </xdr:grpSpPr>
      <xdr:sp>
        <xdr:nvSpPr>
          <xdr:cNvPr id="28" name="Rectangle 53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54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55"/>
          <xdr:cNvSpPr txBox="1">
            <a:spLocks noChangeArrowheads="1"/>
          </xdr:cNvSpPr>
        </xdr:nvSpPr>
        <xdr:spPr>
          <a:xfrm>
            <a:off x="381" y="333"/>
            <a:ext cx="1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 ►</a:t>
            </a:r>
          </a:p>
        </xdr:txBody>
      </xdr:sp>
    </xdr:grpSp>
    <xdr:clientData/>
  </xdr:twoCellAnchor>
  <xdr:twoCellAnchor>
    <xdr:from>
      <xdr:col>9</xdr:col>
      <xdr:colOff>323850</xdr:colOff>
      <xdr:row>0</xdr:row>
      <xdr:rowOff>85725</xdr:rowOff>
    </xdr:from>
    <xdr:to>
      <xdr:col>10</xdr:col>
      <xdr:colOff>295275</xdr:colOff>
      <xdr:row>0</xdr:row>
      <xdr:rowOff>304800</xdr:rowOff>
    </xdr:to>
    <xdr:grpSp>
      <xdr:nvGrpSpPr>
        <xdr:cNvPr id="31" name="Group 56">
          <a:hlinkClick r:id="rId2"/>
        </xdr:cNvPr>
        <xdr:cNvGrpSpPr>
          <a:grpSpLocks/>
        </xdr:cNvGrpSpPr>
      </xdr:nvGrpSpPr>
      <xdr:grpSpPr>
        <a:xfrm>
          <a:off x="5076825" y="85725"/>
          <a:ext cx="723900" cy="219075"/>
          <a:chOff x="459" y="8"/>
          <a:chExt cx="82" cy="23"/>
        </a:xfrm>
        <a:solidFill>
          <a:srgbClr val="FFFFFF"/>
        </a:solidFill>
      </xdr:grpSpPr>
      <xdr:sp macro="[0]!Neu_Vollkosten">
        <xdr:nvSpPr>
          <xdr:cNvPr id="32" name="Rectangle 57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33" name="Freeform 58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34" name="Text Box 59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5</xdr:col>
      <xdr:colOff>628650</xdr:colOff>
      <xdr:row>0</xdr:row>
      <xdr:rowOff>85725</xdr:rowOff>
    </xdr:from>
    <xdr:to>
      <xdr:col>9</xdr:col>
      <xdr:colOff>209550</xdr:colOff>
      <xdr:row>0</xdr:row>
      <xdr:rowOff>304800</xdr:rowOff>
    </xdr:to>
    <xdr:grpSp>
      <xdr:nvGrpSpPr>
        <xdr:cNvPr id="35" name="Group 60">
          <a:hlinkClick r:id="rId3"/>
        </xdr:cNvPr>
        <xdr:cNvGrpSpPr>
          <a:grpSpLocks/>
        </xdr:cNvGrpSpPr>
      </xdr:nvGrpSpPr>
      <xdr:grpSpPr>
        <a:xfrm>
          <a:off x="3714750" y="85725"/>
          <a:ext cx="1247775" cy="219075"/>
          <a:chOff x="459" y="8"/>
          <a:chExt cx="82" cy="23"/>
        </a:xfrm>
        <a:solidFill>
          <a:srgbClr val="FFFFFF"/>
        </a:solidFill>
      </xdr:grpSpPr>
      <xdr:sp macro="[0]!Nocheinmal_Vollkostenrechnung">
        <xdr:nvSpPr>
          <xdr:cNvPr id="36" name="Rectangle 61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37" name="Freeform 62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38" name="Text Box 63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361950</xdr:rowOff>
    </xdr:from>
    <xdr:to>
      <xdr:col>9</xdr:col>
      <xdr:colOff>1162050</xdr:colOff>
      <xdr:row>1</xdr:row>
      <xdr:rowOff>161925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343525" y="361950"/>
          <a:ext cx="1047750" cy="180975"/>
          <a:chOff x="607" y="213"/>
          <a:chExt cx="85" cy="2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10" y="215"/>
            <a:ext cx="79" cy="1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Korrektur ►</a:t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0</xdr:row>
      <xdr:rowOff>104775</xdr:rowOff>
    </xdr:from>
    <xdr:to>
      <xdr:col>9</xdr:col>
      <xdr:colOff>1162050</xdr:colOff>
      <xdr:row>0</xdr:row>
      <xdr:rowOff>285750</xdr:rowOff>
    </xdr:to>
    <xdr:grpSp>
      <xdr:nvGrpSpPr>
        <xdr:cNvPr id="5" name="Group 5">
          <a:hlinkClick r:id="rId2"/>
        </xdr:cNvPr>
        <xdr:cNvGrpSpPr>
          <a:grpSpLocks/>
        </xdr:cNvGrpSpPr>
      </xdr:nvGrpSpPr>
      <xdr:grpSpPr>
        <a:xfrm>
          <a:off x="5343525" y="104775"/>
          <a:ext cx="1047750" cy="180975"/>
          <a:chOff x="634" y="273"/>
          <a:chExt cx="123" cy="2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38" y="275"/>
            <a:ext cx="11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9</xdr:col>
      <xdr:colOff>114300</xdr:colOff>
      <xdr:row>6</xdr:row>
      <xdr:rowOff>123825</xdr:rowOff>
    </xdr:from>
    <xdr:to>
      <xdr:col>9</xdr:col>
      <xdr:colOff>1162050</xdr:colOff>
      <xdr:row>8</xdr:row>
      <xdr:rowOff>0</xdr:rowOff>
    </xdr:to>
    <xdr:grpSp>
      <xdr:nvGrpSpPr>
        <xdr:cNvPr id="9" name="Group 9">
          <a:hlinkClick r:id="rId3"/>
        </xdr:cNvPr>
        <xdr:cNvGrpSpPr>
          <a:grpSpLocks/>
        </xdr:cNvGrpSpPr>
      </xdr:nvGrpSpPr>
      <xdr:grpSpPr>
        <a:xfrm>
          <a:off x="5343525" y="1438275"/>
          <a:ext cx="1047750" cy="180975"/>
          <a:chOff x="607" y="213"/>
          <a:chExt cx="85" cy="23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610" y="215"/>
            <a:ext cx="79" cy="1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Leistung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15</xdr:row>
      <xdr:rowOff>9525</xdr:rowOff>
    </xdr:from>
    <xdr:to>
      <xdr:col>9</xdr:col>
      <xdr:colOff>1171575</xdr:colOff>
      <xdr:row>16</xdr:row>
      <xdr:rowOff>66675</xdr:rowOff>
    </xdr:to>
    <xdr:grpSp>
      <xdr:nvGrpSpPr>
        <xdr:cNvPr id="13" name="Group 13">
          <a:hlinkClick r:id="rId4"/>
        </xdr:cNvPr>
        <xdr:cNvGrpSpPr>
          <a:grpSpLocks/>
        </xdr:cNvGrpSpPr>
      </xdr:nvGrpSpPr>
      <xdr:grpSpPr>
        <a:xfrm>
          <a:off x="5353050" y="2819400"/>
          <a:ext cx="1047750" cy="209550"/>
          <a:chOff x="607" y="213"/>
          <a:chExt cx="85" cy="23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Rohstoffkosten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19</xdr:row>
      <xdr:rowOff>9525</xdr:rowOff>
    </xdr:from>
    <xdr:to>
      <xdr:col>9</xdr:col>
      <xdr:colOff>1162050</xdr:colOff>
      <xdr:row>20</xdr:row>
      <xdr:rowOff>66675</xdr:rowOff>
    </xdr:to>
    <xdr:grpSp>
      <xdr:nvGrpSpPr>
        <xdr:cNvPr id="17" name="Group 17">
          <a:hlinkClick r:id="rId5"/>
        </xdr:cNvPr>
        <xdr:cNvGrpSpPr>
          <a:grpSpLocks/>
        </xdr:cNvGrpSpPr>
      </xdr:nvGrpSpPr>
      <xdr:grpSpPr>
        <a:xfrm>
          <a:off x="5343525" y="3314700"/>
          <a:ext cx="1047750" cy="209550"/>
          <a:chOff x="607" y="213"/>
          <a:chExt cx="85" cy="23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Verarbeitungsk.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31</xdr:row>
      <xdr:rowOff>114300</xdr:rowOff>
    </xdr:from>
    <xdr:to>
      <xdr:col>9</xdr:col>
      <xdr:colOff>1171575</xdr:colOff>
      <xdr:row>33</xdr:row>
      <xdr:rowOff>19050</xdr:rowOff>
    </xdr:to>
    <xdr:grpSp>
      <xdr:nvGrpSpPr>
        <xdr:cNvPr id="21" name="Group 21">
          <a:hlinkClick r:id="rId6"/>
        </xdr:cNvPr>
        <xdr:cNvGrpSpPr>
          <a:grpSpLocks/>
        </xdr:cNvGrpSpPr>
      </xdr:nvGrpSpPr>
      <xdr:grpSpPr>
        <a:xfrm>
          <a:off x="5353050" y="5133975"/>
          <a:ext cx="1047750" cy="209550"/>
          <a:chOff x="607" y="213"/>
          <a:chExt cx="85" cy="23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Arbeitskosten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35</xdr:row>
      <xdr:rowOff>142875</xdr:rowOff>
    </xdr:from>
    <xdr:to>
      <xdr:col>9</xdr:col>
      <xdr:colOff>1162050</xdr:colOff>
      <xdr:row>37</xdr:row>
      <xdr:rowOff>19050</xdr:rowOff>
    </xdr:to>
    <xdr:grpSp>
      <xdr:nvGrpSpPr>
        <xdr:cNvPr id="25" name="Group 25">
          <a:hlinkClick r:id="rId7"/>
        </xdr:cNvPr>
        <xdr:cNvGrpSpPr>
          <a:grpSpLocks/>
        </xdr:cNvGrpSpPr>
      </xdr:nvGrpSpPr>
      <xdr:grpSpPr>
        <a:xfrm>
          <a:off x="5343525" y="5657850"/>
          <a:ext cx="1047750" cy="180975"/>
          <a:chOff x="607" y="213"/>
          <a:chExt cx="85" cy="23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610" y="215"/>
            <a:ext cx="79" cy="1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Fixkosten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42</xdr:row>
      <xdr:rowOff>133350</xdr:rowOff>
    </xdr:from>
    <xdr:to>
      <xdr:col>9</xdr:col>
      <xdr:colOff>1162050</xdr:colOff>
      <xdr:row>44</xdr:row>
      <xdr:rowOff>9525</xdr:rowOff>
    </xdr:to>
    <xdr:grpSp>
      <xdr:nvGrpSpPr>
        <xdr:cNvPr id="29" name="Group 29">
          <a:hlinkClick r:id="rId8"/>
        </xdr:cNvPr>
        <xdr:cNvGrpSpPr>
          <a:grpSpLocks/>
        </xdr:cNvGrpSpPr>
      </xdr:nvGrpSpPr>
      <xdr:grpSpPr>
        <a:xfrm>
          <a:off x="5343525" y="6686550"/>
          <a:ext cx="1047750" cy="180975"/>
          <a:chOff x="607" y="213"/>
          <a:chExt cx="85" cy="23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610" y="215"/>
            <a:ext cx="79" cy="1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Gemeinkosten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638175</xdr:colOff>
      <xdr:row>0</xdr:row>
      <xdr:rowOff>85725</xdr:rowOff>
    </xdr:from>
    <xdr:to>
      <xdr:col>8</xdr:col>
      <xdr:colOff>28575</xdr:colOff>
      <xdr:row>0</xdr:row>
      <xdr:rowOff>304800</xdr:rowOff>
    </xdr:to>
    <xdr:grpSp>
      <xdr:nvGrpSpPr>
        <xdr:cNvPr id="33" name="Group 33">
          <a:hlinkClick r:id="rId9"/>
        </xdr:cNvPr>
        <xdr:cNvGrpSpPr>
          <a:grpSpLocks/>
        </xdr:cNvGrpSpPr>
      </xdr:nvGrpSpPr>
      <xdr:grpSpPr>
        <a:xfrm>
          <a:off x="4381500" y="85725"/>
          <a:ext cx="723900" cy="219075"/>
          <a:chOff x="459" y="8"/>
          <a:chExt cx="82" cy="23"/>
        </a:xfrm>
        <a:solidFill>
          <a:srgbClr val="FFFFFF"/>
        </a:solidFill>
      </xdr:grpSpPr>
      <xdr:sp macro="[0]!Neu_Vollkosten">
        <xdr:nvSpPr>
          <xdr:cNvPr id="34" name="Rectangle 34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35" name="Freeform 35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36" name="Text Box 36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4</xdr:col>
      <xdr:colOff>628650</xdr:colOff>
      <xdr:row>0</xdr:row>
      <xdr:rowOff>85725</xdr:rowOff>
    </xdr:from>
    <xdr:to>
      <xdr:col>6</xdr:col>
      <xdr:colOff>542925</xdr:colOff>
      <xdr:row>0</xdr:row>
      <xdr:rowOff>304800</xdr:rowOff>
    </xdr:to>
    <xdr:grpSp>
      <xdr:nvGrpSpPr>
        <xdr:cNvPr id="37" name="Group 37">
          <a:hlinkClick r:id="rId10"/>
        </xdr:cNvPr>
        <xdr:cNvGrpSpPr>
          <a:grpSpLocks/>
        </xdr:cNvGrpSpPr>
      </xdr:nvGrpSpPr>
      <xdr:grpSpPr>
        <a:xfrm>
          <a:off x="3038475" y="85725"/>
          <a:ext cx="1247775" cy="219075"/>
          <a:chOff x="459" y="8"/>
          <a:chExt cx="82" cy="23"/>
        </a:xfrm>
        <a:solidFill>
          <a:srgbClr val="FFFFFF"/>
        </a:solidFill>
      </xdr:grpSpPr>
      <xdr:sp macro="[0]!Nocheinmal_Vollkostenrechnung">
        <xdr:nvSpPr>
          <xdr:cNvPr id="38" name="Rectangle 38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39" name="Freeform 39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40" name="Text Box 40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  <xdr:twoCellAnchor>
    <xdr:from>
      <xdr:col>0</xdr:col>
      <xdr:colOff>85725</xdr:colOff>
      <xdr:row>0</xdr:row>
      <xdr:rowOff>9525</xdr:rowOff>
    </xdr:from>
    <xdr:to>
      <xdr:col>1</xdr:col>
      <xdr:colOff>9525</xdr:colOff>
      <xdr:row>0</xdr:row>
      <xdr:rowOff>95250</xdr:rowOff>
    </xdr:to>
    <xdr:sp>
      <xdr:nvSpPr>
        <xdr:cNvPr id="41" name="AutoShape 42"/>
        <xdr:cNvSpPr>
          <a:spLocks/>
        </xdr:cNvSpPr>
      </xdr:nvSpPr>
      <xdr:spPr>
        <a:xfrm rot="10800000">
          <a:off x="85725" y="9525"/>
          <a:ext cx="76200" cy="85725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85725</xdr:rowOff>
    </xdr:from>
    <xdr:to>
      <xdr:col>11</xdr:col>
      <xdr:colOff>304800</xdr:colOff>
      <xdr:row>0</xdr:row>
      <xdr:rowOff>304800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638800" y="85725"/>
          <a:ext cx="723900" cy="219075"/>
          <a:chOff x="459" y="8"/>
          <a:chExt cx="82" cy="23"/>
        </a:xfrm>
        <a:solidFill>
          <a:srgbClr val="FFFFFF"/>
        </a:solidFill>
      </xdr:grpSpPr>
      <xdr:sp macro="[1]!Neu">
        <xdr:nvSpPr>
          <xdr:cNvPr id="2" name="Rectangle 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Neu">
        <xdr:nvSpPr>
          <xdr:cNvPr id="3" name="Freeform 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Neu">
        <xdr:nvSpPr>
          <xdr:cNvPr id="4" name="Text Box 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12</xdr:col>
      <xdr:colOff>47625</xdr:colOff>
      <xdr:row>0</xdr:row>
      <xdr:rowOff>95250</xdr:rowOff>
    </xdr:from>
    <xdr:to>
      <xdr:col>12</xdr:col>
      <xdr:colOff>1219200</xdr:colOff>
      <xdr:row>0</xdr:row>
      <xdr:rowOff>314325</xdr:rowOff>
    </xdr:to>
    <xdr:grpSp>
      <xdr:nvGrpSpPr>
        <xdr:cNvPr id="5" name="Group 5">
          <a:hlinkClick r:id="rId2"/>
        </xdr:cNvPr>
        <xdr:cNvGrpSpPr>
          <a:grpSpLocks/>
        </xdr:cNvGrpSpPr>
      </xdr:nvGrpSpPr>
      <xdr:grpSpPr>
        <a:xfrm>
          <a:off x="6515100" y="95250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9</xdr:col>
      <xdr:colOff>142875</xdr:colOff>
      <xdr:row>0</xdr:row>
      <xdr:rowOff>85725</xdr:rowOff>
    </xdr:from>
    <xdr:to>
      <xdr:col>11</xdr:col>
      <xdr:colOff>304800</xdr:colOff>
      <xdr:row>0</xdr:row>
      <xdr:rowOff>304800</xdr:rowOff>
    </xdr:to>
    <xdr:grpSp>
      <xdr:nvGrpSpPr>
        <xdr:cNvPr id="9" name="Group 9">
          <a:hlinkClick r:id="rId3"/>
        </xdr:cNvPr>
        <xdr:cNvGrpSpPr>
          <a:grpSpLocks/>
        </xdr:cNvGrpSpPr>
      </xdr:nvGrpSpPr>
      <xdr:grpSpPr>
        <a:xfrm>
          <a:off x="5638800" y="85725"/>
          <a:ext cx="723900" cy="219075"/>
          <a:chOff x="459" y="8"/>
          <a:chExt cx="82" cy="23"/>
        </a:xfrm>
        <a:solidFill>
          <a:srgbClr val="FFFFFF"/>
        </a:solidFill>
      </xdr:grpSpPr>
      <xdr:sp macro="[1]!Neu">
        <xdr:nvSpPr>
          <xdr:cNvPr id="10" name="Rectangle 10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Neu">
        <xdr:nvSpPr>
          <xdr:cNvPr id="11" name="Freeform 11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Neu">
        <xdr:nvSpPr>
          <xdr:cNvPr id="12" name="Text Box 12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12</xdr:col>
      <xdr:colOff>47625</xdr:colOff>
      <xdr:row>0</xdr:row>
      <xdr:rowOff>95250</xdr:rowOff>
    </xdr:from>
    <xdr:to>
      <xdr:col>12</xdr:col>
      <xdr:colOff>1219200</xdr:colOff>
      <xdr:row>0</xdr:row>
      <xdr:rowOff>314325</xdr:rowOff>
    </xdr:to>
    <xdr:grpSp>
      <xdr:nvGrpSpPr>
        <xdr:cNvPr id="13" name="Group 13">
          <a:hlinkClick r:id="rId4"/>
        </xdr:cNvPr>
        <xdr:cNvGrpSpPr>
          <a:grpSpLocks/>
        </xdr:cNvGrpSpPr>
      </xdr:nvGrpSpPr>
      <xdr:grpSpPr>
        <a:xfrm>
          <a:off x="6515100" y="95250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9</xdr:col>
      <xdr:colOff>142875</xdr:colOff>
      <xdr:row>0</xdr:row>
      <xdr:rowOff>85725</xdr:rowOff>
    </xdr:from>
    <xdr:to>
      <xdr:col>11</xdr:col>
      <xdr:colOff>304800</xdr:colOff>
      <xdr:row>0</xdr:row>
      <xdr:rowOff>304800</xdr:rowOff>
    </xdr:to>
    <xdr:grpSp>
      <xdr:nvGrpSpPr>
        <xdr:cNvPr id="17" name="Group 17">
          <a:hlinkClick r:id="rId5"/>
        </xdr:cNvPr>
        <xdr:cNvGrpSpPr>
          <a:grpSpLocks/>
        </xdr:cNvGrpSpPr>
      </xdr:nvGrpSpPr>
      <xdr:grpSpPr>
        <a:xfrm>
          <a:off x="5638800" y="85725"/>
          <a:ext cx="723900" cy="219075"/>
          <a:chOff x="459" y="8"/>
          <a:chExt cx="82" cy="23"/>
        </a:xfrm>
        <a:solidFill>
          <a:srgbClr val="FFFFFF"/>
        </a:solidFill>
      </xdr:grpSpPr>
      <xdr:sp macro="[0]!Neu_Vollkosten">
        <xdr:nvSpPr>
          <xdr:cNvPr id="18" name="Rectangle 18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19" name="Freeform 19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20" name="Text Box 20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12</xdr:col>
      <xdr:colOff>104775</xdr:colOff>
      <xdr:row>7</xdr:row>
      <xdr:rowOff>114300</xdr:rowOff>
    </xdr:from>
    <xdr:to>
      <xdr:col>12</xdr:col>
      <xdr:colOff>1238250</xdr:colOff>
      <xdr:row>9</xdr:row>
      <xdr:rowOff>0</xdr:rowOff>
    </xdr:to>
    <xdr:grpSp>
      <xdr:nvGrpSpPr>
        <xdr:cNvPr id="21" name="Group 21">
          <a:hlinkClick r:id="rId6"/>
        </xdr:cNvPr>
        <xdr:cNvGrpSpPr>
          <a:grpSpLocks/>
        </xdr:cNvGrpSpPr>
      </xdr:nvGrpSpPr>
      <xdr:grpSpPr>
        <a:xfrm>
          <a:off x="6572250" y="1847850"/>
          <a:ext cx="1133475" cy="209550"/>
          <a:chOff x="607" y="213"/>
          <a:chExt cx="85" cy="23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10" y="215"/>
            <a:ext cx="79" cy="1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Leistung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12</xdr:row>
      <xdr:rowOff>0</xdr:rowOff>
    </xdr:from>
    <xdr:to>
      <xdr:col>12</xdr:col>
      <xdr:colOff>1238250</xdr:colOff>
      <xdr:row>13</xdr:row>
      <xdr:rowOff>9525</xdr:rowOff>
    </xdr:to>
    <xdr:grpSp>
      <xdr:nvGrpSpPr>
        <xdr:cNvPr id="25" name="Group 25">
          <a:hlinkClick r:id="rId7"/>
        </xdr:cNvPr>
        <xdr:cNvGrpSpPr>
          <a:grpSpLocks/>
        </xdr:cNvGrpSpPr>
      </xdr:nvGrpSpPr>
      <xdr:grpSpPr>
        <a:xfrm>
          <a:off x="6572250" y="2600325"/>
          <a:ext cx="1133475" cy="200025"/>
          <a:chOff x="607" y="213"/>
          <a:chExt cx="85" cy="23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Rohstoffkosten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9</xdr:row>
      <xdr:rowOff>47625</xdr:rowOff>
    </xdr:from>
    <xdr:to>
      <xdr:col>12</xdr:col>
      <xdr:colOff>1238250</xdr:colOff>
      <xdr:row>10</xdr:row>
      <xdr:rowOff>85725</xdr:rowOff>
    </xdr:to>
    <xdr:grpSp>
      <xdr:nvGrpSpPr>
        <xdr:cNvPr id="29" name="Group 29">
          <a:hlinkClick r:id="rId8"/>
        </xdr:cNvPr>
        <xdr:cNvGrpSpPr>
          <a:grpSpLocks/>
        </xdr:cNvGrpSpPr>
      </xdr:nvGrpSpPr>
      <xdr:grpSpPr>
        <a:xfrm>
          <a:off x="6572250" y="210502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Leistung</a:t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13</xdr:row>
      <xdr:rowOff>57150</xdr:rowOff>
    </xdr:from>
    <xdr:to>
      <xdr:col>12</xdr:col>
      <xdr:colOff>1238250</xdr:colOff>
      <xdr:row>14</xdr:row>
      <xdr:rowOff>66675</xdr:rowOff>
    </xdr:to>
    <xdr:grpSp>
      <xdr:nvGrpSpPr>
        <xdr:cNvPr id="33" name="Group 33">
          <a:hlinkClick r:id="rId9"/>
        </xdr:cNvPr>
        <xdr:cNvGrpSpPr>
          <a:grpSpLocks/>
        </xdr:cNvGrpSpPr>
      </xdr:nvGrpSpPr>
      <xdr:grpSpPr>
        <a:xfrm>
          <a:off x="6572250" y="284797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Rohstoffkosten</a:t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18</xdr:row>
      <xdr:rowOff>180975</xdr:rowOff>
    </xdr:from>
    <xdr:to>
      <xdr:col>12</xdr:col>
      <xdr:colOff>1247775</xdr:colOff>
      <xdr:row>20</xdr:row>
      <xdr:rowOff>28575</xdr:rowOff>
    </xdr:to>
    <xdr:grpSp>
      <xdr:nvGrpSpPr>
        <xdr:cNvPr id="37" name="Group 37">
          <a:hlinkClick r:id="rId10"/>
        </xdr:cNvPr>
        <xdr:cNvGrpSpPr>
          <a:grpSpLocks/>
        </xdr:cNvGrpSpPr>
      </xdr:nvGrpSpPr>
      <xdr:grpSpPr>
        <a:xfrm>
          <a:off x="6581775" y="3895725"/>
          <a:ext cx="1133475" cy="200025"/>
          <a:chOff x="607" y="213"/>
          <a:chExt cx="85" cy="23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Verarbeitungsk.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20</xdr:row>
      <xdr:rowOff>76200</xdr:rowOff>
    </xdr:from>
    <xdr:to>
      <xdr:col>12</xdr:col>
      <xdr:colOff>1247775</xdr:colOff>
      <xdr:row>21</xdr:row>
      <xdr:rowOff>85725</xdr:rowOff>
    </xdr:to>
    <xdr:grpSp>
      <xdr:nvGrpSpPr>
        <xdr:cNvPr id="41" name="Group 41">
          <a:hlinkClick r:id="rId11"/>
        </xdr:cNvPr>
        <xdr:cNvGrpSpPr>
          <a:grpSpLocks/>
        </xdr:cNvGrpSpPr>
      </xdr:nvGrpSpPr>
      <xdr:grpSpPr>
        <a:xfrm>
          <a:off x="6581775" y="414337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42" name="Rectangle 42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Box 43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Verarbeitungsk.</a:t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32</xdr:row>
      <xdr:rowOff>19050</xdr:rowOff>
    </xdr:from>
    <xdr:to>
      <xdr:col>12</xdr:col>
      <xdr:colOff>1257300</xdr:colOff>
      <xdr:row>33</xdr:row>
      <xdr:rowOff>28575</xdr:rowOff>
    </xdr:to>
    <xdr:grpSp>
      <xdr:nvGrpSpPr>
        <xdr:cNvPr id="45" name="Group 45">
          <a:hlinkClick r:id="rId12"/>
        </xdr:cNvPr>
        <xdr:cNvGrpSpPr>
          <a:grpSpLocks/>
        </xdr:cNvGrpSpPr>
      </xdr:nvGrpSpPr>
      <xdr:grpSpPr>
        <a:xfrm>
          <a:off x="6591300" y="6372225"/>
          <a:ext cx="1133475" cy="200025"/>
          <a:chOff x="607" y="213"/>
          <a:chExt cx="85" cy="23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47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Arbeitskosten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33</xdr:row>
      <xdr:rowOff>85725</xdr:rowOff>
    </xdr:from>
    <xdr:to>
      <xdr:col>12</xdr:col>
      <xdr:colOff>1257300</xdr:colOff>
      <xdr:row>34</xdr:row>
      <xdr:rowOff>95250</xdr:rowOff>
    </xdr:to>
    <xdr:grpSp>
      <xdr:nvGrpSpPr>
        <xdr:cNvPr id="49" name="Group 49">
          <a:hlinkClick r:id="rId13"/>
        </xdr:cNvPr>
        <xdr:cNvGrpSpPr>
          <a:grpSpLocks/>
        </xdr:cNvGrpSpPr>
      </xdr:nvGrpSpPr>
      <xdr:grpSpPr>
        <a:xfrm>
          <a:off x="6591300" y="6629400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50" name="Rectangle 50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51"/>
          <xdr:cNvSpPr txBox="1">
            <a:spLocks noChangeArrowheads="1"/>
          </xdr:cNvSpPr>
        </xdr:nvSpPr>
        <xdr:spPr>
          <a:xfrm>
            <a:off x="693" y="223"/>
            <a:ext cx="88" cy="14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Arbeitskosten</a:t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37</xdr:row>
      <xdr:rowOff>0</xdr:rowOff>
    </xdr:from>
    <xdr:to>
      <xdr:col>12</xdr:col>
      <xdr:colOff>1266825</xdr:colOff>
      <xdr:row>38</xdr:row>
      <xdr:rowOff>9525</xdr:rowOff>
    </xdr:to>
    <xdr:grpSp>
      <xdr:nvGrpSpPr>
        <xdr:cNvPr id="53" name="Group 53">
          <a:hlinkClick r:id="rId14"/>
        </xdr:cNvPr>
        <xdr:cNvGrpSpPr>
          <a:grpSpLocks/>
        </xdr:cNvGrpSpPr>
      </xdr:nvGrpSpPr>
      <xdr:grpSpPr>
        <a:xfrm>
          <a:off x="6600825" y="7305675"/>
          <a:ext cx="1133475" cy="200025"/>
          <a:chOff x="607" y="213"/>
          <a:chExt cx="85" cy="23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55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Fixkosten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38</xdr:row>
      <xdr:rowOff>57150</xdr:rowOff>
    </xdr:from>
    <xdr:to>
      <xdr:col>12</xdr:col>
      <xdr:colOff>1266825</xdr:colOff>
      <xdr:row>39</xdr:row>
      <xdr:rowOff>66675</xdr:rowOff>
    </xdr:to>
    <xdr:grpSp>
      <xdr:nvGrpSpPr>
        <xdr:cNvPr id="57" name="Group 57">
          <a:hlinkClick r:id="rId15"/>
        </xdr:cNvPr>
        <xdr:cNvGrpSpPr>
          <a:grpSpLocks/>
        </xdr:cNvGrpSpPr>
      </xdr:nvGrpSpPr>
      <xdr:grpSpPr>
        <a:xfrm>
          <a:off x="6600825" y="755332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 Box 59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Fixkosten</a:t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46</xdr:row>
      <xdr:rowOff>0</xdr:rowOff>
    </xdr:from>
    <xdr:to>
      <xdr:col>12</xdr:col>
      <xdr:colOff>1276350</xdr:colOff>
      <xdr:row>47</xdr:row>
      <xdr:rowOff>9525</xdr:rowOff>
    </xdr:to>
    <xdr:grpSp>
      <xdr:nvGrpSpPr>
        <xdr:cNvPr id="61" name="Group 61">
          <a:hlinkClick r:id="rId16"/>
        </xdr:cNvPr>
        <xdr:cNvGrpSpPr>
          <a:grpSpLocks/>
        </xdr:cNvGrpSpPr>
      </xdr:nvGrpSpPr>
      <xdr:grpSpPr>
        <a:xfrm>
          <a:off x="6610350" y="9020175"/>
          <a:ext cx="1133475" cy="200025"/>
          <a:chOff x="607" y="213"/>
          <a:chExt cx="85" cy="23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63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Gemeinkosten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47</xdr:row>
      <xdr:rowOff>57150</xdr:rowOff>
    </xdr:from>
    <xdr:to>
      <xdr:col>12</xdr:col>
      <xdr:colOff>1276350</xdr:colOff>
      <xdr:row>48</xdr:row>
      <xdr:rowOff>66675</xdr:rowOff>
    </xdr:to>
    <xdr:grpSp>
      <xdr:nvGrpSpPr>
        <xdr:cNvPr id="65" name="Group 65">
          <a:hlinkClick r:id="rId17"/>
        </xdr:cNvPr>
        <xdr:cNvGrpSpPr>
          <a:grpSpLocks/>
        </xdr:cNvGrpSpPr>
      </xdr:nvGrpSpPr>
      <xdr:grpSpPr>
        <a:xfrm>
          <a:off x="6610350" y="926782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 Box 67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Gemeinkosten</a:t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400050</xdr:colOff>
      <xdr:row>0</xdr:row>
      <xdr:rowOff>85725</xdr:rowOff>
    </xdr:from>
    <xdr:to>
      <xdr:col>9</xdr:col>
      <xdr:colOff>9525</xdr:colOff>
      <xdr:row>0</xdr:row>
      <xdr:rowOff>304800</xdr:rowOff>
    </xdr:to>
    <xdr:grpSp>
      <xdr:nvGrpSpPr>
        <xdr:cNvPr id="69" name="Group 69">
          <a:hlinkClick r:id="rId18"/>
        </xdr:cNvPr>
        <xdr:cNvGrpSpPr>
          <a:grpSpLocks/>
        </xdr:cNvGrpSpPr>
      </xdr:nvGrpSpPr>
      <xdr:grpSpPr>
        <a:xfrm>
          <a:off x="4257675" y="85725"/>
          <a:ext cx="1247775" cy="219075"/>
          <a:chOff x="459" y="8"/>
          <a:chExt cx="82" cy="23"/>
        </a:xfrm>
        <a:solidFill>
          <a:srgbClr val="FFFFFF"/>
        </a:solidFill>
      </xdr:grpSpPr>
      <xdr:sp macro="[0]!Nocheinmal_Vollkostenrechnung">
        <xdr:nvSpPr>
          <xdr:cNvPr id="70" name="Rectangle 70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71" name="Freeform 71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72" name="Text Box 72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28575</xdr:rowOff>
    </xdr:from>
    <xdr:to>
      <xdr:col>10</xdr:col>
      <xdr:colOff>0</xdr:colOff>
      <xdr:row>9</xdr:row>
      <xdr:rowOff>0</xdr:rowOff>
    </xdr:to>
    <xdr:sp>
      <xdr:nvSpPr>
        <xdr:cNvPr id="1" name="Freeform 5"/>
        <xdr:cNvSpPr>
          <a:spLocks/>
        </xdr:cNvSpPr>
      </xdr:nvSpPr>
      <xdr:spPr>
        <a:xfrm>
          <a:off x="4162425" y="1495425"/>
          <a:ext cx="1104900" cy="428625"/>
        </a:xfrm>
        <a:custGeom>
          <a:pathLst>
            <a:path h="45" w="116">
              <a:moveTo>
                <a:pt x="116" y="0"/>
              </a:moveTo>
              <a:lnTo>
                <a:pt x="93" y="0"/>
              </a:lnTo>
              <a:lnTo>
                <a:pt x="93" y="45"/>
              </a:lnTo>
              <a:lnTo>
                <a:pt x="0" y="45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142875</xdr:rowOff>
    </xdr:from>
    <xdr:to>
      <xdr:col>10</xdr:col>
      <xdr:colOff>0</xdr:colOff>
      <xdr:row>10</xdr:row>
      <xdr:rowOff>28575</xdr:rowOff>
    </xdr:to>
    <xdr:sp>
      <xdr:nvSpPr>
        <xdr:cNvPr id="2" name="Freeform 7"/>
        <xdr:cNvSpPr>
          <a:spLocks/>
        </xdr:cNvSpPr>
      </xdr:nvSpPr>
      <xdr:spPr>
        <a:xfrm flipV="1">
          <a:off x="4162425" y="2066925"/>
          <a:ext cx="1104900" cy="38100"/>
        </a:xfrm>
        <a:custGeom>
          <a:pathLst>
            <a:path h="45" w="116">
              <a:moveTo>
                <a:pt x="116" y="0"/>
              </a:moveTo>
              <a:lnTo>
                <a:pt x="93" y="0"/>
              </a:lnTo>
              <a:lnTo>
                <a:pt x="93" y="45"/>
              </a:lnTo>
              <a:lnTo>
                <a:pt x="0" y="45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19050</xdr:rowOff>
    </xdr:from>
    <xdr:to>
      <xdr:col>10</xdr:col>
      <xdr:colOff>0</xdr:colOff>
      <xdr:row>19</xdr:row>
      <xdr:rowOff>28575</xdr:rowOff>
    </xdr:to>
    <xdr:sp>
      <xdr:nvSpPr>
        <xdr:cNvPr id="3" name="Freeform 8"/>
        <xdr:cNvSpPr>
          <a:spLocks/>
        </xdr:cNvSpPr>
      </xdr:nvSpPr>
      <xdr:spPr>
        <a:xfrm>
          <a:off x="4114800" y="2552700"/>
          <a:ext cx="1152525" cy="1076325"/>
        </a:xfrm>
        <a:custGeom>
          <a:pathLst>
            <a:path h="97" w="122">
              <a:moveTo>
                <a:pt x="122" y="97"/>
              </a:moveTo>
              <a:lnTo>
                <a:pt x="0" y="97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11</xdr:row>
      <xdr:rowOff>85725</xdr:rowOff>
    </xdr:from>
    <xdr:to>
      <xdr:col>10</xdr:col>
      <xdr:colOff>0</xdr:colOff>
      <xdr:row>15</xdr:row>
      <xdr:rowOff>28575</xdr:rowOff>
    </xdr:to>
    <xdr:sp>
      <xdr:nvSpPr>
        <xdr:cNvPr id="4" name="Freeform 9"/>
        <xdr:cNvSpPr>
          <a:spLocks/>
        </xdr:cNvSpPr>
      </xdr:nvSpPr>
      <xdr:spPr>
        <a:xfrm>
          <a:off x="4819650" y="2314575"/>
          <a:ext cx="447675" cy="704850"/>
        </a:xfrm>
        <a:custGeom>
          <a:pathLst>
            <a:path h="42" w="47">
              <a:moveTo>
                <a:pt x="47" y="42"/>
              </a:moveTo>
              <a:lnTo>
                <a:pt x="23" y="42"/>
              </a:lnTo>
              <a:lnTo>
                <a:pt x="23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28575</xdr:rowOff>
    </xdr:from>
    <xdr:to>
      <xdr:col>10</xdr:col>
      <xdr:colOff>0</xdr:colOff>
      <xdr:row>29</xdr:row>
      <xdr:rowOff>66675</xdr:rowOff>
    </xdr:to>
    <xdr:sp>
      <xdr:nvSpPr>
        <xdr:cNvPr id="5" name="Freeform 10"/>
        <xdr:cNvSpPr>
          <a:spLocks/>
        </xdr:cNvSpPr>
      </xdr:nvSpPr>
      <xdr:spPr>
        <a:xfrm>
          <a:off x="4162425" y="4391025"/>
          <a:ext cx="1104900" cy="800100"/>
        </a:xfrm>
        <a:custGeom>
          <a:pathLst>
            <a:path h="84" w="116">
              <a:moveTo>
                <a:pt x="116" y="0"/>
              </a:moveTo>
              <a:lnTo>
                <a:pt x="85" y="0"/>
              </a:lnTo>
              <a:lnTo>
                <a:pt x="85" y="84"/>
              </a:lnTo>
              <a:lnTo>
                <a:pt x="0" y="8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30</xdr:row>
      <xdr:rowOff>142875</xdr:rowOff>
    </xdr:from>
    <xdr:to>
      <xdr:col>10</xdr:col>
      <xdr:colOff>0</xdr:colOff>
      <xdr:row>33</xdr:row>
      <xdr:rowOff>28575</xdr:rowOff>
    </xdr:to>
    <xdr:sp>
      <xdr:nvSpPr>
        <xdr:cNvPr id="6" name="Freeform 11"/>
        <xdr:cNvSpPr>
          <a:spLocks/>
        </xdr:cNvSpPr>
      </xdr:nvSpPr>
      <xdr:spPr>
        <a:xfrm>
          <a:off x="4114800" y="5419725"/>
          <a:ext cx="1152525" cy="342900"/>
        </a:xfrm>
        <a:custGeom>
          <a:pathLst>
            <a:path h="97" w="122">
              <a:moveTo>
                <a:pt x="122" y="97"/>
              </a:moveTo>
              <a:lnTo>
                <a:pt x="0" y="97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28575</xdr:rowOff>
    </xdr:from>
    <xdr:to>
      <xdr:col>10</xdr:col>
      <xdr:colOff>9525</xdr:colOff>
      <xdr:row>30</xdr:row>
      <xdr:rowOff>76200</xdr:rowOff>
    </xdr:to>
    <xdr:sp>
      <xdr:nvSpPr>
        <xdr:cNvPr id="7" name="Freeform 12"/>
        <xdr:cNvSpPr>
          <a:spLocks/>
        </xdr:cNvSpPr>
      </xdr:nvSpPr>
      <xdr:spPr>
        <a:xfrm>
          <a:off x="4829175" y="5000625"/>
          <a:ext cx="447675" cy="352425"/>
        </a:xfrm>
        <a:custGeom>
          <a:pathLst>
            <a:path h="35" w="47">
              <a:moveTo>
                <a:pt x="47" y="0"/>
              </a:moveTo>
              <a:lnTo>
                <a:pt x="32" y="0"/>
              </a:lnTo>
              <a:lnTo>
                <a:pt x="32" y="35"/>
              </a:lnTo>
              <a:lnTo>
                <a:pt x="0" y="35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38</xdr:row>
      <xdr:rowOff>19050</xdr:rowOff>
    </xdr:from>
    <xdr:to>
      <xdr:col>10</xdr:col>
      <xdr:colOff>0</xdr:colOff>
      <xdr:row>44</xdr:row>
      <xdr:rowOff>76200</xdr:rowOff>
    </xdr:to>
    <xdr:sp>
      <xdr:nvSpPr>
        <xdr:cNvPr id="8" name="Freeform 14"/>
        <xdr:cNvSpPr>
          <a:spLocks/>
        </xdr:cNvSpPr>
      </xdr:nvSpPr>
      <xdr:spPr>
        <a:xfrm>
          <a:off x="4295775" y="6515100"/>
          <a:ext cx="971550" cy="971550"/>
        </a:xfrm>
        <a:custGeom>
          <a:pathLst>
            <a:path h="102" w="102">
              <a:moveTo>
                <a:pt x="102" y="0"/>
              </a:moveTo>
              <a:lnTo>
                <a:pt x="79" y="0"/>
              </a:lnTo>
              <a:lnTo>
                <a:pt x="79" y="102"/>
              </a:lnTo>
              <a:lnTo>
                <a:pt x="0" y="102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38100</xdr:rowOff>
    </xdr:from>
    <xdr:to>
      <xdr:col>7</xdr:col>
      <xdr:colOff>142875</xdr:colOff>
      <xdr:row>48</xdr:row>
      <xdr:rowOff>114300</xdr:rowOff>
    </xdr:to>
    <xdr:sp>
      <xdr:nvSpPr>
        <xdr:cNvPr id="9" name="Freeform 15"/>
        <xdr:cNvSpPr>
          <a:spLocks/>
        </xdr:cNvSpPr>
      </xdr:nvSpPr>
      <xdr:spPr>
        <a:xfrm>
          <a:off x="4171950" y="6838950"/>
          <a:ext cx="133350" cy="1295400"/>
        </a:xfrm>
        <a:custGeom>
          <a:pathLst>
            <a:path h="136" w="7">
              <a:moveTo>
                <a:pt x="0" y="0"/>
              </a:moveTo>
              <a:lnTo>
                <a:pt x="7" y="0"/>
              </a:lnTo>
              <a:lnTo>
                <a:pt x="7" y="136"/>
              </a:lnTo>
              <a:lnTo>
                <a:pt x="0" y="135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50</xdr:row>
      <xdr:rowOff>9525</xdr:rowOff>
    </xdr:from>
    <xdr:to>
      <xdr:col>10</xdr:col>
      <xdr:colOff>0</xdr:colOff>
      <xdr:row>55</xdr:row>
      <xdr:rowOff>28575</xdr:rowOff>
    </xdr:to>
    <xdr:sp>
      <xdr:nvSpPr>
        <xdr:cNvPr id="10" name="Freeform 16"/>
        <xdr:cNvSpPr>
          <a:spLocks/>
        </xdr:cNvSpPr>
      </xdr:nvSpPr>
      <xdr:spPr>
        <a:xfrm>
          <a:off x="4114800" y="8334375"/>
          <a:ext cx="1152525" cy="781050"/>
        </a:xfrm>
        <a:custGeom>
          <a:pathLst>
            <a:path h="97" w="122">
              <a:moveTo>
                <a:pt x="122" y="97"/>
              </a:moveTo>
              <a:lnTo>
                <a:pt x="0" y="97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49</xdr:row>
      <xdr:rowOff>76200</xdr:rowOff>
    </xdr:from>
    <xdr:to>
      <xdr:col>10</xdr:col>
      <xdr:colOff>0</xdr:colOff>
      <xdr:row>50</xdr:row>
      <xdr:rowOff>28575</xdr:rowOff>
    </xdr:to>
    <xdr:sp>
      <xdr:nvSpPr>
        <xdr:cNvPr id="11" name="Freeform 17"/>
        <xdr:cNvSpPr>
          <a:spLocks/>
        </xdr:cNvSpPr>
      </xdr:nvSpPr>
      <xdr:spPr>
        <a:xfrm>
          <a:off x="4819650" y="8248650"/>
          <a:ext cx="447675" cy="104775"/>
        </a:xfrm>
        <a:custGeom>
          <a:pathLst>
            <a:path h="42" w="47">
              <a:moveTo>
                <a:pt x="47" y="42"/>
              </a:moveTo>
              <a:lnTo>
                <a:pt x="23" y="42"/>
              </a:lnTo>
              <a:lnTo>
                <a:pt x="23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63</xdr:row>
      <xdr:rowOff>28575</xdr:rowOff>
    </xdr:from>
    <xdr:to>
      <xdr:col>10</xdr:col>
      <xdr:colOff>0</xdr:colOff>
      <xdr:row>66</xdr:row>
      <xdr:rowOff>57150</xdr:rowOff>
    </xdr:to>
    <xdr:sp>
      <xdr:nvSpPr>
        <xdr:cNvPr id="12" name="Freeform 18"/>
        <xdr:cNvSpPr>
          <a:spLocks/>
        </xdr:cNvSpPr>
      </xdr:nvSpPr>
      <xdr:spPr>
        <a:xfrm>
          <a:off x="4181475" y="10334625"/>
          <a:ext cx="1085850" cy="485775"/>
        </a:xfrm>
        <a:custGeom>
          <a:pathLst>
            <a:path h="52" w="114">
              <a:moveTo>
                <a:pt x="114" y="0"/>
              </a:moveTo>
              <a:lnTo>
                <a:pt x="91" y="0"/>
              </a:lnTo>
              <a:lnTo>
                <a:pt x="91" y="52"/>
              </a:lnTo>
              <a:lnTo>
                <a:pt x="0" y="52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68</xdr:row>
      <xdr:rowOff>9525</xdr:rowOff>
    </xdr:from>
    <xdr:to>
      <xdr:col>10</xdr:col>
      <xdr:colOff>0</xdr:colOff>
      <xdr:row>73</xdr:row>
      <xdr:rowOff>28575</xdr:rowOff>
    </xdr:to>
    <xdr:sp>
      <xdr:nvSpPr>
        <xdr:cNvPr id="13" name="Freeform 19"/>
        <xdr:cNvSpPr>
          <a:spLocks/>
        </xdr:cNvSpPr>
      </xdr:nvSpPr>
      <xdr:spPr>
        <a:xfrm>
          <a:off x="4114800" y="11077575"/>
          <a:ext cx="1152525" cy="781050"/>
        </a:xfrm>
        <a:custGeom>
          <a:pathLst>
            <a:path h="97" w="122">
              <a:moveTo>
                <a:pt x="122" y="97"/>
              </a:moveTo>
              <a:lnTo>
                <a:pt x="0" y="97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67</xdr:row>
      <xdr:rowOff>76200</xdr:rowOff>
    </xdr:from>
    <xdr:to>
      <xdr:col>10</xdr:col>
      <xdr:colOff>0</xdr:colOff>
      <xdr:row>68</xdr:row>
      <xdr:rowOff>28575</xdr:rowOff>
    </xdr:to>
    <xdr:sp>
      <xdr:nvSpPr>
        <xdr:cNvPr id="14" name="Freeform 20"/>
        <xdr:cNvSpPr>
          <a:spLocks/>
        </xdr:cNvSpPr>
      </xdr:nvSpPr>
      <xdr:spPr>
        <a:xfrm>
          <a:off x="4819650" y="10991850"/>
          <a:ext cx="447675" cy="104775"/>
        </a:xfrm>
        <a:custGeom>
          <a:pathLst>
            <a:path h="42" w="47">
              <a:moveTo>
                <a:pt x="47" y="42"/>
              </a:moveTo>
              <a:lnTo>
                <a:pt x="23" y="42"/>
              </a:lnTo>
              <a:lnTo>
                <a:pt x="23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78</xdr:row>
      <xdr:rowOff>38100</xdr:rowOff>
    </xdr:from>
    <xdr:to>
      <xdr:col>9</xdr:col>
      <xdr:colOff>209550</xdr:colOff>
      <xdr:row>81</xdr:row>
      <xdr:rowOff>66675</xdr:rowOff>
    </xdr:to>
    <xdr:sp>
      <xdr:nvSpPr>
        <xdr:cNvPr id="15" name="Freeform 21"/>
        <xdr:cNvSpPr>
          <a:spLocks/>
        </xdr:cNvSpPr>
      </xdr:nvSpPr>
      <xdr:spPr>
        <a:xfrm>
          <a:off x="4343400" y="12630150"/>
          <a:ext cx="914400" cy="485775"/>
        </a:xfrm>
        <a:custGeom>
          <a:pathLst>
            <a:path h="51" w="96">
              <a:moveTo>
                <a:pt x="96" y="0"/>
              </a:moveTo>
              <a:lnTo>
                <a:pt x="73" y="0"/>
              </a:lnTo>
              <a:lnTo>
                <a:pt x="73" y="51"/>
              </a:lnTo>
              <a:lnTo>
                <a:pt x="0" y="5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76200</xdr:rowOff>
    </xdr:from>
    <xdr:to>
      <xdr:col>10</xdr:col>
      <xdr:colOff>0</xdr:colOff>
      <xdr:row>84</xdr:row>
      <xdr:rowOff>28575</xdr:rowOff>
    </xdr:to>
    <xdr:sp>
      <xdr:nvSpPr>
        <xdr:cNvPr id="16" name="Freeform 23"/>
        <xdr:cNvSpPr>
          <a:spLocks/>
        </xdr:cNvSpPr>
      </xdr:nvSpPr>
      <xdr:spPr>
        <a:xfrm>
          <a:off x="4829175" y="13430250"/>
          <a:ext cx="438150" cy="104775"/>
        </a:xfrm>
        <a:custGeom>
          <a:pathLst>
            <a:path h="11" w="46">
              <a:moveTo>
                <a:pt x="46" y="11"/>
              </a:moveTo>
              <a:lnTo>
                <a:pt x="30" y="11"/>
              </a:lnTo>
              <a:lnTo>
                <a:pt x="30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80</xdr:row>
      <xdr:rowOff>28575</xdr:rowOff>
    </xdr:from>
    <xdr:to>
      <xdr:col>7</xdr:col>
      <xdr:colOff>142875</xdr:colOff>
      <xdr:row>82</xdr:row>
      <xdr:rowOff>123825</xdr:rowOff>
    </xdr:to>
    <xdr:sp>
      <xdr:nvSpPr>
        <xdr:cNvPr id="17" name="Freeform 24"/>
        <xdr:cNvSpPr>
          <a:spLocks/>
        </xdr:cNvSpPr>
      </xdr:nvSpPr>
      <xdr:spPr>
        <a:xfrm>
          <a:off x="4171950" y="12925425"/>
          <a:ext cx="133350" cy="400050"/>
        </a:xfrm>
        <a:custGeom>
          <a:pathLst>
            <a:path h="136" w="7">
              <a:moveTo>
                <a:pt x="0" y="0"/>
              </a:moveTo>
              <a:lnTo>
                <a:pt x="7" y="0"/>
              </a:lnTo>
              <a:lnTo>
                <a:pt x="7" y="136"/>
              </a:lnTo>
              <a:lnTo>
                <a:pt x="0" y="135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84</xdr:row>
      <xdr:rowOff>133350</xdr:rowOff>
    </xdr:from>
    <xdr:to>
      <xdr:col>9</xdr:col>
      <xdr:colOff>209550</xdr:colOff>
      <xdr:row>99</xdr:row>
      <xdr:rowOff>28575</xdr:rowOff>
    </xdr:to>
    <xdr:sp>
      <xdr:nvSpPr>
        <xdr:cNvPr id="18" name="Freeform 25"/>
        <xdr:cNvSpPr>
          <a:spLocks/>
        </xdr:cNvSpPr>
      </xdr:nvSpPr>
      <xdr:spPr>
        <a:xfrm>
          <a:off x="3524250" y="13639800"/>
          <a:ext cx="1733550" cy="2181225"/>
        </a:xfrm>
        <a:custGeom>
          <a:pathLst>
            <a:path h="97" w="122">
              <a:moveTo>
                <a:pt x="122" y="97"/>
              </a:moveTo>
              <a:lnTo>
                <a:pt x="0" y="97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84</xdr:row>
      <xdr:rowOff>85725</xdr:rowOff>
    </xdr:from>
    <xdr:to>
      <xdr:col>10</xdr:col>
      <xdr:colOff>0</xdr:colOff>
      <xdr:row>94</xdr:row>
      <xdr:rowOff>28575</xdr:rowOff>
    </xdr:to>
    <xdr:sp>
      <xdr:nvSpPr>
        <xdr:cNvPr id="19" name="Freeform 26"/>
        <xdr:cNvSpPr>
          <a:spLocks/>
        </xdr:cNvSpPr>
      </xdr:nvSpPr>
      <xdr:spPr>
        <a:xfrm>
          <a:off x="4819650" y="13592175"/>
          <a:ext cx="447675" cy="1466850"/>
        </a:xfrm>
        <a:custGeom>
          <a:pathLst>
            <a:path h="154" w="47">
              <a:moveTo>
                <a:pt x="47" y="154"/>
              </a:moveTo>
              <a:lnTo>
                <a:pt x="16" y="154"/>
              </a:lnTo>
              <a:lnTo>
                <a:pt x="17" y="84"/>
              </a:lnTo>
              <a:lnTo>
                <a:pt x="20" y="79"/>
              </a:lnTo>
              <a:lnTo>
                <a:pt x="21" y="72"/>
              </a:lnTo>
              <a:lnTo>
                <a:pt x="17" y="67"/>
              </a:lnTo>
              <a:lnTo>
                <a:pt x="16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88</xdr:row>
      <xdr:rowOff>133350</xdr:rowOff>
    </xdr:from>
    <xdr:to>
      <xdr:col>9</xdr:col>
      <xdr:colOff>9525</xdr:colOff>
      <xdr:row>89</xdr:row>
      <xdr:rowOff>95250</xdr:rowOff>
    </xdr:to>
    <xdr:sp>
      <xdr:nvSpPr>
        <xdr:cNvPr id="20" name="Rectangle 27"/>
        <xdr:cNvSpPr>
          <a:spLocks/>
        </xdr:cNvSpPr>
      </xdr:nvSpPr>
      <xdr:spPr>
        <a:xfrm>
          <a:off x="4838700" y="14249400"/>
          <a:ext cx="219075" cy="1143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83</xdr:row>
      <xdr:rowOff>114300</xdr:rowOff>
    </xdr:from>
    <xdr:to>
      <xdr:col>9</xdr:col>
      <xdr:colOff>209550</xdr:colOff>
      <xdr:row>89</xdr:row>
      <xdr:rowOff>38100</xdr:rowOff>
    </xdr:to>
    <xdr:sp>
      <xdr:nvSpPr>
        <xdr:cNvPr id="21" name="Freeform 22"/>
        <xdr:cNvSpPr>
          <a:spLocks/>
        </xdr:cNvSpPr>
      </xdr:nvSpPr>
      <xdr:spPr>
        <a:xfrm>
          <a:off x="3667125" y="13468350"/>
          <a:ext cx="1590675" cy="838200"/>
        </a:xfrm>
        <a:custGeom>
          <a:pathLst>
            <a:path h="97" w="122">
              <a:moveTo>
                <a:pt x="122" y="97"/>
              </a:moveTo>
              <a:lnTo>
                <a:pt x="0" y="97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106</xdr:row>
      <xdr:rowOff>28575</xdr:rowOff>
    </xdr:from>
    <xdr:to>
      <xdr:col>10</xdr:col>
      <xdr:colOff>0</xdr:colOff>
      <xdr:row>108</xdr:row>
      <xdr:rowOff>66675</xdr:rowOff>
    </xdr:to>
    <xdr:sp>
      <xdr:nvSpPr>
        <xdr:cNvPr id="22" name="Freeform 28"/>
        <xdr:cNvSpPr>
          <a:spLocks/>
        </xdr:cNvSpPr>
      </xdr:nvSpPr>
      <xdr:spPr>
        <a:xfrm>
          <a:off x="4181475" y="16887825"/>
          <a:ext cx="1085850" cy="342900"/>
        </a:xfrm>
        <a:custGeom>
          <a:pathLst>
            <a:path h="52" w="114">
              <a:moveTo>
                <a:pt x="114" y="0"/>
              </a:moveTo>
              <a:lnTo>
                <a:pt x="91" y="0"/>
              </a:lnTo>
              <a:lnTo>
                <a:pt x="91" y="52"/>
              </a:lnTo>
              <a:lnTo>
                <a:pt x="0" y="52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109</xdr:row>
      <xdr:rowOff>85725</xdr:rowOff>
    </xdr:from>
    <xdr:to>
      <xdr:col>10</xdr:col>
      <xdr:colOff>0</xdr:colOff>
      <xdr:row>111</xdr:row>
      <xdr:rowOff>28575</xdr:rowOff>
    </xdr:to>
    <xdr:sp>
      <xdr:nvSpPr>
        <xdr:cNvPr id="23" name="Freeform 30"/>
        <xdr:cNvSpPr>
          <a:spLocks/>
        </xdr:cNvSpPr>
      </xdr:nvSpPr>
      <xdr:spPr>
        <a:xfrm>
          <a:off x="4838700" y="17402175"/>
          <a:ext cx="428625" cy="247650"/>
        </a:xfrm>
        <a:custGeom>
          <a:pathLst>
            <a:path h="26" w="45">
              <a:moveTo>
                <a:pt x="45" y="26"/>
              </a:moveTo>
              <a:lnTo>
                <a:pt x="31" y="26"/>
              </a:lnTo>
              <a:lnTo>
                <a:pt x="31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110</xdr:row>
      <xdr:rowOff>85725</xdr:rowOff>
    </xdr:from>
    <xdr:to>
      <xdr:col>10</xdr:col>
      <xdr:colOff>0</xdr:colOff>
      <xdr:row>119</xdr:row>
      <xdr:rowOff>28575</xdr:rowOff>
    </xdr:to>
    <xdr:sp>
      <xdr:nvSpPr>
        <xdr:cNvPr id="24" name="Freeform 32"/>
        <xdr:cNvSpPr>
          <a:spLocks/>
        </xdr:cNvSpPr>
      </xdr:nvSpPr>
      <xdr:spPr>
        <a:xfrm>
          <a:off x="4162425" y="17554575"/>
          <a:ext cx="1104900" cy="1314450"/>
        </a:xfrm>
        <a:custGeom>
          <a:pathLst>
            <a:path h="139" w="116">
              <a:moveTo>
                <a:pt x="116" y="139"/>
              </a:moveTo>
              <a:lnTo>
                <a:pt x="83" y="139"/>
              </a:lnTo>
              <a:lnTo>
                <a:pt x="83" y="94"/>
              </a:lnTo>
              <a:lnTo>
                <a:pt x="86" y="86"/>
              </a:lnTo>
              <a:lnTo>
                <a:pt x="86" y="63"/>
              </a:lnTo>
              <a:lnTo>
                <a:pt x="83" y="54"/>
              </a:lnTo>
              <a:lnTo>
                <a:pt x="83" y="0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111</xdr:row>
      <xdr:rowOff>142875</xdr:rowOff>
    </xdr:from>
    <xdr:to>
      <xdr:col>10</xdr:col>
      <xdr:colOff>0</xdr:colOff>
      <xdr:row>124</xdr:row>
      <xdr:rowOff>28575</xdr:rowOff>
    </xdr:to>
    <xdr:sp>
      <xdr:nvSpPr>
        <xdr:cNvPr id="25" name="Freeform 35"/>
        <xdr:cNvSpPr>
          <a:spLocks/>
        </xdr:cNvSpPr>
      </xdr:nvSpPr>
      <xdr:spPr>
        <a:xfrm>
          <a:off x="4724400" y="17764125"/>
          <a:ext cx="542925" cy="1866900"/>
        </a:xfrm>
        <a:custGeom>
          <a:pathLst>
            <a:path h="196" w="57">
              <a:moveTo>
                <a:pt x="57" y="196"/>
              </a:moveTo>
              <a:lnTo>
                <a:pt x="0" y="196"/>
              </a:lnTo>
              <a:lnTo>
                <a:pt x="0" y="71"/>
              </a:lnTo>
              <a:lnTo>
                <a:pt x="3" y="62"/>
              </a:lnTo>
              <a:lnTo>
                <a:pt x="3" y="42"/>
              </a:lnTo>
              <a:lnTo>
                <a:pt x="0" y="33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112</xdr:row>
      <xdr:rowOff>9525</xdr:rowOff>
    </xdr:from>
    <xdr:to>
      <xdr:col>10</xdr:col>
      <xdr:colOff>0</xdr:colOff>
      <xdr:row>128</xdr:row>
      <xdr:rowOff>28575</xdr:rowOff>
    </xdr:to>
    <xdr:sp>
      <xdr:nvSpPr>
        <xdr:cNvPr id="26" name="Freeform 37"/>
        <xdr:cNvSpPr>
          <a:spLocks/>
        </xdr:cNvSpPr>
      </xdr:nvSpPr>
      <xdr:spPr>
        <a:xfrm>
          <a:off x="4048125" y="17783175"/>
          <a:ext cx="1219200" cy="2457450"/>
        </a:xfrm>
        <a:custGeom>
          <a:pathLst>
            <a:path h="258" w="128">
              <a:moveTo>
                <a:pt x="128" y="258"/>
              </a:moveTo>
              <a:lnTo>
                <a:pt x="0" y="258"/>
              </a:lnTo>
              <a:lnTo>
                <a:pt x="0" y="69"/>
              </a:lnTo>
              <a:lnTo>
                <a:pt x="2" y="62"/>
              </a:lnTo>
              <a:lnTo>
                <a:pt x="2" y="39"/>
              </a:lnTo>
              <a:lnTo>
                <a:pt x="0" y="32"/>
              </a:lnTo>
              <a:lnTo>
                <a:pt x="0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123825</xdr:rowOff>
    </xdr:from>
    <xdr:to>
      <xdr:col>8</xdr:col>
      <xdr:colOff>190500</xdr:colOff>
      <xdr:row>115</xdr:row>
      <xdr:rowOff>76200</xdr:rowOff>
    </xdr:to>
    <xdr:sp>
      <xdr:nvSpPr>
        <xdr:cNvPr id="27" name="Rectangle 33"/>
        <xdr:cNvSpPr>
          <a:spLocks/>
        </xdr:cNvSpPr>
      </xdr:nvSpPr>
      <xdr:spPr>
        <a:xfrm>
          <a:off x="3505200" y="18202275"/>
          <a:ext cx="1514475" cy="1047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109</xdr:row>
      <xdr:rowOff>76200</xdr:rowOff>
    </xdr:from>
    <xdr:to>
      <xdr:col>10</xdr:col>
      <xdr:colOff>0</xdr:colOff>
      <xdr:row>115</xdr:row>
      <xdr:rowOff>28575</xdr:rowOff>
    </xdr:to>
    <xdr:sp>
      <xdr:nvSpPr>
        <xdr:cNvPr id="28" name="Freeform 31"/>
        <xdr:cNvSpPr>
          <a:spLocks/>
        </xdr:cNvSpPr>
      </xdr:nvSpPr>
      <xdr:spPr>
        <a:xfrm>
          <a:off x="3067050" y="17392650"/>
          <a:ext cx="2200275" cy="866775"/>
        </a:xfrm>
        <a:custGeom>
          <a:pathLst>
            <a:path h="91" w="204">
              <a:moveTo>
                <a:pt x="204" y="91"/>
              </a:moveTo>
              <a:lnTo>
                <a:pt x="0" y="91"/>
              </a:lnTo>
              <a:lnTo>
                <a:pt x="0" y="0"/>
              </a:lnTo>
              <a:lnTo>
                <a:pt x="18" y="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</xdr:row>
      <xdr:rowOff>276225</xdr:rowOff>
    </xdr:from>
    <xdr:to>
      <xdr:col>11</xdr:col>
      <xdr:colOff>866775</xdr:colOff>
      <xdr:row>2</xdr:row>
      <xdr:rowOff>57150</xdr:rowOff>
    </xdr:to>
    <xdr:grpSp>
      <xdr:nvGrpSpPr>
        <xdr:cNvPr id="29" name="Group 38">
          <a:hlinkClick r:id="rId1"/>
        </xdr:cNvPr>
        <xdr:cNvGrpSpPr>
          <a:grpSpLocks/>
        </xdr:cNvGrpSpPr>
      </xdr:nvGrpSpPr>
      <xdr:grpSpPr>
        <a:xfrm>
          <a:off x="5286375" y="657225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30" name="Rectangle 39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40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41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 fPrintsWithSheet="0"/>
  </xdr:twoCellAnchor>
  <xdr:twoCellAnchor>
    <xdr:from>
      <xdr:col>11</xdr:col>
      <xdr:colOff>1066800</xdr:colOff>
      <xdr:row>1</xdr:row>
      <xdr:rowOff>276225</xdr:rowOff>
    </xdr:from>
    <xdr:to>
      <xdr:col>13</xdr:col>
      <xdr:colOff>390525</xdr:colOff>
      <xdr:row>2</xdr:row>
      <xdr:rowOff>57150</xdr:rowOff>
    </xdr:to>
    <xdr:grpSp>
      <xdr:nvGrpSpPr>
        <xdr:cNvPr id="33" name="Group 42">
          <a:hlinkClick r:id="rId2"/>
        </xdr:cNvPr>
        <xdr:cNvGrpSpPr>
          <a:grpSpLocks/>
        </xdr:cNvGrpSpPr>
      </xdr:nvGrpSpPr>
      <xdr:grpSpPr>
        <a:xfrm>
          <a:off x="6657975" y="657225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34" name="Rectangle 43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 Box 44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Korrektur</a:t>
            </a:r>
          </a:p>
        </xdr:txBody>
      </xdr:sp>
      <xdr:sp>
        <xdr:nvSpPr>
          <xdr:cNvPr id="36" name="Freeform 45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9</xdr:col>
      <xdr:colOff>209550</xdr:colOff>
      <xdr:row>4</xdr:row>
      <xdr:rowOff>57150</xdr:rowOff>
    </xdr:from>
    <xdr:to>
      <xdr:col>11</xdr:col>
      <xdr:colOff>800100</xdr:colOff>
      <xdr:row>5</xdr:row>
      <xdr:rowOff>104775</xdr:rowOff>
    </xdr:to>
    <xdr:grpSp>
      <xdr:nvGrpSpPr>
        <xdr:cNvPr id="37" name="Group 46">
          <a:hlinkClick r:id="rId3"/>
        </xdr:cNvPr>
        <xdr:cNvGrpSpPr>
          <a:grpSpLocks/>
        </xdr:cNvGrpSpPr>
      </xdr:nvGrpSpPr>
      <xdr:grpSpPr>
        <a:xfrm>
          <a:off x="5257800" y="1219200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38" name="Rectangle 47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48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Leistung</a:t>
            </a:r>
          </a:p>
        </xdr:txBody>
      </xdr:sp>
      <xdr:sp>
        <xdr:nvSpPr>
          <xdr:cNvPr id="40" name="Freeform 49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9</xdr:col>
      <xdr:colOff>209550</xdr:colOff>
      <xdr:row>22</xdr:row>
      <xdr:rowOff>66675</xdr:rowOff>
    </xdr:from>
    <xdr:to>
      <xdr:col>11</xdr:col>
      <xdr:colOff>800100</xdr:colOff>
      <xdr:row>23</xdr:row>
      <xdr:rowOff>114300</xdr:rowOff>
    </xdr:to>
    <xdr:grpSp>
      <xdr:nvGrpSpPr>
        <xdr:cNvPr id="41" name="Group 50">
          <a:hlinkClick r:id="rId4"/>
        </xdr:cNvPr>
        <xdr:cNvGrpSpPr>
          <a:grpSpLocks/>
        </xdr:cNvGrpSpPr>
      </xdr:nvGrpSpPr>
      <xdr:grpSpPr>
        <a:xfrm>
          <a:off x="5257800" y="412432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42" name="Rectangle 51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Box 52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Rohstoffkosten</a:t>
            </a:r>
          </a:p>
        </xdr:txBody>
      </xdr:sp>
      <xdr:sp>
        <xdr:nvSpPr>
          <xdr:cNvPr id="44" name="Freeform 53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9</xdr:col>
      <xdr:colOff>209550</xdr:colOff>
      <xdr:row>36</xdr:row>
      <xdr:rowOff>57150</xdr:rowOff>
    </xdr:from>
    <xdr:to>
      <xdr:col>11</xdr:col>
      <xdr:colOff>800100</xdr:colOff>
      <xdr:row>37</xdr:row>
      <xdr:rowOff>104775</xdr:rowOff>
    </xdr:to>
    <xdr:grpSp>
      <xdr:nvGrpSpPr>
        <xdr:cNvPr id="45" name="Group 54">
          <a:hlinkClick r:id="rId5"/>
        </xdr:cNvPr>
        <xdr:cNvGrpSpPr>
          <a:grpSpLocks/>
        </xdr:cNvGrpSpPr>
      </xdr:nvGrpSpPr>
      <xdr:grpSpPr>
        <a:xfrm>
          <a:off x="5257800" y="6248400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46" name="Rectangle 55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56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Verarbeitungsk.</a:t>
            </a:r>
          </a:p>
        </xdr:txBody>
      </xdr:sp>
      <xdr:sp>
        <xdr:nvSpPr>
          <xdr:cNvPr id="48" name="Freeform 57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9</xdr:col>
      <xdr:colOff>209550</xdr:colOff>
      <xdr:row>61</xdr:row>
      <xdr:rowOff>57150</xdr:rowOff>
    </xdr:from>
    <xdr:to>
      <xdr:col>11</xdr:col>
      <xdr:colOff>800100</xdr:colOff>
      <xdr:row>62</xdr:row>
      <xdr:rowOff>104775</xdr:rowOff>
    </xdr:to>
    <xdr:grpSp>
      <xdr:nvGrpSpPr>
        <xdr:cNvPr id="49" name="Group 58">
          <a:hlinkClick r:id="rId6"/>
        </xdr:cNvPr>
        <xdr:cNvGrpSpPr>
          <a:grpSpLocks/>
        </xdr:cNvGrpSpPr>
      </xdr:nvGrpSpPr>
      <xdr:grpSpPr>
        <a:xfrm>
          <a:off x="5257800" y="10058400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50" name="Rectangle 59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60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Arbeitskosten</a:t>
            </a:r>
          </a:p>
        </xdr:txBody>
      </xdr:sp>
      <xdr:sp>
        <xdr:nvSpPr>
          <xdr:cNvPr id="52" name="Freeform 61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9</xdr:col>
      <xdr:colOff>209550</xdr:colOff>
      <xdr:row>76</xdr:row>
      <xdr:rowOff>57150</xdr:rowOff>
    </xdr:from>
    <xdr:to>
      <xdr:col>11</xdr:col>
      <xdr:colOff>800100</xdr:colOff>
      <xdr:row>77</xdr:row>
      <xdr:rowOff>104775</xdr:rowOff>
    </xdr:to>
    <xdr:grpSp>
      <xdr:nvGrpSpPr>
        <xdr:cNvPr id="53" name="Group 62">
          <a:hlinkClick r:id="rId7"/>
        </xdr:cNvPr>
        <xdr:cNvGrpSpPr>
          <a:grpSpLocks/>
        </xdr:cNvGrpSpPr>
      </xdr:nvGrpSpPr>
      <xdr:grpSpPr>
        <a:xfrm>
          <a:off x="5257800" y="12344400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54" name="Rectangle 63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64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Fixkosten</a:t>
            </a:r>
          </a:p>
        </xdr:txBody>
      </xdr:sp>
      <xdr:sp>
        <xdr:nvSpPr>
          <xdr:cNvPr id="56" name="Freeform 65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10</xdr:col>
      <xdr:colOff>0</xdr:colOff>
      <xdr:row>104</xdr:row>
      <xdr:rowOff>66675</xdr:rowOff>
    </xdr:from>
    <xdr:to>
      <xdr:col>11</xdr:col>
      <xdr:colOff>809625</xdr:colOff>
      <xdr:row>105</xdr:row>
      <xdr:rowOff>114300</xdr:rowOff>
    </xdr:to>
    <xdr:grpSp>
      <xdr:nvGrpSpPr>
        <xdr:cNvPr id="57" name="Group 66">
          <a:hlinkClick r:id="rId8"/>
        </xdr:cNvPr>
        <xdr:cNvGrpSpPr>
          <a:grpSpLocks/>
        </xdr:cNvGrpSpPr>
      </xdr:nvGrpSpPr>
      <xdr:grpSpPr>
        <a:xfrm>
          <a:off x="5267325" y="16621125"/>
          <a:ext cx="1133475" cy="200025"/>
          <a:chOff x="690" y="221"/>
          <a:chExt cx="94" cy="19"/>
        </a:xfrm>
        <a:solidFill>
          <a:srgbClr val="FFFFFF"/>
        </a:solidFill>
      </xdr:grpSpPr>
      <xdr:sp>
        <xdr:nvSpPr>
          <xdr:cNvPr id="58" name="Rectangle 67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 Box 68"/>
          <xdr:cNvSpPr txBox="1">
            <a:spLocks noChangeArrowheads="1"/>
          </xdr:cNvSpPr>
        </xdr:nvSpPr>
        <xdr:spPr>
          <a:xfrm>
            <a:off x="693" y="223"/>
            <a:ext cx="88" cy="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96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Gemeinkosten</a:t>
            </a:r>
          </a:p>
        </xdr:txBody>
      </xdr:sp>
      <xdr:sp>
        <xdr:nvSpPr>
          <xdr:cNvPr id="60" name="Freeform 69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7</xdr:col>
      <xdr:colOff>457200</xdr:colOff>
      <xdr:row>0</xdr:row>
      <xdr:rowOff>85725</xdr:rowOff>
    </xdr:from>
    <xdr:to>
      <xdr:col>10</xdr:col>
      <xdr:colOff>76200</xdr:colOff>
      <xdr:row>0</xdr:row>
      <xdr:rowOff>295275</xdr:rowOff>
    </xdr:to>
    <xdr:grpSp>
      <xdr:nvGrpSpPr>
        <xdr:cNvPr id="61" name="Group 70">
          <a:hlinkClick r:id="rId9"/>
        </xdr:cNvPr>
        <xdr:cNvGrpSpPr>
          <a:grpSpLocks/>
        </xdr:cNvGrpSpPr>
      </xdr:nvGrpSpPr>
      <xdr:grpSpPr>
        <a:xfrm>
          <a:off x="4619625" y="85725"/>
          <a:ext cx="723900" cy="209550"/>
          <a:chOff x="459" y="8"/>
          <a:chExt cx="82" cy="23"/>
        </a:xfrm>
        <a:solidFill>
          <a:srgbClr val="FFFFFF"/>
        </a:solidFill>
      </xdr:grpSpPr>
      <xdr:sp macro="[0]!Neu_Vollkosten">
        <xdr:nvSpPr>
          <xdr:cNvPr id="62" name="Rectangle 71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63" name="Freeform 72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u_Vollkosten">
        <xdr:nvSpPr>
          <xdr:cNvPr id="64" name="Text Box 73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Neu ...</a:t>
            </a:r>
          </a:p>
        </xdr:txBody>
      </xdr:sp>
    </xdr:grpSp>
    <xdr:clientData fPrintsWithSheet="0"/>
  </xdr:twoCellAnchor>
  <xdr:twoCellAnchor>
    <xdr:from>
      <xdr:col>5</xdr:col>
      <xdr:colOff>285750</xdr:colOff>
      <xdr:row>0</xdr:row>
      <xdr:rowOff>85725</xdr:rowOff>
    </xdr:from>
    <xdr:to>
      <xdr:col>7</xdr:col>
      <xdr:colOff>371475</xdr:colOff>
      <xdr:row>0</xdr:row>
      <xdr:rowOff>295275</xdr:rowOff>
    </xdr:to>
    <xdr:grpSp>
      <xdr:nvGrpSpPr>
        <xdr:cNvPr id="65" name="Group 74">
          <a:hlinkClick r:id="rId10"/>
        </xdr:cNvPr>
        <xdr:cNvGrpSpPr>
          <a:grpSpLocks/>
        </xdr:cNvGrpSpPr>
      </xdr:nvGrpSpPr>
      <xdr:grpSpPr>
        <a:xfrm>
          <a:off x="3028950" y="85725"/>
          <a:ext cx="1504950" cy="209550"/>
          <a:chOff x="459" y="8"/>
          <a:chExt cx="82" cy="23"/>
        </a:xfrm>
        <a:solidFill>
          <a:srgbClr val="FFFFFF"/>
        </a:solidFill>
      </xdr:grpSpPr>
      <xdr:sp macro="[0]!Nocheinmal_Vollkostenrechnung">
        <xdr:nvSpPr>
          <xdr:cNvPr id="66" name="Rectangle 75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67" name="Freeform 76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cheinmal_Vollkostenrechnung">
        <xdr:nvSpPr>
          <xdr:cNvPr id="68" name="Text Box 77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Noch einmal! ...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la%20imst\02%20Betriebslehre%20-%20LFS\01%20Betriebslehre%20-%20LFS%202\excel-rechenmodelle\maschinenkostenrechnung\&#252;bungsprogramm%20maschinenkostenrechnung%20v2.10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eingabe"/>
      <sheetName val="Maschinenkosten"/>
      <sheetName val="Korrektur"/>
      <sheetName val="Hilfe"/>
      <sheetName val="übungsprogramm maschinenkostenr"/>
    </sheetNames>
    <definedNames>
      <definedName name="Ne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7"/>
  </sheetPr>
  <dimension ref="A1:L87"/>
  <sheetViews>
    <sheetView showGridLines="0" showRowColHeaders="0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10" sqref="C10:F10"/>
    </sheetView>
  </sheetViews>
  <sheetFormatPr defaultColWidth="0" defaultRowHeight="12.75" customHeight="1" zeroHeight="1"/>
  <cols>
    <col min="1" max="1" width="4.77734375" style="0" customWidth="1"/>
    <col min="2" max="3" width="10.77734375" style="0" customWidth="1"/>
    <col min="4" max="4" width="8.77734375" style="0" customWidth="1"/>
    <col min="5" max="5" width="0.88671875" style="0" customWidth="1"/>
    <col min="6" max="6" width="10.77734375" style="0" customWidth="1"/>
    <col min="7" max="7" width="0.44140625" style="0" customWidth="1"/>
    <col min="8" max="8" width="7.77734375" style="0" customWidth="1"/>
    <col min="9" max="9" width="0.44140625" style="0" customWidth="1"/>
    <col min="10" max="10" width="8.77734375" style="0" customWidth="1"/>
    <col min="11" max="11" width="4.77734375" style="0" customWidth="1"/>
    <col min="12" max="12" width="13.77734375" style="0" customWidth="1"/>
    <col min="13" max="16384" width="11.5546875" style="0" hidden="1" customWidth="1"/>
  </cols>
  <sheetData>
    <row r="1" spans="1:12" ht="30" customHeight="1">
      <c r="A1" s="79" t="s">
        <v>32</v>
      </c>
      <c r="B1" s="80"/>
      <c r="C1" s="80"/>
      <c r="D1" s="80"/>
      <c r="E1" s="80"/>
      <c r="F1" s="80"/>
      <c r="G1" s="80"/>
      <c r="H1" s="80"/>
      <c r="I1" s="80"/>
      <c r="J1" s="81"/>
      <c r="K1" s="82"/>
      <c r="L1" s="83"/>
    </row>
    <row r="2" spans="1:12" ht="12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1"/>
      <c r="L2" s="2"/>
    </row>
    <row r="3" spans="1:12" ht="12" customHeight="1">
      <c r="A3" s="84"/>
      <c r="B3" s="85" t="s">
        <v>42</v>
      </c>
      <c r="C3" s="86" t="s">
        <v>43</v>
      </c>
      <c r="D3" s="4" t="s">
        <v>44</v>
      </c>
      <c r="E3" s="4"/>
      <c r="F3" s="1"/>
      <c r="G3" s="84"/>
      <c r="H3" s="84"/>
      <c r="I3" s="84"/>
      <c r="J3" s="1"/>
      <c r="K3" s="1"/>
      <c r="L3" s="2"/>
    </row>
    <row r="4" spans="1:12" ht="3" customHeight="1">
      <c r="A4" s="84"/>
      <c r="B4" s="84"/>
      <c r="C4" s="84"/>
      <c r="D4" s="87"/>
      <c r="E4" s="87"/>
      <c r="F4" s="1"/>
      <c r="G4" s="84"/>
      <c r="H4" s="84"/>
      <c r="I4" s="84"/>
      <c r="J4" s="1"/>
      <c r="K4" s="1"/>
      <c r="L4" s="2"/>
    </row>
    <row r="5" spans="1:12" ht="12" customHeight="1">
      <c r="A5" s="84"/>
      <c r="B5" s="1"/>
      <c r="C5" s="88" t="s">
        <v>43</v>
      </c>
      <c r="D5" s="4" t="s">
        <v>45</v>
      </c>
      <c r="E5" s="4"/>
      <c r="F5" s="1"/>
      <c r="G5" s="84"/>
      <c r="H5" s="84"/>
      <c r="I5" s="84"/>
      <c r="J5" s="1"/>
      <c r="K5" s="3"/>
      <c r="L5" s="2"/>
    </row>
    <row r="6" spans="1:12" ht="3" customHeight="1">
      <c r="A6" s="84"/>
      <c r="B6" s="84"/>
      <c r="C6" s="84"/>
      <c r="D6" s="87"/>
      <c r="E6" s="87"/>
      <c r="F6" s="1"/>
      <c r="G6" s="84"/>
      <c r="H6" s="84"/>
      <c r="I6" s="84"/>
      <c r="J6" s="84"/>
      <c r="K6" s="1"/>
      <c r="L6" s="2"/>
    </row>
    <row r="7" spans="1:12" ht="12" customHeight="1">
      <c r="A7" s="84"/>
      <c r="B7" s="1"/>
      <c r="C7" s="89" t="s">
        <v>43</v>
      </c>
      <c r="D7" s="4" t="s">
        <v>46</v>
      </c>
      <c r="E7" s="4"/>
      <c r="F7" s="1"/>
      <c r="G7" s="84"/>
      <c r="H7" s="84"/>
      <c r="I7" s="84"/>
      <c r="J7" s="1"/>
      <c r="K7" s="3"/>
      <c r="L7" s="2"/>
    </row>
    <row r="8" spans="1:12" ht="6" customHeight="1">
      <c r="A8" s="84"/>
      <c r="B8" s="84"/>
      <c r="C8" s="1"/>
      <c r="D8" s="84"/>
      <c r="E8" s="84"/>
      <c r="F8" s="84"/>
      <c r="G8" s="84"/>
      <c r="H8" s="84"/>
      <c r="I8" s="84"/>
      <c r="J8" s="84"/>
      <c r="K8" s="1"/>
      <c r="L8" s="2"/>
    </row>
    <row r="9" spans="1:12" ht="30" customHeight="1">
      <c r="A9" s="90"/>
      <c r="B9" s="90"/>
      <c r="C9" s="2"/>
      <c r="D9" s="90"/>
      <c r="E9" s="90"/>
      <c r="F9" s="90"/>
      <c r="G9" s="90"/>
      <c r="H9" s="90"/>
      <c r="I9" s="90"/>
      <c r="J9" s="90"/>
      <c r="K9" s="2"/>
      <c r="L9" s="2"/>
    </row>
    <row r="10" spans="1:12" ht="15" customHeight="1">
      <c r="A10" s="91"/>
      <c r="B10" s="92" t="s">
        <v>51</v>
      </c>
      <c r="C10" s="220" t="s">
        <v>135</v>
      </c>
      <c r="D10" s="221"/>
      <c r="E10" s="221"/>
      <c r="F10" s="222"/>
      <c r="G10" s="93"/>
      <c r="H10" s="93"/>
      <c r="I10" s="93"/>
      <c r="J10" s="93"/>
      <c r="K10" s="91"/>
      <c r="L10" s="2"/>
    </row>
    <row r="11" spans="1:12" ht="12" customHeight="1">
      <c r="A11" s="91"/>
      <c r="B11" s="92"/>
      <c r="C11" s="94"/>
      <c r="D11" s="94"/>
      <c r="E11" s="94"/>
      <c r="F11" s="93"/>
      <c r="G11" s="93"/>
      <c r="H11" s="93"/>
      <c r="I11" s="93"/>
      <c r="J11" s="93"/>
      <c r="K11" s="91"/>
      <c r="L11" s="2"/>
    </row>
    <row r="12" spans="1:12" ht="19.5" customHeight="1">
      <c r="A12" s="91"/>
      <c r="B12" s="92"/>
      <c r="C12" s="91"/>
      <c r="D12" s="91"/>
      <c r="E12" s="91"/>
      <c r="F12" s="91"/>
      <c r="G12" s="91"/>
      <c r="H12" s="91"/>
      <c r="I12" s="91"/>
      <c r="J12" s="91"/>
      <c r="K12" s="91"/>
      <c r="L12" s="2"/>
    </row>
    <row r="13" spans="1:12" ht="12" customHeight="1">
      <c r="A13" s="91"/>
      <c r="B13" s="91" t="s">
        <v>21</v>
      </c>
      <c r="C13" s="91"/>
      <c r="D13" s="5">
        <v>0.25</v>
      </c>
      <c r="E13" s="91"/>
      <c r="F13" s="95">
        <v>1</v>
      </c>
      <c r="G13" s="96"/>
      <c r="H13" s="96"/>
      <c r="I13" s="96"/>
      <c r="J13" s="96"/>
      <c r="K13" s="91"/>
      <c r="L13" s="2"/>
    </row>
    <row r="14" spans="1:12" ht="1.5" customHeight="1">
      <c r="A14" s="97"/>
      <c r="B14" s="97"/>
      <c r="C14" s="97"/>
      <c r="D14" s="97"/>
      <c r="E14" s="91"/>
      <c r="F14" s="98"/>
      <c r="G14" s="96"/>
      <c r="H14" s="96"/>
      <c r="I14" s="96"/>
      <c r="J14" s="98"/>
      <c r="K14" s="97"/>
      <c r="L14" s="2"/>
    </row>
    <row r="15" spans="1:12" ht="12" customHeight="1">
      <c r="A15" s="91"/>
      <c r="B15" s="91" t="s">
        <v>48</v>
      </c>
      <c r="C15" s="91"/>
      <c r="D15" s="5">
        <v>600</v>
      </c>
      <c r="E15" s="91"/>
      <c r="F15" s="91" t="s">
        <v>49</v>
      </c>
      <c r="G15" s="96"/>
      <c r="H15" s="96"/>
      <c r="I15" s="96"/>
      <c r="J15" s="91"/>
      <c r="K15" s="91"/>
      <c r="L15" s="2"/>
    </row>
    <row r="16" spans="1:12" ht="1.5" customHeight="1">
      <c r="A16" s="97"/>
      <c r="B16" s="97"/>
      <c r="C16" s="97"/>
      <c r="D16" s="97"/>
      <c r="E16" s="91"/>
      <c r="F16" s="98"/>
      <c r="G16" s="91"/>
      <c r="H16" s="91"/>
      <c r="I16" s="91"/>
      <c r="J16" s="98"/>
      <c r="K16" s="97"/>
      <c r="L16" s="2"/>
    </row>
    <row r="17" spans="1:12" ht="12" customHeight="1">
      <c r="A17" s="91"/>
      <c r="B17" s="91" t="s">
        <v>30</v>
      </c>
      <c r="C17" s="91"/>
      <c r="D17" s="6">
        <v>0.9</v>
      </c>
      <c r="E17" s="91"/>
      <c r="F17" s="95">
        <v>1</v>
      </c>
      <c r="G17" s="91"/>
      <c r="H17" s="91"/>
      <c r="I17" s="91"/>
      <c r="J17" s="91"/>
      <c r="K17" s="91"/>
      <c r="L17" s="2"/>
    </row>
    <row r="18" spans="1:12" ht="30" customHeight="1">
      <c r="A18" s="91"/>
      <c r="B18" s="92"/>
      <c r="C18" s="92"/>
      <c r="D18" s="92"/>
      <c r="E18" s="92"/>
      <c r="F18" s="92"/>
      <c r="G18" s="91"/>
      <c r="H18" s="91"/>
      <c r="I18" s="91"/>
      <c r="J18" s="92"/>
      <c r="K18" s="99"/>
      <c r="L18" s="2"/>
    </row>
    <row r="19" spans="1:12" ht="19.5" customHeight="1">
      <c r="A19" s="91"/>
      <c r="B19" s="92"/>
      <c r="C19" s="91"/>
      <c r="D19" s="100" t="s">
        <v>41</v>
      </c>
      <c r="E19" s="100"/>
      <c r="F19" s="101" t="s">
        <v>40</v>
      </c>
      <c r="G19" s="91"/>
      <c r="H19" s="91"/>
      <c r="I19" s="91"/>
      <c r="J19" s="92"/>
      <c r="K19" s="99"/>
      <c r="L19" s="2"/>
    </row>
    <row r="20" spans="1:12" ht="12" customHeight="1">
      <c r="A20" s="91"/>
      <c r="B20" s="91" t="s">
        <v>22</v>
      </c>
      <c r="C20" s="91"/>
      <c r="D20" s="7">
        <v>0.3</v>
      </c>
      <c r="E20" s="91"/>
      <c r="F20" s="9" t="s">
        <v>82</v>
      </c>
      <c r="G20" s="91"/>
      <c r="H20" s="91"/>
      <c r="I20" s="91"/>
      <c r="J20" s="92"/>
      <c r="K20" s="99"/>
      <c r="L20" s="2"/>
    </row>
    <row r="21" spans="1:12" ht="30" customHeight="1">
      <c r="A21" s="91"/>
      <c r="B21" s="92"/>
      <c r="C21" s="92"/>
      <c r="D21" s="92"/>
      <c r="E21" s="92"/>
      <c r="F21" s="102"/>
      <c r="G21" s="91"/>
      <c r="H21" s="91"/>
      <c r="I21" s="91"/>
      <c r="J21" s="103"/>
      <c r="K21" s="99"/>
      <c r="L21" s="2"/>
    </row>
    <row r="22" spans="1:12" ht="19.5" customHeight="1">
      <c r="A22" s="91"/>
      <c r="B22" s="92"/>
      <c r="C22" s="91"/>
      <c r="D22" s="91"/>
      <c r="E22" s="91"/>
      <c r="F22" s="104" t="s">
        <v>12</v>
      </c>
      <c r="G22" s="91"/>
      <c r="H22" s="92" t="s">
        <v>40</v>
      </c>
      <c r="I22" s="91"/>
      <c r="J22" s="105" t="s">
        <v>50</v>
      </c>
      <c r="K22" s="99"/>
      <c r="L22" s="2"/>
    </row>
    <row r="23" spans="1:12" ht="12" customHeight="1">
      <c r="A23" s="91"/>
      <c r="B23" s="91" t="s">
        <v>23</v>
      </c>
      <c r="C23" s="91"/>
      <c r="D23" s="91"/>
      <c r="E23" s="91"/>
      <c r="F23" s="106"/>
      <c r="G23" s="91"/>
      <c r="H23" s="6">
        <v>0.25</v>
      </c>
      <c r="I23" s="91"/>
      <c r="J23" s="16" t="s">
        <v>52</v>
      </c>
      <c r="K23" s="99"/>
      <c r="L23" s="2"/>
    </row>
    <row r="24" spans="1:12" ht="1.5" customHeight="1">
      <c r="A24" s="97"/>
      <c r="B24" s="97"/>
      <c r="C24" s="97"/>
      <c r="D24" s="97"/>
      <c r="E24" s="97"/>
      <c r="F24" s="97"/>
      <c r="G24" s="91"/>
      <c r="H24" s="98"/>
      <c r="I24" s="91"/>
      <c r="J24" s="107"/>
      <c r="K24" s="97"/>
      <c r="L24" s="2"/>
    </row>
    <row r="25" spans="1:12" ht="12" customHeight="1">
      <c r="A25" s="91"/>
      <c r="B25" s="91" t="s">
        <v>24</v>
      </c>
      <c r="C25" s="91"/>
      <c r="D25" s="91"/>
      <c r="E25" s="91"/>
      <c r="F25" s="106"/>
      <c r="G25" s="91"/>
      <c r="H25" s="6">
        <v>0.05</v>
      </c>
      <c r="I25" s="91"/>
      <c r="J25" s="16" t="s">
        <v>52</v>
      </c>
      <c r="K25" s="99"/>
      <c r="L25" s="2"/>
    </row>
    <row r="26" spans="1:12" ht="1.5" customHeight="1">
      <c r="A26" s="97"/>
      <c r="B26" s="97"/>
      <c r="C26" s="97"/>
      <c r="D26" s="97"/>
      <c r="E26" s="97"/>
      <c r="F26" s="97"/>
      <c r="G26" s="91"/>
      <c r="H26" s="98"/>
      <c r="I26" s="91"/>
      <c r="J26" s="108"/>
      <c r="K26" s="97"/>
      <c r="L26" s="2"/>
    </row>
    <row r="27" spans="1:12" ht="12" customHeight="1">
      <c r="A27" s="91"/>
      <c r="B27" s="91" t="s">
        <v>25</v>
      </c>
      <c r="C27" s="91"/>
      <c r="D27" s="91"/>
      <c r="E27" s="91"/>
      <c r="F27" s="10">
        <v>11</v>
      </c>
      <c r="G27" s="91"/>
      <c r="H27" s="6">
        <v>0.65</v>
      </c>
      <c r="I27" s="91"/>
      <c r="J27" s="16" t="s">
        <v>53</v>
      </c>
      <c r="K27" s="99"/>
      <c r="L27" s="2"/>
    </row>
    <row r="28" spans="1:12" ht="1.5" customHeight="1">
      <c r="A28" s="97"/>
      <c r="B28" s="97"/>
      <c r="C28" s="97"/>
      <c r="D28" s="97"/>
      <c r="E28" s="97"/>
      <c r="F28" s="97"/>
      <c r="G28" s="91"/>
      <c r="H28" s="98"/>
      <c r="I28" s="91"/>
      <c r="J28" s="107"/>
      <c r="K28" s="97"/>
      <c r="L28" s="2"/>
    </row>
    <row r="29" spans="1:12" ht="12" customHeight="1">
      <c r="A29" s="91"/>
      <c r="B29" s="217" t="str">
        <f>"Geschmackszutaten: "&amp;VLOOKUP(C10,$B$62:$C$86,2,0)</f>
        <v>Geschmackszutaten: Kirsch</v>
      </c>
      <c r="C29" s="91"/>
      <c r="D29" s="91"/>
      <c r="E29" s="91"/>
      <c r="F29" s="11">
        <v>2</v>
      </c>
      <c r="G29" s="91"/>
      <c r="H29" s="6">
        <v>18</v>
      </c>
      <c r="I29" s="91"/>
      <c r="J29" s="16" t="s">
        <v>54</v>
      </c>
      <c r="K29" s="99"/>
      <c r="L29" s="2"/>
    </row>
    <row r="30" spans="1:12" ht="1.5" customHeight="1">
      <c r="A30" s="97"/>
      <c r="B30" s="97"/>
      <c r="C30" s="97"/>
      <c r="D30" s="97"/>
      <c r="E30" s="97"/>
      <c r="F30" s="97"/>
      <c r="G30" s="91"/>
      <c r="H30" s="98"/>
      <c r="I30" s="91"/>
      <c r="J30" s="109"/>
      <c r="K30" s="97"/>
      <c r="L30" s="2"/>
    </row>
    <row r="31" spans="1:12" ht="12" customHeight="1">
      <c r="A31" s="91"/>
      <c r="B31" s="91" t="s">
        <v>26</v>
      </c>
      <c r="C31" s="91"/>
      <c r="D31" s="91"/>
      <c r="E31" s="91"/>
      <c r="F31" s="11">
        <v>0</v>
      </c>
      <c r="G31" s="91"/>
      <c r="H31" s="6">
        <v>1</v>
      </c>
      <c r="I31" s="91"/>
      <c r="J31" s="16" t="s">
        <v>54</v>
      </c>
      <c r="K31" s="99"/>
      <c r="L31" s="2"/>
    </row>
    <row r="32" spans="1:12" ht="1.5" customHeight="1">
      <c r="A32" s="97"/>
      <c r="B32" s="97"/>
      <c r="C32" s="97"/>
      <c r="D32" s="97"/>
      <c r="E32" s="97"/>
      <c r="F32" s="97"/>
      <c r="G32" s="91"/>
      <c r="H32" s="98"/>
      <c r="I32" s="91"/>
      <c r="J32" s="107"/>
      <c r="K32" s="97"/>
      <c r="L32" s="2"/>
    </row>
    <row r="33" spans="1:12" ht="12" customHeight="1">
      <c r="A33" s="91"/>
      <c r="B33" s="91" t="s">
        <v>27</v>
      </c>
      <c r="C33" s="91"/>
      <c r="D33" s="91"/>
      <c r="E33" s="91"/>
      <c r="F33" s="12">
        <v>50</v>
      </c>
      <c r="G33" s="91"/>
      <c r="H33" s="6">
        <v>0.14</v>
      </c>
      <c r="I33" s="91"/>
      <c r="J33" s="16" t="s">
        <v>55</v>
      </c>
      <c r="K33" s="99"/>
      <c r="L33" s="2"/>
    </row>
    <row r="34" spans="1:12" ht="1.5" customHeight="1">
      <c r="A34" s="97"/>
      <c r="B34" s="97"/>
      <c r="C34" s="97"/>
      <c r="D34" s="97"/>
      <c r="E34" s="97"/>
      <c r="F34" s="97"/>
      <c r="G34" s="91"/>
      <c r="H34" s="98"/>
      <c r="I34" s="91"/>
      <c r="J34" s="107"/>
      <c r="K34" s="97"/>
      <c r="L34" s="2"/>
    </row>
    <row r="35" spans="1:12" ht="12" customHeight="1">
      <c r="A35" s="91"/>
      <c r="B35" s="91" t="s">
        <v>31</v>
      </c>
      <c r="C35" s="91"/>
      <c r="D35" s="91"/>
      <c r="E35" s="91"/>
      <c r="F35" s="13">
        <v>4</v>
      </c>
      <c r="G35" s="91"/>
      <c r="H35" s="6">
        <v>2</v>
      </c>
      <c r="I35" s="91"/>
      <c r="J35" s="16" t="s">
        <v>56</v>
      </c>
      <c r="K35" s="99"/>
      <c r="L35" s="2"/>
    </row>
    <row r="36" spans="1:12" ht="1.5" customHeight="1">
      <c r="A36" s="97"/>
      <c r="B36" s="97"/>
      <c r="C36" s="97"/>
      <c r="D36" s="97"/>
      <c r="E36" s="91"/>
      <c r="F36" s="97"/>
      <c r="G36" s="91"/>
      <c r="H36" s="98"/>
      <c r="I36" s="91"/>
      <c r="J36" s="107"/>
      <c r="K36" s="97"/>
      <c r="L36" s="2"/>
    </row>
    <row r="37" spans="1:12" ht="12" customHeight="1">
      <c r="A37" s="91"/>
      <c r="B37" s="223"/>
      <c r="C37" s="224"/>
      <c r="D37" s="225"/>
      <c r="E37" s="91"/>
      <c r="F37" s="9"/>
      <c r="G37" s="91"/>
      <c r="H37" s="15" t="s">
        <v>34</v>
      </c>
      <c r="I37" s="91"/>
      <c r="J37" s="17"/>
      <c r="K37" s="99"/>
      <c r="L37" s="2"/>
    </row>
    <row r="38" spans="1:12" ht="1.5" customHeight="1">
      <c r="A38" s="97"/>
      <c r="B38" s="97"/>
      <c r="C38" s="97"/>
      <c r="D38" s="97"/>
      <c r="E38" s="91"/>
      <c r="F38" s="97"/>
      <c r="G38" s="91"/>
      <c r="H38" s="98"/>
      <c r="I38" s="91"/>
      <c r="J38" s="107"/>
      <c r="K38" s="97"/>
      <c r="L38" s="2"/>
    </row>
    <row r="39" spans="1:12" ht="12" customHeight="1">
      <c r="A39" s="91"/>
      <c r="B39" s="223"/>
      <c r="C39" s="224"/>
      <c r="D39" s="225"/>
      <c r="E39" s="91"/>
      <c r="F39" s="9" t="s">
        <v>34</v>
      </c>
      <c r="G39" s="91"/>
      <c r="H39" s="15" t="s">
        <v>34</v>
      </c>
      <c r="I39" s="91"/>
      <c r="J39" s="17">
        <f>F39</f>
      </c>
      <c r="K39" s="99"/>
      <c r="L39" s="2"/>
    </row>
    <row r="40" spans="1:12" ht="12" customHeight="1">
      <c r="A40" s="97"/>
      <c r="B40" s="97"/>
      <c r="C40" s="97"/>
      <c r="D40" s="97"/>
      <c r="E40" s="97"/>
      <c r="F40" s="97"/>
      <c r="G40" s="91"/>
      <c r="H40" s="91"/>
      <c r="I40" s="91"/>
      <c r="J40" s="110"/>
      <c r="K40" s="97"/>
      <c r="L40" s="2"/>
    </row>
    <row r="41" spans="1:12" ht="19.5" customHeight="1">
      <c r="A41" s="91"/>
      <c r="B41" s="92"/>
      <c r="C41" s="91"/>
      <c r="D41" s="91"/>
      <c r="E41" s="91"/>
      <c r="F41" s="91"/>
      <c r="G41" s="91"/>
      <c r="H41" s="91"/>
      <c r="I41" s="91"/>
      <c r="J41" s="111"/>
      <c r="K41" s="91"/>
      <c r="L41" s="2"/>
    </row>
    <row r="42" spans="1:12" ht="12" customHeight="1">
      <c r="A42" s="91"/>
      <c r="B42" s="91" t="s">
        <v>62</v>
      </c>
      <c r="C42" s="91"/>
      <c r="D42" s="91"/>
      <c r="E42" s="91"/>
      <c r="F42" s="8">
        <v>20</v>
      </c>
      <c r="G42" s="103"/>
      <c r="H42" s="9" t="str">
        <f>"/"&amp;FIXED($D$15,0)&amp;" lt"</f>
        <v>/600 lt</v>
      </c>
      <c r="I42" s="91"/>
      <c r="J42" s="111"/>
      <c r="K42" s="91"/>
      <c r="L42" s="2"/>
    </row>
    <row r="43" spans="1:12" ht="1.5" customHeight="1">
      <c r="A43" s="97"/>
      <c r="B43" s="97"/>
      <c r="C43" s="97"/>
      <c r="D43" s="97"/>
      <c r="E43" s="97"/>
      <c r="F43" s="110"/>
      <c r="G43" s="103"/>
      <c r="H43" s="98"/>
      <c r="I43" s="91"/>
      <c r="J43" s="111"/>
      <c r="K43" s="97"/>
      <c r="L43" s="2"/>
    </row>
    <row r="44" spans="1:12" ht="12" customHeight="1">
      <c r="A44" s="91"/>
      <c r="B44" s="91" t="s">
        <v>8</v>
      </c>
      <c r="C44" s="91"/>
      <c r="D44" s="91"/>
      <c r="E44" s="91"/>
      <c r="F44" s="7">
        <v>8</v>
      </c>
      <c r="G44" s="103"/>
      <c r="H44" s="9" t="s">
        <v>17</v>
      </c>
      <c r="I44" s="91"/>
      <c r="J44" s="111"/>
      <c r="K44" s="91"/>
      <c r="L44" s="2"/>
    </row>
    <row r="45" spans="1:12" ht="30" customHeight="1">
      <c r="A45" s="91"/>
      <c r="B45" s="92"/>
      <c r="C45" s="92"/>
      <c r="D45" s="92"/>
      <c r="E45" s="92"/>
      <c r="F45" s="102"/>
      <c r="G45" s="91"/>
      <c r="H45" s="91"/>
      <c r="I45" s="91"/>
      <c r="J45" s="103"/>
      <c r="K45" s="99"/>
      <c r="L45" s="2"/>
    </row>
    <row r="46" spans="1:12" ht="19.5" customHeight="1">
      <c r="A46" s="91"/>
      <c r="B46" s="92"/>
      <c r="C46" s="91"/>
      <c r="D46" s="91"/>
      <c r="E46" s="91"/>
      <c r="F46" s="91"/>
      <c r="G46" s="91"/>
      <c r="H46" s="91"/>
      <c r="I46" s="91"/>
      <c r="J46" s="111"/>
      <c r="K46" s="91"/>
      <c r="L46" s="2"/>
    </row>
    <row r="47" spans="1:12" ht="12" customHeight="1">
      <c r="A47" s="99"/>
      <c r="B47" s="223" t="s">
        <v>84</v>
      </c>
      <c r="C47" s="224"/>
      <c r="D47" s="225"/>
      <c r="E47" s="91"/>
      <c r="F47" s="7">
        <v>1400</v>
      </c>
      <c r="G47" s="103"/>
      <c r="H47" s="91" t="s">
        <v>33</v>
      </c>
      <c r="I47" s="91"/>
      <c r="J47" s="111"/>
      <c r="K47" s="99"/>
      <c r="L47" s="2"/>
    </row>
    <row r="48" spans="1:12" ht="1.5" customHeight="1">
      <c r="A48" s="97"/>
      <c r="B48" s="97"/>
      <c r="C48" s="97"/>
      <c r="D48" s="91"/>
      <c r="E48" s="91"/>
      <c r="F48" s="110"/>
      <c r="G48" s="103"/>
      <c r="H48" s="91"/>
      <c r="I48" s="91"/>
      <c r="J48" s="111"/>
      <c r="K48" s="97"/>
      <c r="L48" s="2"/>
    </row>
    <row r="49" spans="1:12" ht="12" customHeight="1">
      <c r="A49" s="99"/>
      <c r="B49" s="223" t="s">
        <v>85</v>
      </c>
      <c r="C49" s="224"/>
      <c r="D49" s="225"/>
      <c r="E49" s="91"/>
      <c r="F49" s="7">
        <v>900</v>
      </c>
      <c r="G49" s="103"/>
      <c r="H49" s="91" t="s">
        <v>33</v>
      </c>
      <c r="I49" s="91"/>
      <c r="J49" s="111"/>
      <c r="K49" s="99"/>
      <c r="L49" s="2"/>
    </row>
    <row r="50" spans="1:12" ht="1.5" customHeight="1">
      <c r="A50" s="97"/>
      <c r="B50" s="97"/>
      <c r="C50" s="97"/>
      <c r="D50" s="91"/>
      <c r="E50" s="91"/>
      <c r="F50" s="110"/>
      <c r="G50" s="103"/>
      <c r="H50" s="91"/>
      <c r="I50" s="91"/>
      <c r="J50" s="111"/>
      <c r="K50" s="97"/>
      <c r="L50" s="2"/>
    </row>
    <row r="51" spans="1:12" ht="12" customHeight="1">
      <c r="A51" s="99"/>
      <c r="B51" s="223" t="s">
        <v>83</v>
      </c>
      <c r="C51" s="224"/>
      <c r="D51" s="225"/>
      <c r="E51" s="91"/>
      <c r="F51" s="7">
        <v>700</v>
      </c>
      <c r="G51" s="103"/>
      <c r="H51" s="91" t="s">
        <v>33</v>
      </c>
      <c r="I51" s="91"/>
      <c r="J51" s="111"/>
      <c r="K51" s="99"/>
      <c r="L51" s="2"/>
    </row>
    <row r="52" spans="1:12" ht="19.5" customHeight="1">
      <c r="A52" s="91"/>
      <c r="B52" s="92"/>
      <c r="C52" s="91"/>
      <c r="D52" s="91"/>
      <c r="E52" s="91"/>
      <c r="F52" s="91"/>
      <c r="G52" s="91"/>
      <c r="H52" s="91"/>
      <c r="I52" s="91"/>
      <c r="J52" s="111"/>
      <c r="K52" s="91"/>
      <c r="L52" s="2"/>
    </row>
    <row r="53" spans="1:12" ht="19.5" customHeight="1">
      <c r="A53" s="91"/>
      <c r="B53" s="92"/>
      <c r="C53" s="91"/>
      <c r="D53" s="91"/>
      <c r="E53" s="91"/>
      <c r="F53" s="91"/>
      <c r="G53" s="91"/>
      <c r="H53" s="91"/>
      <c r="I53" s="91"/>
      <c r="J53" s="91"/>
      <c r="K53" s="91"/>
      <c r="L53" s="2"/>
    </row>
    <row r="54" spans="1:12" ht="12" customHeight="1">
      <c r="A54" s="99"/>
      <c r="B54" s="99" t="s">
        <v>9</v>
      </c>
      <c r="C54" s="99"/>
      <c r="D54" s="99"/>
      <c r="E54" s="99"/>
      <c r="F54" s="14">
        <v>0.02</v>
      </c>
      <c r="G54" s="91"/>
      <c r="H54" s="112" t="s">
        <v>10</v>
      </c>
      <c r="I54" s="91"/>
      <c r="J54" s="103"/>
      <c r="K54" s="99"/>
      <c r="L54" s="2"/>
    </row>
    <row r="55" spans="1:12" ht="1.5" customHeight="1">
      <c r="A55" s="97"/>
      <c r="B55" s="97"/>
      <c r="C55" s="97"/>
      <c r="D55" s="97"/>
      <c r="E55" s="97"/>
      <c r="F55" s="97"/>
      <c r="G55" s="91"/>
      <c r="H55" s="98"/>
      <c r="I55" s="91"/>
      <c r="J55" s="103"/>
      <c r="K55" s="97"/>
      <c r="L55" s="2"/>
    </row>
    <row r="56" spans="1:12" ht="12" customHeight="1">
      <c r="A56" s="99"/>
      <c r="B56" s="99" t="s">
        <v>6</v>
      </c>
      <c r="C56" s="99"/>
      <c r="D56" s="99"/>
      <c r="E56" s="99"/>
      <c r="F56" s="14">
        <v>0.03</v>
      </c>
      <c r="G56" s="91"/>
      <c r="H56" s="99" t="s">
        <v>11</v>
      </c>
      <c r="I56" s="91"/>
      <c r="J56" s="103"/>
      <c r="K56" s="99"/>
      <c r="L56" s="2"/>
    </row>
    <row r="57" spans="1:12" ht="30" customHeight="1">
      <c r="A57" s="99"/>
      <c r="B57" s="99"/>
      <c r="C57" s="99"/>
      <c r="D57" s="99"/>
      <c r="E57" s="99"/>
      <c r="F57" s="99"/>
      <c r="G57" s="91"/>
      <c r="H57" s="91"/>
      <c r="I57" s="91"/>
      <c r="J57" s="99"/>
      <c r="K57" s="99"/>
      <c r="L57" s="2"/>
    </row>
    <row r="58" spans="1:12" ht="18" customHeight="1">
      <c r="A58" s="113" t="s">
        <v>47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219" t="s">
        <v>136</v>
      </c>
      <c r="L58" s="115"/>
    </row>
    <row r="59" spans="1:12" ht="12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2"/>
    </row>
    <row r="60" ht="12.75" customHeight="1" hidden="1"/>
    <row r="61" spans="1:3" ht="12.75" customHeight="1" hidden="1">
      <c r="A61" s="213" t="s">
        <v>134</v>
      </c>
      <c r="B61" s="213"/>
      <c r="C61" s="213"/>
    </row>
    <row r="62" spans="1:3" ht="12.75" customHeight="1" hidden="1">
      <c r="A62" s="213" t="s">
        <v>86</v>
      </c>
      <c r="B62" s="213" t="s">
        <v>87</v>
      </c>
      <c r="C62" s="213" t="s">
        <v>88</v>
      </c>
    </row>
    <row r="63" spans="1:3" ht="12.75" customHeight="1" hidden="1">
      <c r="A63" s="214" t="s">
        <v>89</v>
      </c>
      <c r="B63" s="214" t="str">
        <f aca="true" t="shared" si="0" ref="B63:B87">C63&amp;"-"&amp;$A$61</f>
        <v>Apfel-Jogurt</v>
      </c>
      <c r="C63" s="214" t="s">
        <v>90</v>
      </c>
    </row>
    <row r="64" spans="1:3" ht="12.75" customHeight="1" hidden="1">
      <c r="A64" s="214" t="s">
        <v>73</v>
      </c>
      <c r="B64" s="214" t="str">
        <f t="shared" si="0"/>
        <v>Banane-Jogurt</v>
      </c>
      <c r="C64" s="214" t="s">
        <v>91</v>
      </c>
    </row>
    <row r="65" spans="1:3" ht="12.75" customHeight="1" hidden="1">
      <c r="A65" s="214" t="s">
        <v>74</v>
      </c>
      <c r="B65" s="214" t="str">
        <f t="shared" si="0"/>
        <v>Birnen-Jogurt</v>
      </c>
      <c r="C65" s="214" t="s">
        <v>92</v>
      </c>
    </row>
    <row r="66" spans="1:3" ht="12.75" customHeight="1" hidden="1">
      <c r="A66" s="214" t="s">
        <v>75</v>
      </c>
      <c r="B66" s="214" t="str">
        <f t="shared" si="0"/>
        <v>Blaubeer-Jogurt</v>
      </c>
      <c r="C66" s="214" t="s">
        <v>93</v>
      </c>
    </row>
    <row r="67" spans="1:3" ht="12.75" customHeight="1" hidden="1">
      <c r="A67" s="214" t="s">
        <v>76</v>
      </c>
      <c r="B67" s="214" t="str">
        <f t="shared" si="0"/>
        <v>Butterkeks-Jogurt</v>
      </c>
      <c r="C67" s="214" t="s">
        <v>94</v>
      </c>
    </row>
    <row r="68" spans="1:3" ht="12.75" customHeight="1" hidden="1">
      <c r="A68" s="214" t="s">
        <v>77</v>
      </c>
      <c r="B68" s="214" t="str">
        <f t="shared" si="0"/>
        <v>Erdbeer-Jogurt</v>
      </c>
      <c r="C68" s="214" t="s">
        <v>95</v>
      </c>
    </row>
    <row r="69" spans="1:3" ht="12.75" customHeight="1" hidden="1">
      <c r="A69" s="214" t="s">
        <v>96</v>
      </c>
      <c r="B69" s="214" t="str">
        <f t="shared" si="0"/>
        <v>Heidelbeer-Jogurt</v>
      </c>
      <c r="C69" s="214" t="s">
        <v>97</v>
      </c>
    </row>
    <row r="70" spans="1:3" ht="12.75" customHeight="1" hidden="1">
      <c r="A70" s="214" t="s">
        <v>98</v>
      </c>
      <c r="B70" s="214" t="str">
        <f t="shared" si="0"/>
        <v>Himbeer-Jogurt</v>
      </c>
      <c r="C70" s="214" t="s">
        <v>99</v>
      </c>
    </row>
    <row r="71" spans="1:3" ht="12.75" customHeight="1" hidden="1">
      <c r="A71" s="214" t="s">
        <v>100</v>
      </c>
      <c r="B71" s="214" t="str">
        <f t="shared" si="0"/>
        <v>Johannisbeer-Jogurt</v>
      </c>
      <c r="C71" s="214" t="s">
        <v>101</v>
      </c>
    </row>
    <row r="72" spans="1:3" ht="12.75" customHeight="1" hidden="1">
      <c r="A72" s="214" t="s">
        <v>102</v>
      </c>
      <c r="B72" s="214" t="str">
        <f t="shared" si="0"/>
        <v>Kaffee-Jogurt</v>
      </c>
      <c r="C72" s="214" t="s">
        <v>103</v>
      </c>
    </row>
    <row r="73" spans="1:3" ht="12.75" customHeight="1" hidden="1">
      <c r="A73" s="214" t="s">
        <v>104</v>
      </c>
      <c r="B73" s="214" t="str">
        <f t="shared" si="0"/>
        <v>Kakao-Jogurt</v>
      </c>
      <c r="C73" s="214" t="s">
        <v>105</v>
      </c>
    </row>
    <row r="74" spans="1:3" ht="12.75" customHeight="1" hidden="1">
      <c r="A74" s="214" t="s">
        <v>106</v>
      </c>
      <c r="B74" s="214" t="str">
        <f t="shared" si="0"/>
        <v>Kirsch-Jogurt</v>
      </c>
      <c r="C74" s="214" t="s">
        <v>107</v>
      </c>
    </row>
    <row r="75" spans="1:3" ht="12.75" customHeight="1" hidden="1">
      <c r="A75" s="214" t="s">
        <v>108</v>
      </c>
      <c r="B75" s="214" t="str">
        <f t="shared" si="0"/>
        <v>Marille-Jogurt</v>
      </c>
      <c r="C75" s="214" t="s">
        <v>109</v>
      </c>
    </row>
    <row r="76" spans="1:3" ht="12.75" customHeight="1" hidden="1">
      <c r="A76" s="214" t="s">
        <v>110</v>
      </c>
      <c r="B76" s="214" t="str">
        <f t="shared" si="0"/>
        <v>Moosbeer-Jogurt</v>
      </c>
      <c r="C76" s="214" t="s">
        <v>111</v>
      </c>
    </row>
    <row r="77" spans="1:3" ht="12.75" customHeight="1" hidden="1">
      <c r="A77" s="214" t="s">
        <v>112</v>
      </c>
      <c r="B77" s="214" t="str">
        <f t="shared" si="0"/>
        <v>Müsli-Jogurt</v>
      </c>
      <c r="C77" s="214" t="s">
        <v>113</v>
      </c>
    </row>
    <row r="78" spans="1:3" ht="12.75" customHeight="1" hidden="1">
      <c r="A78" s="214" t="s">
        <v>114</v>
      </c>
      <c r="B78" s="214" t="str">
        <f t="shared" si="0"/>
        <v>Natur-Jogurt</v>
      </c>
      <c r="C78" s="214" t="s">
        <v>115</v>
      </c>
    </row>
    <row r="79" spans="1:3" ht="12.75" customHeight="1" hidden="1">
      <c r="A79" s="214" t="s">
        <v>116</v>
      </c>
      <c r="B79" s="214" t="str">
        <f t="shared" si="0"/>
        <v>Orangen-Jogurt</v>
      </c>
      <c r="C79" s="214" t="s">
        <v>117</v>
      </c>
    </row>
    <row r="80" spans="1:3" ht="12.75" customHeight="1" hidden="1">
      <c r="A80" s="214" t="s">
        <v>118</v>
      </c>
      <c r="B80" s="214" t="str">
        <f t="shared" si="0"/>
        <v>Pfirsich-Jogurt</v>
      </c>
      <c r="C80" s="214" t="s">
        <v>119</v>
      </c>
    </row>
    <row r="81" spans="1:3" ht="12.75" customHeight="1" hidden="1">
      <c r="A81" s="214" t="s">
        <v>120</v>
      </c>
      <c r="B81" s="214" t="str">
        <f t="shared" si="0"/>
        <v>Pflaumen-Jogurt</v>
      </c>
      <c r="C81" s="214" t="s">
        <v>121</v>
      </c>
    </row>
    <row r="82" spans="1:3" ht="12.75" customHeight="1" hidden="1">
      <c r="A82" s="214" t="s">
        <v>122</v>
      </c>
      <c r="B82" s="214" t="str">
        <f t="shared" si="0"/>
        <v>Schoko-Jogurt</v>
      </c>
      <c r="C82" s="214" t="s">
        <v>123</v>
      </c>
    </row>
    <row r="83" spans="1:3" ht="12.75" customHeight="1" hidden="1">
      <c r="A83" s="214" t="s">
        <v>124</v>
      </c>
      <c r="B83" s="214" t="str">
        <f t="shared" si="0"/>
        <v>Stracciatella-Jogurt</v>
      </c>
      <c r="C83" s="215" t="s">
        <v>125</v>
      </c>
    </row>
    <row r="84" spans="1:3" ht="12.75" customHeight="1" hidden="1">
      <c r="A84" s="214" t="s">
        <v>126</v>
      </c>
      <c r="B84" s="214" t="str">
        <f t="shared" si="0"/>
        <v>Tiramisú-Jogurt</v>
      </c>
      <c r="C84" s="216" t="s">
        <v>127</v>
      </c>
    </row>
    <row r="85" spans="1:3" ht="12.75" customHeight="1" hidden="1">
      <c r="A85" s="214" t="s">
        <v>128</v>
      </c>
      <c r="B85" s="214" t="str">
        <f t="shared" si="0"/>
        <v>Trauben-Jogurt</v>
      </c>
      <c r="C85" s="214" t="s">
        <v>129</v>
      </c>
    </row>
    <row r="86" spans="1:3" ht="12.75" customHeight="1" hidden="1">
      <c r="A86" s="214" t="s">
        <v>130</v>
      </c>
      <c r="B86" s="214" t="str">
        <f t="shared" si="0"/>
        <v>Vanille-Jogurt</v>
      </c>
      <c r="C86" s="214" t="s">
        <v>131</v>
      </c>
    </row>
    <row r="87" spans="1:3" ht="12.75" customHeight="1" hidden="1">
      <c r="A87" s="214" t="s">
        <v>132</v>
      </c>
      <c r="B87" s="214" t="str">
        <f t="shared" si="0"/>
        <v>Zwetschken-Jogurt</v>
      </c>
      <c r="C87" s="214" t="s">
        <v>133</v>
      </c>
    </row>
    <row r="88" ht="12.75" customHeight="1" hidden="1"/>
    <row r="89" ht="12.75" customHeight="1" hidden="1"/>
    <row r="90" ht="12.75" customHeight="1" hidden="1"/>
    <row r="91" ht="12.75" customHeight="1" hidden="1"/>
  </sheetData>
  <sheetProtection sheet="1" objects="1" scenarios="1" selectLockedCells="1"/>
  <mergeCells count="6">
    <mergeCell ref="C10:F10"/>
    <mergeCell ref="B47:D47"/>
    <mergeCell ref="B49:D49"/>
    <mergeCell ref="B51:D51"/>
    <mergeCell ref="B37:D37"/>
    <mergeCell ref="B39:D39"/>
  </mergeCells>
  <conditionalFormatting sqref="C18:F18 J18:J20">
    <cfRule type="cellIs" priority="1" dxfId="73" operator="equal" stopIfTrue="1">
      <formula>"ACHTUNG: Der Preis deckt die Kosten nicht ab!!!"</formula>
    </cfRule>
    <cfRule type="cellIs" priority="2" dxfId="74" operator="equal" stopIfTrue="1">
      <formula>"ACHTUNG: Der tatsächliche Gewinn liegt unter dem Gewinnzuschlag!!!"</formula>
    </cfRule>
  </conditionalFormatting>
  <conditionalFormatting sqref="B18">
    <cfRule type="cellIs" priority="3" dxfId="73" operator="equal" stopIfTrue="1">
      <formula>"Verlust"</formula>
    </cfRule>
    <cfRule type="expression" priority="4" dxfId="75" stopIfTrue="1">
      <formula>#REF!="ACHTUNG: Der tatsächliche Gewinn liegt unter dem Gewinnzuschlag!!!"</formula>
    </cfRule>
  </conditionalFormatting>
  <dataValidations count="1">
    <dataValidation type="list" allowBlank="1" showInputMessage="1" showErrorMessage="1" sqref="C10">
      <formula1>$B$63:$B$87</formula1>
    </dataValidation>
  </dataValidations>
  <printOptions/>
  <pageMargins left="0.3937007874015748" right="0.3937007874015748" top="0.7874015748031497" bottom="0.3937007874015748" header="0" footer="0"/>
  <pageSetup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J48"/>
  <sheetViews>
    <sheetView showGridLines="0" showRowColHeaders="0" tabSelected="1"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F8" sqref="F8:G8"/>
    </sheetView>
  </sheetViews>
  <sheetFormatPr defaultColWidth="0" defaultRowHeight="15" zeroHeight="1"/>
  <cols>
    <col min="1" max="1" width="1.77734375" style="117" customWidth="1"/>
    <col min="2" max="4" width="8.77734375" style="117" customWidth="1"/>
    <col min="5" max="8" width="7.77734375" style="117" customWidth="1"/>
    <col min="9" max="9" width="1.77734375" style="117" customWidth="1"/>
    <col min="10" max="10" width="16.77734375" style="116" customWidth="1"/>
    <col min="11" max="11" width="5.10546875" style="116" hidden="1" customWidth="1"/>
    <col min="12" max="16384" width="11.5546875" style="116" hidden="1" customWidth="1"/>
  </cols>
  <sheetData>
    <row r="1" spans="1:10" ht="30" customHeight="1">
      <c r="A1" s="212"/>
      <c r="B1" s="212" t="str">
        <f>"Vollkstenrechnung "&amp;C3</f>
        <v>Vollkstenrechnung Kirsch-Jogurt</v>
      </c>
      <c r="C1" s="212"/>
      <c r="D1" s="212"/>
      <c r="E1" s="212"/>
      <c r="F1" s="212"/>
      <c r="G1" s="212"/>
      <c r="H1" s="212"/>
      <c r="I1" s="212"/>
      <c r="J1" s="78"/>
    </row>
    <row r="2" ht="24.75" customHeight="1">
      <c r="J2" s="78"/>
    </row>
    <row r="3" spans="1:10" s="123" customFormat="1" ht="15" customHeight="1">
      <c r="A3" s="118"/>
      <c r="B3" s="119" t="s">
        <v>19</v>
      </c>
      <c r="C3" s="120" t="str">
        <f>IF(Dateneingabe!C10="","",Dateneingabe!C10)</f>
        <v>Kirsch-Jogurt</v>
      </c>
      <c r="D3" s="121"/>
      <c r="E3" s="122"/>
      <c r="G3" s="118"/>
      <c r="H3" s="118"/>
      <c r="I3" s="118"/>
      <c r="J3" s="99"/>
    </row>
    <row r="4" spans="1:10" s="123" customFormat="1" ht="9.75" customHeight="1">
      <c r="A4" s="118"/>
      <c r="B4" s="118"/>
      <c r="C4" s="118"/>
      <c r="D4" s="118"/>
      <c r="E4" s="118"/>
      <c r="F4" s="118"/>
      <c r="G4" s="118"/>
      <c r="H4" s="124"/>
      <c r="I4" s="118"/>
      <c r="J4" s="99"/>
    </row>
    <row r="5" spans="1:10" s="123" customFormat="1" ht="12" customHeight="1">
      <c r="A5" s="118"/>
      <c r="B5" s="119" t="s">
        <v>39</v>
      </c>
      <c r="C5" s="125"/>
      <c r="D5" s="125"/>
      <c r="E5" s="125"/>
      <c r="F5" s="227" t="str">
        <f>IF(Dateneingabe!F15="","",Dateneingabe!F15)</f>
        <v>pro Woche</v>
      </c>
      <c r="G5" s="227"/>
      <c r="H5" s="127">
        <f>IF(Dateneingabe!F13="","",Dateneingabe!F13)</f>
        <v>1</v>
      </c>
      <c r="I5" s="118"/>
      <c r="J5" s="99"/>
    </row>
    <row r="6" spans="1:10" s="123" customFormat="1" ht="12" customHeight="1">
      <c r="A6" s="118"/>
      <c r="B6" s="128" t="str">
        <f>IF(Dateneingabe!B13="","",Dateneingabe!B13)</f>
        <v>Glasgröße</v>
      </c>
      <c r="C6" s="128"/>
      <c r="D6" s="129"/>
      <c r="E6" s="130"/>
      <c r="F6" s="130"/>
      <c r="G6" s="130"/>
      <c r="H6" s="131">
        <f>IF(Dateneingabe!D13="","",Dateneingabe!D13)</f>
        <v>0.25</v>
      </c>
      <c r="I6" s="118"/>
      <c r="J6" s="99"/>
    </row>
    <row r="7" spans="1:10" s="123" customFormat="1" ht="12" customHeight="1" thickBot="1">
      <c r="A7" s="118"/>
      <c r="B7" s="128" t="str">
        <f>IF(Dateneingabe!B15="","",Dateneingabe!B15)</f>
        <v>Verkaufsmenge</v>
      </c>
      <c r="C7" s="128" t="s">
        <v>36</v>
      </c>
      <c r="D7" s="128"/>
      <c r="E7" s="128"/>
      <c r="F7" s="229">
        <f>IF(Dateneingabe!D15="","",Dateneingabe!D15)</f>
        <v>600</v>
      </c>
      <c r="G7" s="230"/>
      <c r="H7" s="118"/>
      <c r="I7" s="118"/>
      <c r="J7" s="99"/>
    </row>
    <row r="8" spans="1:10" s="123" customFormat="1" ht="12" customHeight="1" thickBot="1">
      <c r="A8" s="118"/>
      <c r="B8" s="128"/>
      <c r="C8" s="128" t="s">
        <v>35</v>
      </c>
      <c r="D8" s="128"/>
      <c r="E8" s="128"/>
      <c r="F8" s="231"/>
      <c r="G8" s="232"/>
      <c r="H8" s="118"/>
      <c r="I8" s="118"/>
      <c r="J8" s="99"/>
    </row>
    <row r="9" spans="1:10" s="123" customFormat="1" ht="12" customHeight="1" thickBot="1">
      <c r="A9" s="118"/>
      <c r="B9" s="128" t="str">
        <f>IF(Dateneingabe!B17="","",Dateneingabe!B17)</f>
        <v>Verkaufserlös</v>
      </c>
      <c r="C9" s="128"/>
      <c r="D9" s="128"/>
      <c r="E9" s="128"/>
      <c r="F9" s="233"/>
      <c r="G9" s="234"/>
      <c r="H9" s="132">
        <f>IF(Dateneingabe!D17="","",Dateneingabe!D17)</f>
        <v>0.9</v>
      </c>
      <c r="I9" s="118"/>
      <c r="J9" s="99"/>
    </row>
    <row r="10" spans="1:10" s="123" customFormat="1" ht="24" customHeight="1" thickBot="1">
      <c r="A10" s="118"/>
      <c r="B10" s="210" t="str">
        <f>IF(AND(F10="",H10=""),"  O  Gewinn
  O  Verlust",IF(F10=0,"Kosten gedeckt!",IF(F10&gt;0,"Gewinn","Verlust")))</f>
        <v>  O  Gewinn
  O  Verlust</v>
      </c>
      <c r="C10" s="237">
        <f>IF(B10="Verlust","ACHTUNG: Der Preis deckt die Kosten nicht ab!!!",IF(AND(B10="Gewinn",H10&lt;H46),"ACHTUNG: Der tatsächliche Gewinn liegt unter dem Gewinnzuschlag!!!",""))</f>
      </c>
      <c r="D10" s="237"/>
      <c r="E10" s="238"/>
      <c r="F10" s="235"/>
      <c r="G10" s="236"/>
      <c r="H10" s="218"/>
      <c r="J10" s="99"/>
    </row>
    <row r="11" spans="1:10" s="123" customFormat="1" ht="9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99"/>
    </row>
    <row r="12" spans="1:10" s="123" customFormat="1" ht="12" customHeight="1">
      <c r="A12" s="118"/>
      <c r="B12" s="119" t="s">
        <v>38</v>
      </c>
      <c r="C12" s="135"/>
      <c r="D12" s="135"/>
      <c r="E12" s="135"/>
      <c r="F12" s="135"/>
      <c r="G12" s="135"/>
      <c r="H12" s="135"/>
      <c r="J12" s="99"/>
    </row>
    <row r="13" spans="1:10" s="123" customFormat="1" ht="12" customHeight="1">
      <c r="A13" s="118"/>
      <c r="B13" s="119" t="s">
        <v>4</v>
      </c>
      <c r="C13" s="119"/>
      <c r="D13" s="126"/>
      <c r="E13" s="136"/>
      <c r="F13" s="136"/>
      <c r="G13" s="136"/>
      <c r="H13" s="136"/>
      <c r="J13" s="99"/>
    </row>
    <row r="14" spans="1:10" s="123" customFormat="1" ht="12" customHeight="1">
      <c r="A14" s="118"/>
      <c r="B14" s="119" t="s">
        <v>0</v>
      </c>
      <c r="C14" s="119"/>
      <c r="D14" s="239" t="s">
        <v>12</v>
      </c>
      <c r="E14" s="226" t="s">
        <v>13</v>
      </c>
      <c r="F14" s="226"/>
      <c r="G14" s="226" t="str">
        <f>"Gesamtkosten
"&amp;F5</f>
        <v>Gesamtkosten
pro Woche</v>
      </c>
      <c r="H14" s="226" t="s">
        <v>57</v>
      </c>
      <c r="J14" s="99"/>
    </row>
    <row r="15" spans="1:10" s="123" customFormat="1" ht="12" customHeight="1" thickBot="1">
      <c r="A15" s="118"/>
      <c r="B15" s="135" t="s">
        <v>1</v>
      </c>
      <c r="C15" s="135"/>
      <c r="D15" s="240"/>
      <c r="E15" s="228"/>
      <c r="F15" s="228"/>
      <c r="G15" s="241"/>
      <c r="H15" s="226"/>
      <c r="J15" s="99"/>
    </row>
    <row r="16" spans="1:10" s="123" customFormat="1" ht="12" customHeight="1" thickBot="1">
      <c r="A16" s="118"/>
      <c r="B16" s="128" t="str">
        <f>IF(Dateneingabe!B20="","",Dateneingabe!B20)</f>
        <v>Rohmilch</v>
      </c>
      <c r="C16" s="128"/>
      <c r="D16" s="138">
        <f>F7</f>
        <v>600</v>
      </c>
      <c r="E16" s="139">
        <f>IF(Dateneingabe!D20="","",Dateneingabe!D20)</f>
        <v>0.3</v>
      </c>
      <c r="F16" s="140" t="str">
        <f>IF(Dateneingabe!F20="","",Dateneingabe!F20)</f>
        <v>pro lt</v>
      </c>
      <c r="G16" s="177"/>
      <c r="H16" s="142"/>
      <c r="J16" s="99"/>
    </row>
    <row r="17" spans="1:10" s="123" customFormat="1" ht="12" customHeight="1" thickBot="1">
      <c r="A17" s="118"/>
      <c r="B17" s="143" t="s">
        <v>14</v>
      </c>
      <c r="C17" s="143"/>
      <c r="D17" s="144"/>
      <c r="E17" s="145"/>
      <c r="F17" s="145"/>
      <c r="G17" s="178"/>
      <c r="H17" s="178"/>
      <c r="J17" s="99"/>
    </row>
    <row r="18" spans="1:10" s="123" customFormat="1" ht="3" customHeight="1">
      <c r="A18" s="118"/>
      <c r="B18" s="134"/>
      <c r="C18" s="134"/>
      <c r="D18" s="147"/>
      <c r="E18" s="148"/>
      <c r="F18" s="148"/>
      <c r="G18" s="148"/>
      <c r="H18" s="148"/>
      <c r="J18" s="99"/>
    </row>
    <row r="19" spans="1:10" s="123" customFormat="1" ht="12" customHeight="1" thickBot="1">
      <c r="A19" s="118"/>
      <c r="B19" s="135" t="s">
        <v>2</v>
      </c>
      <c r="C19" s="135"/>
      <c r="D19" s="137" t="s">
        <v>12</v>
      </c>
      <c r="E19" s="149" t="s">
        <v>41</v>
      </c>
      <c r="F19" s="150" t="s">
        <v>40</v>
      </c>
      <c r="G19" s="137" t="s">
        <v>49</v>
      </c>
      <c r="H19" s="137" t="s">
        <v>37</v>
      </c>
      <c r="J19" s="99"/>
    </row>
    <row r="20" spans="1:10" s="123" customFormat="1" ht="12" customHeight="1" thickBot="1">
      <c r="A20" s="118"/>
      <c r="B20" s="128" t="str">
        <f>IF(Dateneingabe!B23="","",Dateneingabe!B23)</f>
        <v>Glas</v>
      </c>
      <c r="C20" s="128"/>
      <c r="D20" s="151">
        <f>F8</f>
        <v>0</v>
      </c>
      <c r="E20" s="139">
        <f>IF(Dateneingabe!H23="","",Dateneingabe!H23)</f>
        <v>0.25</v>
      </c>
      <c r="F20" s="140" t="str">
        <f>IF(Dateneingabe!J23="","",Dateneingabe!J23)</f>
        <v>/ Stk.</v>
      </c>
      <c r="G20" s="177"/>
      <c r="H20" s="142"/>
      <c r="J20" s="99"/>
    </row>
    <row r="21" spans="1:10" s="123" customFormat="1" ht="12" customHeight="1" thickBot="1">
      <c r="A21" s="118"/>
      <c r="B21" s="128" t="str">
        <f>IF(Dateneingabe!B25="","",Dateneingabe!B25)</f>
        <v>Deckel</v>
      </c>
      <c r="C21" s="128"/>
      <c r="D21" s="151">
        <f>F8</f>
        <v>0</v>
      </c>
      <c r="E21" s="139">
        <f>IF(Dateneingabe!H25="","",Dateneingabe!H25)</f>
        <v>0.05</v>
      </c>
      <c r="F21" s="140" t="str">
        <f>IF(Dateneingabe!J25="","",Dateneingabe!J25)</f>
        <v>/ Stk.</v>
      </c>
      <c r="G21" s="177"/>
      <c r="H21" s="142"/>
      <c r="J21" s="99"/>
    </row>
    <row r="22" spans="1:10" s="123" customFormat="1" ht="12" customHeight="1" thickBot="1">
      <c r="A22" s="118"/>
      <c r="B22" s="128" t="str">
        <f>IF(Dateneingabe!B27="","",Dateneingabe!B27)</f>
        <v>Jogurtkultur</v>
      </c>
      <c r="C22" s="128"/>
      <c r="D22" s="152">
        <f>IF(Dateneingabe!F27="","",Dateneingabe!F27)</f>
        <v>11</v>
      </c>
      <c r="E22" s="139">
        <f>IF(Dateneingabe!H27="","",Dateneingabe!H27)</f>
        <v>0.65</v>
      </c>
      <c r="F22" s="140" t="str">
        <f>IF(Dateneingabe!J27="","",Dateneingabe!J27)</f>
        <v>/ Kaffeelöffel</v>
      </c>
      <c r="G22" s="177"/>
      <c r="H22" s="142"/>
      <c r="J22" s="99"/>
    </row>
    <row r="23" spans="1:10" s="123" customFormat="1" ht="12" customHeight="1" thickBot="1">
      <c r="A23" s="118"/>
      <c r="B23" s="128" t="str">
        <f>IF(Dateneingabe!B29="","",Dateneingabe!B29)</f>
        <v>Geschmackszutaten: Kirsch</v>
      </c>
      <c r="C23" s="128"/>
      <c r="D23" s="153">
        <f>IF(Dateneingabe!F29="","",Dateneingabe!F29)</f>
        <v>2</v>
      </c>
      <c r="E23" s="139">
        <f>IF(Dateneingabe!H29="","",Dateneingabe!H29)</f>
        <v>18</v>
      </c>
      <c r="F23" s="140" t="str">
        <f>IF(Dateneingabe!J29="","",Dateneingabe!J29)</f>
        <v>/ kg</v>
      </c>
      <c r="G23" s="177"/>
      <c r="H23" s="142"/>
      <c r="J23" s="99"/>
    </row>
    <row r="24" spans="1:10" s="123" customFormat="1" ht="12" customHeight="1" thickBot="1">
      <c r="A24" s="118"/>
      <c r="B24" s="128" t="str">
        <f>IF(Dateneingabe!B31="","",Dateneingabe!B31)</f>
        <v>Zucker</v>
      </c>
      <c r="C24" s="128"/>
      <c r="D24" s="153">
        <f>IF(Dateneingabe!F31="","",Dateneingabe!F31)</f>
        <v>0</v>
      </c>
      <c r="E24" s="139">
        <f>IF(Dateneingabe!H31="","",Dateneingabe!H31)</f>
        <v>1</v>
      </c>
      <c r="F24" s="140" t="str">
        <f>IF(Dateneingabe!J31="","",Dateneingabe!J31)</f>
        <v>/ kg</v>
      </c>
      <c r="G24" s="177"/>
      <c r="H24" s="142"/>
      <c r="J24" s="99"/>
    </row>
    <row r="25" spans="1:10" s="123" customFormat="1" ht="12" customHeight="1" thickBot="1">
      <c r="A25" s="118"/>
      <c r="B25" s="128" t="str">
        <f>IF(Dateneingabe!B33="","",Dateneingabe!B33)</f>
        <v>Strom</v>
      </c>
      <c r="C25" s="128"/>
      <c r="D25" s="154">
        <f>IF(Dateneingabe!F33="","",Dateneingabe!F33)</f>
        <v>50</v>
      </c>
      <c r="E25" s="139">
        <f>IF(Dateneingabe!H33="","",Dateneingabe!H33)</f>
        <v>0.14</v>
      </c>
      <c r="F25" s="140" t="str">
        <f>IF(Dateneingabe!J33="","",Dateneingabe!J33)</f>
        <v>/ KWh</v>
      </c>
      <c r="G25" s="177"/>
      <c r="H25" s="142"/>
      <c r="J25" s="99"/>
    </row>
    <row r="26" spans="1:10" s="123" customFormat="1" ht="12" customHeight="1" thickBot="1">
      <c r="A26" s="118"/>
      <c r="B26" s="128" t="str">
        <f>IF(Dateneingabe!B35="","",Dateneingabe!B35)</f>
        <v>Wasser (inkl. Abwasser)</v>
      </c>
      <c r="C26" s="128"/>
      <c r="D26" s="155">
        <f>IF(Dateneingabe!F35="","",Dateneingabe!F35)</f>
        <v>4</v>
      </c>
      <c r="E26" s="139">
        <f>IF(Dateneingabe!H35="","",Dateneingabe!H35)</f>
        <v>2</v>
      </c>
      <c r="F26" s="140" t="str">
        <f>IF(Dateneingabe!J35="","",Dateneingabe!J35)</f>
        <v>/ m³</v>
      </c>
      <c r="G26" s="177"/>
      <c r="H26" s="142"/>
      <c r="J26" s="99"/>
    </row>
    <row r="27" spans="1:10" s="123" customFormat="1" ht="12" customHeight="1" thickBot="1">
      <c r="A27" s="118"/>
      <c r="B27" s="128">
        <f>IF(Dateneingabe!B37="","",Dateneingabe!B37)</f>
      </c>
      <c r="C27" s="128"/>
      <c r="D27" s="153">
        <f>IF(Dateneingabe!F37="","",Dateneingabe!F37)</f>
      </c>
      <c r="E27" s="139">
        <f>IF(Dateneingabe!H37="","",Dateneingabe!H37)</f>
      </c>
      <c r="F27" s="156">
        <f>IF(Dateneingabe!J37="","",Dateneingabe!J37)</f>
      </c>
      <c r="G27" s="177"/>
      <c r="H27" s="142"/>
      <c r="J27" s="99"/>
    </row>
    <row r="28" spans="1:10" s="123" customFormat="1" ht="12" customHeight="1" thickBot="1">
      <c r="A28" s="118"/>
      <c r="B28" s="128">
        <f>IF(Dateneingabe!B39="","",Dateneingabe!B39)</f>
      </c>
      <c r="C28" s="128"/>
      <c r="D28" s="151">
        <f>IF(Dateneingabe!F39="","",Dateneingabe!F39)</f>
      </c>
      <c r="E28" s="139">
        <f>IF(Dateneingabe!H39="","",Dateneingabe!H39)</f>
      </c>
      <c r="F28" s="156">
        <f>IF(Dateneingabe!J39="","",Dateneingabe!J39)</f>
      </c>
      <c r="G28" s="177"/>
      <c r="H28" s="142"/>
      <c r="J28" s="99"/>
    </row>
    <row r="29" spans="1:10" s="123" customFormat="1" ht="12" customHeight="1" thickBot="1">
      <c r="A29" s="118"/>
      <c r="B29" s="143" t="s">
        <v>15</v>
      </c>
      <c r="C29" s="143"/>
      <c r="D29" s="144"/>
      <c r="E29" s="145"/>
      <c r="F29" s="145"/>
      <c r="G29" s="178"/>
      <c r="H29" s="178"/>
      <c r="J29" s="99"/>
    </row>
    <row r="30" spans="1:10" s="123" customFormat="1" ht="3" customHeight="1">
      <c r="A30" s="118"/>
      <c r="B30" s="134"/>
      <c r="C30" s="134"/>
      <c r="D30" s="147"/>
      <c r="E30" s="148"/>
      <c r="F30" s="148"/>
      <c r="G30" s="148"/>
      <c r="H30" s="148"/>
      <c r="J30" s="99"/>
    </row>
    <row r="31" spans="1:10" s="123" customFormat="1" ht="12" customHeight="1">
      <c r="A31" s="118"/>
      <c r="B31" s="135" t="s">
        <v>7</v>
      </c>
      <c r="C31" s="135"/>
      <c r="D31" s="137"/>
      <c r="E31" s="149" t="s">
        <v>58</v>
      </c>
      <c r="F31" s="150" t="s">
        <v>40</v>
      </c>
      <c r="G31" s="137" t="s">
        <v>49</v>
      </c>
      <c r="H31" s="137" t="s">
        <v>37</v>
      </c>
      <c r="I31" s="118"/>
      <c r="J31" s="99"/>
    </row>
    <row r="32" spans="1:10" s="123" customFormat="1" ht="12" customHeight="1" thickBot="1">
      <c r="A32" s="118"/>
      <c r="B32" s="128" t="str">
        <f>IF(Dateneingabe!B42="","",Dateneingabe!B42)</f>
        <v>Arbeitszeitbedarf für Herstellung und Abfüllung</v>
      </c>
      <c r="C32" s="128"/>
      <c r="D32" s="157"/>
      <c r="E32" s="158">
        <f>IF(Dateneingabe!F42="","",Dateneingabe!F42)</f>
        <v>20</v>
      </c>
      <c r="F32" s="159" t="str">
        <f>IF(Dateneingabe!H42="","",Dateneingabe!H42)</f>
        <v>/600 lt</v>
      </c>
      <c r="G32" s="160"/>
      <c r="H32" s="160"/>
      <c r="I32" s="118"/>
      <c r="J32" s="99"/>
    </row>
    <row r="33" spans="1:10" s="123" customFormat="1" ht="12" customHeight="1" thickBot="1">
      <c r="A33" s="118"/>
      <c r="B33" s="128" t="str">
        <f>IF(Dateneingabe!B44="","",Dateneingabe!B44)</f>
        <v>Lohnansatz</v>
      </c>
      <c r="C33" s="128"/>
      <c r="D33" s="161"/>
      <c r="E33" s="162">
        <f>IF(Dateneingabe!F44="","",Dateneingabe!F44)</f>
        <v>8</v>
      </c>
      <c r="F33" s="163" t="str">
        <f>IF(Dateneingabe!H44="","",Dateneingabe!H44)</f>
        <v>je Akh</v>
      </c>
      <c r="G33" s="179"/>
      <c r="H33" s="142"/>
      <c r="I33" s="118"/>
      <c r="J33" s="99"/>
    </row>
    <row r="34" spans="1:10" s="123" customFormat="1" ht="12" customHeight="1" thickBot="1">
      <c r="A34" s="118"/>
      <c r="B34" s="143" t="s">
        <v>16</v>
      </c>
      <c r="C34" s="143"/>
      <c r="D34" s="144"/>
      <c r="E34" s="145"/>
      <c r="F34" s="145"/>
      <c r="G34" s="178"/>
      <c r="H34" s="180"/>
      <c r="I34" s="118"/>
      <c r="J34" s="99"/>
    </row>
    <row r="35" spans="1:10" s="123" customFormat="1" ht="3" customHeight="1">
      <c r="A35" s="118"/>
      <c r="B35" s="134"/>
      <c r="C35" s="134"/>
      <c r="D35" s="147"/>
      <c r="E35" s="148"/>
      <c r="F35" s="148"/>
      <c r="G35" s="148"/>
      <c r="H35" s="148"/>
      <c r="J35" s="99"/>
    </row>
    <row r="36" spans="1:10" s="123" customFormat="1" ht="12" customHeight="1" thickBot="1">
      <c r="A36" s="118"/>
      <c r="B36" s="135" t="s">
        <v>3</v>
      </c>
      <c r="C36" s="135"/>
      <c r="D36" s="137"/>
      <c r="E36" s="149" t="s">
        <v>41</v>
      </c>
      <c r="F36" s="150" t="s">
        <v>40</v>
      </c>
      <c r="G36" s="137" t="s">
        <v>49</v>
      </c>
      <c r="H36" s="137" t="s">
        <v>37</v>
      </c>
      <c r="I36" s="118"/>
      <c r="J36" s="99"/>
    </row>
    <row r="37" spans="2:10" s="123" customFormat="1" ht="12" customHeight="1" thickBot="1">
      <c r="B37" s="166" t="str">
        <f>IF(Dateneingabe!B47="","",Dateneingabe!B47)</f>
        <v>Verarbeitungsraum (anteilig)</v>
      </c>
      <c r="C37" s="166"/>
      <c r="D37" s="166"/>
      <c r="E37" s="139">
        <f>IF(Dateneingabe!F47="","",Dateneingabe!F47)</f>
        <v>1400</v>
      </c>
      <c r="F37" s="167" t="str">
        <f>IF(Dateneingabe!H47="","",Dateneingabe!H47)</f>
        <v>/Jahr</v>
      </c>
      <c r="G37" s="177"/>
      <c r="H37" s="142"/>
      <c r="J37" s="99"/>
    </row>
    <row r="38" spans="2:10" s="123" customFormat="1" ht="12" customHeight="1" thickBot="1">
      <c r="B38" s="166" t="str">
        <f>IF(Dateneingabe!B49="","",Dateneingabe!B49)</f>
        <v>Pasteur (anteilig)</v>
      </c>
      <c r="C38" s="166"/>
      <c r="D38" s="166"/>
      <c r="E38" s="139">
        <f>IF(Dateneingabe!F49="","",Dateneingabe!F49)</f>
        <v>900</v>
      </c>
      <c r="F38" s="167" t="str">
        <f>IF(Dateneingabe!H49="","",Dateneingabe!H49)</f>
        <v>/Jahr</v>
      </c>
      <c r="G38" s="177"/>
      <c r="H38" s="142"/>
      <c r="J38" s="99"/>
    </row>
    <row r="39" spans="2:10" s="123" customFormat="1" ht="12" customHeight="1" thickBot="1">
      <c r="B39" s="166" t="str">
        <f>IF(Dateneingabe!B51="","",Dateneingabe!B51)</f>
        <v>Kühlschrank und Geschirrspüler</v>
      </c>
      <c r="C39" s="166"/>
      <c r="D39" s="166"/>
      <c r="E39" s="139">
        <f>IF(Dateneingabe!F51="","",Dateneingabe!F51)</f>
        <v>700</v>
      </c>
      <c r="F39" s="167" t="str">
        <f>IF(Dateneingabe!H51="","",Dateneingabe!H51)</f>
        <v>/Jahr</v>
      </c>
      <c r="G39" s="177"/>
      <c r="H39" s="142"/>
      <c r="J39" s="99"/>
    </row>
    <row r="40" spans="1:10" s="123" customFormat="1" ht="12" customHeight="1" thickBot="1">
      <c r="A40" s="118"/>
      <c r="B40" s="143" t="s">
        <v>18</v>
      </c>
      <c r="C40" s="143"/>
      <c r="D40" s="144"/>
      <c r="E40" s="145"/>
      <c r="F40" s="145"/>
      <c r="G40" s="178"/>
      <c r="H40" s="180"/>
      <c r="I40" s="118"/>
      <c r="J40" s="99"/>
    </row>
    <row r="41" spans="1:10" s="123" customFormat="1" ht="12" customHeight="1" thickBot="1">
      <c r="A41" s="168"/>
      <c r="B41" s="169" t="s">
        <v>28</v>
      </c>
      <c r="C41" s="169"/>
      <c r="D41" s="169"/>
      <c r="E41" s="169"/>
      <c r="F41" s="169"/>
      <c r="G41" s="181"/>
      <c r="H41" s="181"/>
      <c r="I41" s="168"/>
      <c r="J41" s="99"/>
    </row>
    <row r="42" spans="1:10" s="123" customFormat="1" ht="9.75" customHeight="1">
      <c r="A42" s="168"/>
      <c r="B42" s="134"/>
      <c r="C42" s="134"/>
      <c r="D42" s="134"/>
      <c r="E42" s="134"/>
      <c r="F42" s="134"/>
      <c r="G42" s="171"/>
      <c r="H42" s="171"/>
      <c r="I42" s="168"/>
      <c r="J42" s="99"/>
    </row>
    <row r="43" spans="1:10" s="123" customFormat="1" ht="12" customHeight="1" thickBot="1">
      <c r="A43" s="118"/>
      <c r="B43" s="119" t="s">
        <v>5</v>
      </c>
      <c r="C43" s="125"/>
      <c r="D43" s="125"/>
      <c r="E43" s="125"/>
      <c r="F43" s="125"/>
      <c r="G43" s="137" t="s">
        <v>49</v>
      </c>
      <c r="H43" s="137" t="s">
        <v>37</v>
      </c>
      <c r="I43" s="118"/>
      <c r="J43" s="99"/>
    </row>
    <row r="44" spans="2:10" s="123" customFormat="1" ht="12" customHeight="1" thickBot="1">
      <c r="B44" s="166" t="str">
        <f>IF(Dateneingabe!B54="","",Dateneingabe!B54)</f>
        <v>Gemein- und Vermarktungskostenzuschlag</v>
      </c>
      <c r="C44" s="166"/>
      <c r="D44" s="166"/>
      <c r="E44" s="172">
        <f>IF(Dateneingabe!F54="","",Dateneingabe!F54)</f>
        <v>0.02</v>
      </c>
      <c r="F44" s="173" t="str">
        <f>IF(Dateneingabe!H54="","",Dateneingabe!H54)</f>
        <v>der Herstellungskosten</v>
      </c>
      <c r="G44" s="177"/>
      <c r="H44" s="142"/>
      <c r="J44" s="99"/>
    </row>
    <row r="45" spans="1:10" s="123" customFormat="1" ht="12" customHeight="1" thickBot="1">
      <c r="A45" s="168"/>
      <c r="B45" s="169" t="s">
        <v>29</v>
      </c>
      <c r="C45" s="169"/>
      <c r="D45" s="169"/>
      <c r="E45" s="169"/>
      <c r="F45" s="169"/>
      <c r="G45" s="181"/>
      <c r="H45" s="181"/>
      <c r="I45" s="168"/>
      <c r="J45" s="99"/>
    </row>
    <row r="46" spans="2:10" s="123" customFormat="1" ht="12" customHeight="1" thickBot="1">
      <c r="B46" s="166" t="str">
        <f>IF(Dateneingabe!B56="","",Dateneingabe!B56)</f>
        <v>Gewinn- und Risikozuschlag</v>
      </c>
      <c r="C46" s="166"/>
      <c r="D46" s="166"/>
      <c r="E46" s="172">
        <f>IF(Dateneingabe!F56="","",Dateneingabe!F56)</f>
        <v>0.03</v>
      </c>
      <c r="F46" s="174" t="str">
        <f>IF(Dateneingabe!H56="","",Dateneingabe!H56)</f>
        <v>der Vollkosten</v>
      </c>
      <c r="G46" s="177"/>
      <c r="H46" s="211">
        <f>G46/(F7/H6)</f>
        <v>0</v>
      </c>
      <c r="J46" s="99"/>
    </row>
    <row r="47" spans="1:10" s="123" customFormat="1" ht="12" customHeight="1" thickBot="1">
      <c r="A47" s="168"/>
      <c r="B47" s="133" t="s">
        <v>20</v>
      </c>
      <c r="C47" s="133"/>
      <c r="D47" s="133"/>
      <c r="E47" s="133"/>
      <c r="F47" s="133"/>
      <c r="G47" s="182"/>
      <c r="H47" s="182"/>
      <c r="I47" s="168"/>
      <c r="J47" s="99"/>
    </row>
    <row r="48" ht="11.25">
      <c r="J48" s="176"/>
    </row>
    <row r="49" ht="11.25" hidden="1"/>
    <row r="50" ht="11.25" hidden="1"/>
  </sheetData>
  <sheetProtection sheet="1" objects="1" scenarios="1"/>
  <mergeCells count="10">
    <mergeCell ref="H14:H15"/>
    <mergeCell ref="F5:G5"/>
    <mergeCell ref="E14:F15"/>
    <mergeCell ref="F7:G7"/>
    <mergeCell ref="F8:G8"/>
    <mergeCell ref="F9:G9"/>
    <mergeCell ref="F10:G10"/>
    <mergeCell ref="C10:E10"/>
    <mergeCell ref="D14:D15"/>
    <mergeCell ref="G14:G15"/>
  </mergeCells>
  <conditionalFormatting sqref="E46 E44 D16:F16 E32:F33 H6 H9 F7:G7">
    <cfRule type="cellIs" priority="26" dxfId="34" operator="equal" stopIfTrue="1">
      <formula>""</formula>
    </cfRule>
  </conditionalFormatting>
  <conditionalFormatting sqref="D3:E3">
    <cfRule type="expression" priority="27" dxfId="34" stopIfTrue="1">
      <formula>#REF!=""</formula>
    </cfRule>
  </conditionalFormatting>
  <conditionalFormatting sqref="G20:G27 G37:G38">
    <cfRule type="expression" priority="5" dxfId="76" stopIfTrue="1">
      <formula>AND($B20="",$B19="")</formula>
    </cfRule>
    <cfRule type="expression" priority="37" dxfId="77" stopIfTrue="1">
      <formula>$B20=""</formula>
    </cfRule>
  </conditionalFormatting>
  <conditionalFormatting sqref="G28">
    <cfRule type="expression" priority="25" dxfId="78" stopIfTrue="1">
      <formula>$B28=""</formula>
    </cfRule>
  </conditionalFormatting>
  <conditionalFormatting sqref="G39">
    <cfRule type="expression" priority="24" dxfId="78" stopIfTrue="1">
      <formula>$B39=""</formula>
    </cfRule>
  </conditionalFormatting>
  <conditionalFormatting sqref="B10">
    <cfRule type="cellIs" priority="21" dxfId="73" operator="equal" stopIfTrue="1">
      <formula>"Verlust"</formula>
    </cfRule>
    <cfRule type="expression" priority="22" dxfId="79" stopIfTrue="1">
      <formula>$C$10="ACHTUNG: Der tatsächliche Gewinn liegt unter dem Gewinnzuschlag!!!"</formula>
    </cfRule>
    <cfRule type="expression" priority="23" dxfId="80" stopIfTrue="1">
      <formula>AND($B$10="Gewinn",$C$10="")</formula>
    </cfRule>
  </conditionalFormatting>
  <conditionalFormatting sqref="C10">
    <cfRule type="cellIs" priority="18" dxfId="73" operator="equal" stopIfTrue="1">
      <formula>"ACHTUNG: Der Preis deckt die Kosten nicht ab!!!"</formula>
    </cfRule>
    <cfRule type="cellIs" priority="19" dxfId="81" operator="equal" stopIfTrue="1">
      <formula>"ACHTUNG: Der tatsächliche Gewinn liegt unter dem Gewinnzuschlag!!!"</formula>
    </cfRule>
  </conditionalFormatting>
  <conditionalFormatting sqref="C10">
    <cfRule type="expression" priority="20" dxfId="82" stopIfTrue="1">
      <formula>$B$10="Gewinn"</formula>
    </cfRule>
  </conditionalFormatting>
  <conditionalFormatting sqref="F10">
    <cfRule type="cellIs" priority="12" dxfId="73" operator="lessThan" stopIfTrue="1">
      <formula>0</formula>
    </cfRule>
    <cfRule type="expression" priority="13" dxfId="81" stopIfTrue="1">
      <formula>$C$10="ACHTUNG: Der tatsächliche Gewinn liegt unter dem Gewinnzuschlag!!!"</formula>
    </cfRule>
    <cfRule type="expression" priority="14" dxfId="82" stopIfTrue="1">
      <formula>$B$10="Gewinn"</formula>
    </cfRule>
  </conditionalFormatting>
  <conditionalFormatting sqref="H10">
    <cfRule type="cellIs" priority="6" dxfId="73" operator="lessThan" stopIfTrue="1">
      <formula>0</formula>
    </cfRule>
    <cfRule type="expression" priority="7" dxfId="81" stopIfTrue="1">
      <formula>$C$10="ACHTUNG: Der tatsächliche Gewinn liegt unter dem Gewinnzuschlag!!!"</formula>
    </cfRule>
    <cfRule type="expression" priority="8" dxfId="82" stopIfTrue="1">
      <formula>$B$10="Gewinn"</formula>
    </cfRule>
  </conditionalFormatting>
  <conditionalFormatting sqref="G28">
    <cfRule type="expression" priority="3" dxfId="83" stopIfTrue="1">
      <formula>AND($B28="",$B27="")</formula>
    </cfRule>
  </conditionalFormatting>
  <conditionalFormatting sqref="G39">
    <cfRule type="expression" priority="2" dxfId="78" stopIfTrue="1">
      <formula>$B39=""</formula>
    </cfRule>
  </conditionalFormatting>
  <conditionalFormatting sqref="G39">
    <cfRule type="expression" priority="1" dxfId="83" stopIfTrue="1">
      <formula>AND($B39="",$B38="")</formula>
    </cfRule>
  </conditionalFormatting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scale="13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2"/>
  </sheetPr>
  <dimension ref="A1:O63"/>
  <sheetViews>
    <sheetView showGridLines="0" showRowColHeaders="0"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A2" sqref="A2:L2"/>
    </sheetView>
  </sheetViews>
  <sheetFormatPr defaultColWidth="0" defaultRowHeight="15" zeroHeight="1"/>
  <cols>
    <col min="1" max="1" width="1.77734375" style="1" customWidth="1"/>
    <col min="2" max="2" width="26.21484375" style="1" customWidth="1"/>
    <col min="3" max="3" width="7.77734375" style="1" customWidth="1"/>
    <col min="4" max="4" width="8.3359375" style="1" customWidth="1"/>
    <col min="5" max="5" width="0.88671875" style="1" customWidth="1"/>
    <col min="6" max="6" width="7.77734375" style="1" hidden="1" customWidth="1"/>
    <col min="7" max="7" width="0.88671875" style="1" hidden="1" customWidth="1"/>
    <col min="8" max="8" width="8.3359375" style="1" customWidth="1"/>
    <col min="9" max="9" width="10.77734375" style="1" customWidth="1"/>
    <col min="10" max="10" width="4.77734375" style="1" customWidth="1"/>
    <col min="11" max="11" width="1.77734375" style="1" customWidth="1"/>
    <col min="12" max="12" width="4.77734375" style="1" customWidth="1"/>
    <col min="13" max="13" width="16.77734375" style="1" customWidth="1"/>
    <col min="14" max="16384" width="0" style="1" hidden="1" customWidth="1"/>
  </cols>
  <sheetData>
    <row r="1" spans="1:13" ht="32.25" customHeight="1">
      <c r="A1" s="18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"/>
    </row>
    <row r="2" spans="1:13" ht="39.75" customHeight="1">
      <c r="A2" s="243" t="str">
        <f>IF(H54&lt;D54,"Du musst zuerst alle Berechnungen durchführen, um das Ergebnis ansehen zu können!","")</f>
        <v>Du musst zuerst alle Berechnungen durchführen, um das Ergebnis ansehen zu können!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"/>
    </row>
    <row r="3" spans="1:13" ht="12.75" customHeight="1">
      <c r="A3" s="21"/>
      <c r="B3" s="22" t="s">
        <v>65</v>
      </c>
      <c r="E3" s="23"/>
      <c r="F3" s="23"/>
      <c r="G3" s="23"/>
      <c r="H3" s="23"/>
      <c r="I3" s="24"/>
      <c r="J3" s="25"/>
      <c r="K3" s="24"/>
      <c r="L3" s="26"/>
      <c r="M3" s="2"/>
    </row>
    <row r="4" spans="2:13" ht="3.75" customHeight="1">
      <c r="B4" s="22"/>
      <c r="E4" s="23"/>
      <c r="F4" s="23"/>
      <c r="G4" s="23"/>
      <c r="H4" s="23"/>
      <c r="I4" s="24"/>
      <c r="J4" s="25"/>
      <c r="K4" s="24"/>
      <c r="L4" s="26"/>
      <c r="M4" s="2"/>
    </row>
    <row r="5" spans="1:13" ht="12.75" customHeight="1">
      <c r="A5" s="27"/>
      <c r="B5" s="22" t="s">
        <v>66</v>
      </c>
      <c r="E5" s="23"/>
      <c r="F5" s="23"/>
      <c r="G5" s="23"/>
      <c r="H5" s="23"/>
      <c r="I5" s="24"/>
      <c r="J5" s="25"/>
      <c r="K5" s="24"/>
      <c r="L5" s="26"/>
      <c r="M5" s="28"/>
    </row>
    <row r="6" spans="5:13" ht="12.75" customHeight="1">
      <c r="E6" s="23"/>
      <c r="F6" s="23"/>
      <c r="G6" s="23"/>
      <c r="H6" s="24"/>
      <c r="I6" s="24"/>
      <c r="J6" s="25"/>
      <c r="K6" s="24"/>
      <c r="L6" s="26"/>
      <c r="M6" s="28"/>
    </row>
    <row r="7" spans="2:13" ht="22.5">
      <c r="B7" s="29"/>
      <c r="D7" s="30" t="s">
        <v>67</v>
      </c>
      <c r="E7" s="30"/>
      <c r="F7" s="31" t="s">
        <v>68</v>
      </c>
      <c r="G7" s="2"/>
      <c r="H7" s="31" t="s">
        <v>69</v>
      </c>
      <c r="I7" s="32" t="str">
        <f>"Fehler"</f>
        <v>Fehler</v>
      </c>
      <c r="J7" s="244" t="s">
        <v>70</v>
      </c>
      <c r="K7" s="244"/>
      <c r="L7" s="244"/>
      <c r="M7" s="2"/>
    </row>
    <row r="8" spans="1:13" ht="12.75" customHeight="1">
      <c r="A8" s="33" t="s">
        <v>71</v>
      </c>
      <c r="B8" s="33" t="str">
        <f>Berechnung!B5</f>
        <v>LEISTUNG</v>
      </c>
      <c r="C8" s="34"/>
      <c r="D8" s="35"/>
      <c r="H8" s="33"/>
      <c r="I8" s="36"/>
      <c r="J8" s="37"/>
      <c r="K8" s="38"/>
      <c r="L8" s="39"/>
      <c r="M8" s="2"/>
    </row>
    <row r="9" spans="2:13" ht="12.75" customHeight="1">
      <c r="B9" s="40" t="str">
        <f>MID(Berechnung!C8,4,6)&amp;" "&amp;Berechnung!F5</f>
        <v>Gläser pro Woche</v>
      </c>
      <c r="C9" s="34"/>
      <c r="D9" s="41">
        <f>IF(Hilfe!$F10="","",Hilfe!$F10)</f>
        <v>2400</v>
      </c>
      <c r="E9" s="42"/>
      <c r="F9" s="42"/>
      <c r="H9" s="43">
        <f>IF(Berechnung!$F8="","",Berechnung!$F8)</f>
      </c>
      <c r="I9" s="44" t="str">
        <f>IF(H9=D9,"Richtig!",IF(H9="","Fehlt","Falsch"))</f>
        <v>Fehlt</v>
      </c>
      <c r="J9" s="45">
        <f>IF(I9="Richtig!",1,IF(I9="Formel: OK",0.5,IF(OR(I9="Falsch",I9="Fehlt"),0,"")))</f>
        <v>0</v>
      </c>
      <c r="K9" s="38" t="s">
        <v>72</v>
      </c>
      <c r="L9" s="39">
        <v>1</v>
      </c>
      <c r="M9" s="2"/>
    </row>
    <row r="10" spans="2:13" ht="12.75" customHeight="1">
      <c r="B10" s="40" t="str">
        <f>Berechnung!B9&amp;" "&amp;Berechnung!F5</f>
        <v>Verkaufserlös pro Woche</v>
      </c>
      <c r="C10" s="34"/>
      <c r="D10" s="41">
        <f>IF(Hilfe!$F11="","",Hilfe!$F11)</f>
        <v>2160</v>
      </c>
      <c r="E10" s="42"/>
      <c r="F10" s="42"/>
      <c r="H10" s="43">
        <f>IF(Berechnung!$F9="","",Berechnung!$F9)</f>
      </c>
      <c r="I10" s="44" t="str">
        <f>IF(H10=D10,"Richtig!",IF(H10="","Fehlt","Falsch"))</f>
        <v>Fehlt</v>
      </c>
      <c r="J10" s="45">
        <f>IF(I10="Richtig!",1,IF(I10="Formel: OK",0.5,IF(OR(I10="Falsch",I10="Fehlt"),0,"")))</f>
        <v>0</v>
      </c>
      <c r="K10" s="38" t="s">
        <v>72</v>
      </c>
      <c r="L10" s="39">
        <v>1</v>
      </c>
      <c r="M10" s="2"/>
    </row>
    <row r="11" spans="1:13" ht="15">
      <c r="A11" s="34"/>
      <c r="B11" s="49" t="str">
        <f>Berechnung!B10&amp;" "&amp;Berechnung!F5</f>
        <v>  O  Gewinn
  O  Verlust pro Woche</v>
      </c>
      <c r="C11" s="34"/>
      <c r="D11" s="50">
        <f>IF(Hilfe!$F12="","",Hilfe!$F12)</f>
        <v>960.640846153846</v>
      </c>
      <c r="E11" s="42"/>
      <c r="F11" s="51" t="str">
        <f>IF(OR(H10="",H48=""),"-",H10-H48)</f>
        <v>-</v>
      </c>
      <c r="H11" s="52">
        <f>IF(Berechnung!$F10="","",Berechnung!$F10)</f>
      </c>
      <c r="I11" s="44" t="str">
        <f>IF(B11="-","",IF(H11=D11,"Richtig!",IF(AND(D11&lt;&gt;H11,F11=H11),"Formel: OK",IF(H11="","Fehlt","Falsch"))))</f>
        <v>Fehlt</v>
      </c>
      <c r="J11" s="45">
        <f>IF(B11="-","",IF(I11="Richtig!",1,IF(I11="Formel: OK",0.5,IF(OR(I11="Falsch",I11="Fehlt"),0,""))))</f>
        <v>0</v>
      </c>
      <c r="K11" s="38" t="s">
        <v>72</v>
      </c>
      <c r="L11" s="39">
        <f>IF(B11="-","",1)</f>
        <v>1</v>
      </c>
      <c r="M11" s="2"/>
    </row>
    <row r="12" spans="1:13" ht="15">
      <c r="A12" s="34"/>
      <c r="B12" s="49" t="str">
        <f>Berechnung!B10&amp;" "&amp;Berechnung!H19</f>
        <v>  O  Gewinn
  O  Verlust pro Stk.</v>
      </c>
      <c r="C12" s="34"/>
      <c r="D12" s="50">
        <f>IF(Hilfe!$H12="","",Hilfe!$H12)</f>
        <v>0.4002670192307692</v>
      </c>
      <c r="E12" s="42"/>
      <c r="F12" s="51" t="str">
        <f>IF(OR(H11="",$H$9=""),"-",H11/$H$9)</f>
        <v>-</v>
      </c>
      <c r="H12" s="52">
        <f>IF(Berechnung!$H10="","",Berechnung!$H10)</f>
      </c>
      <c r="I12" s="44" t="str">
        <f>IF(B12="-","",IF(H12=D12,"Richtig!",IF(AND(D12&lt;&gt;H12,F12=H12),"Formel: OK",IF(H12="","Fehlt","Falsch"))))</f>
        <v>Fehlt</v>
      </c>
      <c r="J12" s="45">
        <f>IF(B12="-","",IF(I12="Richtig!",1,IF(I12="Formel: OK",0.5,IF(OR(I12="Falsch",I12="Fehlt"),0,""))))</f>
        <v>0</v>
      </c>
      <c r="K12" s="38" t="s">
        <v>72</v>
      </c>
      <c r="L12" s="39">
        <f>IF(B12="-","",1)</f>
        <v>1</v>
      </c>
      <c r="M12" s="2"/>
    </row>
    <row r="13" spans="1:13" ht="15">
      <c r="A13" s="34"/>
      <c r="B13" s="34"/>
      <c r="C13" s="34"/>
      <c r="D13" s="46"/>
      <c r="E13" s="42"/>
      <c r="F13" s="42"/>
      <c r="H13" s="47"/>
      <c r="I13" s="44"/>
      <c r="J13" s="48"/>
      <c r="K13" s="38"/>
      <c r="L13" s="39"/>
      <c r="M13" s="2"/>
    </row>
    <row r="14" spans="1:13" ht="15">
      <c r="A14" s="33" t="s">
        <v>73</v>
      </c>
      <c r="B14" s="33" t="str">
        <f>Berechnung!B15</f>
        <v>Rohstoffkosten</v>
      </c>
      <c r="C14" s="34"/>
      <c r="D14" s="35"/>
      <c r="H14" s="33"/>
      <c r="I14" s="36"/>
      <c r="J14" s="37"/>
      <c r="K14" s="38"/>
      <c r="L14" s="39"/>
      <c r="M14" s="2"/>
    </row>
    <row r="15" spans="1:13" ht="12.75" customHeight="1">
      <c r="A15" s="34"/>
      <c r="B15" s="49" t="str">
        <f>Berechnung!B16&amp;"kosten "&amp;Berechnung!F5</f>
        <v>Rohmilchkosten pro Woche</v>
      </c>
      <c r="C15" s="34"/>
      <c r="D15" s="41">
        <f>IF(Hilfe!$G30="","",Hilfe!$G30)</f>
        <v>180</v>
      </c>
      <c r="E15" s="42"/>
      <c r="F15" s="42"/>
      <c r="H15" s="43">
        <f>IF(Berechnung!$G16="","",Berechnung!$G16)</f>
      </c>
      <c r="I15" s="44" t="str">
        <f>IF(B15="-","",IF(H15=D15,"Richtig!",IF(H15="","Fehlt","Falsch")))</f>
        <v>Fehlt</v>
      </c>
      <c r="J15" s="45">
        <f aca="true" t="shared" si="0" ref="J15:J20">IF(B15="-","",IF(I15="Richtig!",1,IF(I15="Formel: OK",0.5,IF(OR(I15="Falsch",I15="Fehlt"),0,""))))</f>
        <v>0</v>
      </c>
      <c r="K15" s="38" t="s">
        <v>72</v>
      </c>
      <c r="L15" s="39">
        <f aca="true" t="shared" si="1" ref="L15:L20">IF(B15="-","",1)</f>
        <v>1</v>
      </c>
      <c r="M15" s="2"/>
    </row>
    <row r="16" spans="1:13" ht="15">
      <c r="A16" s="34"/>
      <c r="B16" s="49" t="str">
        <f>Berechnung!B17&amp;" "&amp;Berechnung!F5</f>
        <v>Summe Rohstoffkosten pro Woche</v>
      </c>
      <c r="C16" s="34"/>
      <c r="D16" s="50">
        <f>IF(Hilfe!$G31="","",Hilfe!$G31)</f>
        <v>180</v>
      </c>
      <c r="E16" s="42"/>
      <c r="F16" s="51" t="str">
        <f>IF(H15="","-",H15)</f>
        <v>-</v>
      </c>
      <c r="H16" s="52">
        <f>IF(Berechnung!$G17="","",Berechnung!$G17)</f>
      </c>
      <c r="I16" s="44" t="str">
        <f>IF(B16="-","",IF(H16=D16,"Richtig!",IF(AND(D16&lt;&gt;H16,F16=H16),"Formel: OK",IF(H16="","Fehlt","Falsch"))))</f>
        <v>Fehlt</v>
      </c>
      <c r="J16" s="45">
        <f t="shared" si="0"/>
        <v>0</v>
      </c>
      <c r="K16" s="38" t="s">
        <v>72</v>
      </c>
      <c r="L16" s="39">
        <f t="shared" si="1"/>
        <v>1</v>
      </c>
      <c r="M16" s="2"/>
    </row>
    <row r="17" spans="1:13" ht="15">
      <c r="A17" s="34"/>
      <c r="B17" s="49" t="str">
        <f>Berechnung!B17&amp;" "&amp;Berechnung!H19</f>
        <v>Summe Rohstoffkosten pro Stk.</v>
      </c>
      <c r="C17" s="34"/>
      <c r="D17" s="50">
        <f>IF(Hilfe!$H31="","",Hilfe!$H31)</f>
        <v>0.075</v>
      </c>
      <c r="E17" s="42"/>
      <c r="F17" s="51" t="str">
        <f>IF(OR(H16="",$H$9=""),"-",H16/$H$9)</f>
        <v>-</v>
      </c>
      <c r="H17" s="52">
        <f>IF(Berechnung!$H17="","",Berechnung!$H17)</f>
      </c>
      <c r="I17" s="44" t="str">
        <f>IF(B17="-","",IF(H17=D17,"Richtig!",IF(AND(D17&lt;&gt;H17,F17=H17),"Formel: OK",IF(H17="","Fehlt","Falsch"))))</f>
        <v>Fehlt</v>
      </c>
      <c r="J17" s="45">
        <f t="shared" si="0"/>
        <v>0</v>
      </c>
      <c r="K17" s="38" t="s">
        <v>72</v>
      </c>
      <c r="L17" s="39">
        <f t="shared" si="1"/>
        <v>1</v>
      </c>
      <c r="M17" s="2"/>
    </row>
    <row r="18" spans="1:13" ht="15">
      <c r="A18" s="34"/>
      <c r="B18" s="34"/>
      <c r="C18" s="34"/>
      <c r="D18" s="46"/>
      <c r="E18" s="42"/>
      <c r="F18" s="42"/>
      <c r="H18" s="47"/>
      <c r="I18" s="44"/>
      <c r="J18" s="48"/>
      <c r="K18" s="38"/>
      <c r="L18" s="39"/>
      <c r="M18" s="2"/>
    </row>
    <row r="19" spans="1:13" ht="15">
      <c r="A19" s="33" t="s">
        <v>74</v>
      </c>
      <c r="B19" s="33" t="str">
        <f>Berechnung!B19</f>
        <v>Verarbeitungskosten</v>
      </c>
      <c r="C19" s="34"/>
      <c r="D19" s="35"/>
      <c r="H19" s="33"/>
      <c r="I19" s="36"/>
      <c r="J19" s="37"/>
      <c r="K19" s="38"/>
      <c r="L19" s="39"/>
      <c r="M19" s="2"/>
    </row>
    <row r="20" spans="1:13" ht="12.75" customHeight="1">
      <c r="A20" s="34"/>
      <c r="B20" s="49" t="str">
        <f>IF(Berechnung!B20="","",Berechnung!B20&amp;" "&amp;Berechnung!$F$5)</f>
        <v>Glas pro Woche</v>
      </c>
      <c r="C20" s="34"/>
      <c r="D20" s="41">
        <f>IF(Hilfe!$G41="","",Hilfe!$G41)</f>
        <v>600</v>
      </c>
      <c r="E20" s="42"/>
      <c r="F20" s="42"/>
      <c r="H20" s="43">
        <f>IF(Berechnung!$G20="","",Berechnung!$G20)</f>
      </c>
      <c r="I20" s="44" t="str">
        <f>IF(B20="-","",IF(H20=D20,"Richtig!",IF(H20="","Fehlt","Falsch")))</f>
        <v>Fehlt</v>
      </c>
      <c r="J20" s="45">
        <f t="shared" si="0"/>
        <v>0</v>
      </c>
      <c r="K20" s="38" t="s">
        <v>72</v>
      </c>
      <c r="L20" s="39">
        <f t="shared" si="1"/>
        <v>1</v>
      </c>
      <c r="M20" s="2"/>
    </row>
    <row r="21" spans="1:13" ht="15">
      <c r="A21" s="34"/>
      <c r="B21" s="49" t="str">
        <f>IF(Berechnung!B21="","",Berechnung!B21&amp;" "&amp;Berechnung!$F$5)</f>
        <v>Deckel pro Woche</v>
      </c>
      <c r="C21" s="34"/>
      <c r="D21" s="41">
        <f>IF(Hilfe!$G42="","",Hilfe!$G42)</f>
        <v>120</v>
      </c>
      <c r="E21" s="42"/>
      <c r="F21" s="42"/>
      <c r="H21" s="43">
        <f>IF(Berechnung!$G21="","",Berechnung!$G21)</f>
      </c>
      <c r="I21" s="44" t="str">
        <f aca="true" t="shared" si="2" ref="I21:I28">IF(B21="-","",IF(H21=D21,"Richtig!",IF(H21="","Fehlt","Falsch")))</f>
        <v>Fehlt</v>
      </c>
      <c r="J21" s="45">
        <f aca="true" t="shared" si="3" ref="J21:J30">IF(B21="-","",IF(I21="Richtig!",1,IF(I21="Formel: OK",0.5,IF(OR(I21="Falsch",I21="Fehlt"),0,""))))</f>
        <v>0</v>
      </c>
      <c r="K21" s="38" t="s">
        <v>72</v>
      </c>
      <c r="L21" s="39">
        <f aca="true" t="shared" si="4" ref="L21:L30">IF(B21="-","",1)</f>
        <v>1</v>
      </c>
      <c r="M21" s="2"/>
    </row>
    <row r="22" spans="2:13" ht="15">
      <c r="B22" s="49" t="str">
        <f>IF(Berechnung!B22="","",Berechnung!B22&amp;" "&amp;Berechnung!$F$5)</f>
        <v>Jogurtkultur pro Woche</v>
      </c>
      <c r="C22" s="34"/>
      <c r="D22" s="41">
        <f>IF(Hilfe!$G43="","",Hilfe!$G43)</f>
        <v>7.15</v>
      </c>
      <c r="E22" s="42"/>
      <c r="F22" s="42"/>
      <c r="H22" s="43">
        <f>IF(Berechnung!$G22="","",Berechnung!$G22)</f>
      </c>
      <c r="I22" s="44" t="str">
        <f t="shared" si="2"/>
        <v>Fehlt</v>
      </c>
      <c r="J22" s="45">
        <f t="shared" si="3"/>
        <v>0</v>
      </c>
      <c r="K22" s="38" t="s">
        <v>72</v>
      </c>
      <c r="L22" s="39">
        <f t="shared" si="4"/>
        <v>1</v>
      </c>
      <c r="M22" s="2"/>
    </row>
    <row r="23" spans="2:13" ht="15">
      <c r="B23" s="49" t="str">
        <f>IF(Berechnung!B23="","",Berechnung!B23&amp;" "&amp;Berechnung!$F$5)</f>
        <v>Geschmackszutaten: Kirsch pro Woche</v>
      </c>
      <c r="C23" s="34"/>
      <c r="D23" s="41">
        <f>IF(Hilfe!$G44="","",Hilfe!$G44)</f>
        <v>36</v>
      </c>
      <c r="E23" s="42"/>
      <c r="F23" s="42"/>
      <c r="H23" s="43">
        <f>IF(Berechnung!$G23="","",Berechnung!$G23)</f>
      </c>
      <c r="I23" s="44" t="str">
        <f t="shared" si="2"/>
        <v>Fehlt</v>
      </c>
      <c r="J23" s="45">
        <f t="shared" si="3"/>
        <v>0</v>
      </c>
      <c r="K23" s="38" t="s">
        <v>72</v>
      </c>
      <c r="L23" s="39">
        <f t="shared" si="4"/>
        <v>1</v>
      </c>
      <c r="M23" s="2"/>
    </row>
    <row r="24" spans="2:13" ht="15">
      <c r="B24" s="49" t="str">
        <f>IF(Berechnung!B24="","",Berechnung!B24&amp;" "&amp;Berechnung!$F$5)</f>
        <v>Zucker pro Woche</v>
      </c>
      <c r="C24" s="34"/>
      <c r="D24" s="41">
        <f>IF(Hilfe!$G45="","",Hilfe!$G45)</f>
        <v>0</v>
      </c>
      <c r="E24" s="42"/>
      <c r="F24" s="42"/>
      <c r="H24" s="43">
        <f>IF(Berechnung!$G24="","",Berechnung!$G24)</f>
      </c>
      <c r="I24" s="44" t="str">
        <f t="shared" si="2"/>
        <v>Fehlt</v>
      </c>
      <c r="J24" s="45">
        <f t="shared" si="3"/>
        <v>0</v>
      </c>
      <c r="K24" s="38" t="s">
        <v>72</v>
      </c>
      <c r="L24" s="39">
        <f t="shared" si="4"/>
        <v>1</v>
      </c>
      <c r="M24" s="2"/>
    </row>
    <row r="25" spans="2:13" ht="15">
      <c r="B25" s="49" t="str">
        <f>IF(Berechnung!B25="","",Berechnung!B25&amp;" "&amp;Berechnung!$F$5)</f>
        <v>Strom pro Woche</v>
      </c>
      <c r="C25" s="34"/>
      <c r="D25" s="41">
        <f>IF(Hilfe!$G46="","",Hilfe!$G46)</f>
        <v>7.000000000000001</v>
      </c>
      <c r="E25" s="42"/>
      <c r="F25" s="42"/>
      <c r="H25" s="43">
        <f>IF(Berechnung!$G25="","",Berechnung!$G25)</f>
      </c>
      <c r="I25" s="44" t="str">
        <f t="shared" si="2"/>
        <v>Fehlt</v>
      </c>
      <c r="J25" s="45">
        <f t="shared" si="3"/>
        <v>0</v>
      </c>
      <c r="K25" s="38" t="s">
        <v>72</v>
      </c>
      <c r="L25" s="39">
        <f t="shared" si="4"/>
        <v>1</v>
      </c>
      <c r="M25" s="2"/>
    </row>
    <row r="26" spans="2:13" ht="15">
      <c r="B26" s="49" t="str">
        <f>IF(Berechnung!B26="","",Berechnung!B26&amp;" "&amp;Berechnung!$F$5)</f>
        <v>Wasser (inkl. Abwasser) pro Woche</v>
      </c>
      <c r="C26" s="34"/>
      <c r="D26" s="41">
        <f>IF(Hilfe!$G47="","",Hilfe!$G47)</f>
        <v>8</v>
      </c>
      <c r="E26" s="42"/>
      <c r="F26" s="42"/>
      <c r="H26" s="43">
        <f>IF(Berechnung!$G26="","",Berechnung!$G26)</f>
      </c>
      <c r="I26" s="44" t="str">
        <f t="shared" si="2"/>
        <v>Fehlt</v>
      </c>
      <c r="J26" s="45">
        <f t="shared" si="3"/>
        <v>0</v>
      </c>
      <c r="K26" s="38" t="s">
        <v>72</v>
      </c>
      <c r="L26" s="39">
        <f t="shared" si="4"/>
        <v>1</v>
      </c>
      <c r="M26" s="2"/>
    </row>
    <row r="27" spans="2:13" ht="15">
      <c r="B27" s="49">
        <f>IF(Berechnung!B27="","",Berechnung!B27&amp;" "&amp;Berechnung!$F$5)</f>
      </c>
      <c r="C27" s="34"/>
      <c r="D27" s="41">
        <f>IF(Hilfe!$G48="","",Hilfe!$G48)</f>
      </c>
      <c r="E27" s="42"/>
      <c r="F27" s="42"/>
      <c r="H27" s="43">
        <f>IF(Berechnung!$G27="","",Berechnung!$G27)</f>
      </c>
      <c r="I27" s="44" t="str">
        <f t="shared" si="2"/>
        <v>Richtig!</v>
      </c>
      <c r="J27" s="45">
        <f t="shared" si="3"/>
        <v>1</v>
      </c>
      <c r="K27" s="38" t="s">
        <v>72</v>
      </c>
      <c r="L27" s="39">
        <f t="shared" si="4"/>
        <v>1</v>
      </c>
      <c r="M27" s="2"/>
    </row>
    <row r="28" spans="2:13" ht="15">
      <c r="B28" s="49">
        <f>IF(Berechnung!B28="","",Berechnung!B28&amp;" "&amp;Berechnung!$F$5)</f>
      </c>
      <c r="C28" s="34"/>
      <c r="D28" s="41">
        <f>IF(Hilfe!$G49="","",Hilfe!$G49)</f>
      </c>
      <c r="E28" s="42"/>
      <c r="F28" s="42"/>
      <c r="H28" s="43">
        <f>IF(Berechnung!$G28="","",Berechnung!$G28)</f>
      </c>
      <c r="I28" s="44" t="str">
        <f t="shared" si="2"/>
        <v>Richtig!</v>
      </c>
      <c r="J28" s="45">
        <f t="shared" si="3"/>
        <v>1</v>
      </c>
      <c r="K28" s="38" t="s">
        <v>72</v>
      </c>
      <c r="L28" s="39">
        <f t="shared" si="4"/>
        <v>1</v>
      </c>
      <c r="M28" s="2"/>
    </row>
    <row r="29" spans="1:13" ht="15">
      <c r="A29" s="34"/>
      <c r="B29" s="49" t="str">
        <f>Berechnung!B29&amp;" "&amp;Berechnung!$F$5</f>
        <v>Summe Verarbeitungskosten pro Woche</v>
      </c>
      <c r="C29" s="34"/>
      <c r="D29" s="50">
        <f>IF(Hilfe!$G50="","",Hilfe!$G50)</f>
        <v>778.15</v>
      </c>
      <c r="E29" s="42"/>
      <c r="F29" s="51" t="str">
        <f>IF(AND(H20="",H21="",H22="",H23="",H24="",H25="",H26="",H27="",H28=""),"-",SUM(H20:H28))</f>
        <v>-</v>
      </c>
      <c r="H29" s="52">
        <f>IF(Berechnung!$G29="","",Berechnung!$G29)</f>
      </c>
      <c r="I29" s="44" t="str">
        <f>IF(B29="-","",IF(H29=D29,"Richtig!",IF(AND(D29&lt;&gt;H29,F29=H29),"Formel: OK",IF(H29="","Fehlt","Falsch"))))</f>
        <v>Fehlt</v>
      </c>
      <c r="J29" s="45">
        <f t="shared" si="3"/>
        <v>0</v>
      </c>
      <c r="K29" s="38" t="s">
        <v>72</v>
      </c>
      <c r="L29" s="39">
        <f t="shared" si="4"/>
        <v>1</v>
      </c>
      <c r="M29" s="2"/>
    </row>
    <row r="30" spans="1:13" ht="15">
      <c r="A30" s="34"/>
      <c r="B30" s="49" t="str">
        <f>Berechnung!B29&amp;" "&amp;Berechnung!$H$19</f>
        <v>Summe Verarbeitungskosten pro Stk.</v>
      </c>
      <c r="C30" s="34"/>
      <c r="D30" s="50">
        <f>IF(Hilfe!$H50="","",Hilfe!$H50)</f>
        <v>0.3242291666666667</v>
      </c>
      <c r="E30" s="42"/>
      <c r="F30" s="51" t="str">
        <f>IF(OR(H29="",$H$9=""),"-",H29/$H$9)</f>
        <v>-</v>
      </c>
      <c r="H30" s="52">
        <f>IF(Berechnung!$H29="","",Berechnung!$H29)</f>
      </c>
      <c r="I30" s="44" t="str">
        <f>IF(B30="-","",IF(H30=D30,"Richtig!",IF(AND(D30&lt;&gt;H30,F30=H30),"Formel: OK",IF(H30="","Fehlt","Falsch"))))</f>
        <v>Fehlt</v>
      </c>
      <c r="J30" s="45">
        <f t="shared" si="3"/>
        <v>0</v>
      </c>
      <c r="K30" s="38" t="s">
        <v>72</v>
      </c>
      <c r="L30" s="39">
        <f t="shared" si="4"/>
        <v>1</v>
      </c>
      <c r="M30" s="2"/>
    </row>
    <row r="31" spans="1:13" ht="15">
      <c r="A31" s="34"/>
      <c r="B31" s="34"/>
      <c r="C31" s="34"/>
      <c r="D31" s="46"/>
      <c r="E31" s="42"/>
      <c r="F31" s="42"/>
      <c r="H31" s="47"/>
      <c r="I31" s="44"/>
      <c r="J31" s="48"/>
      <c r="K31" s="38"/>
      <c r="L31" s="39"/>
      <c r="M31" s="2"/>
    </row>
    <row r="32" spans="1:13" ht="15">
      <c r="A32" s="33" t="s">
        <v>75</v>
      </c>
      <c r="B32" s="33" t="str">
        <f>Berechnung!B31</f>
        <v>Arbeitskosten</v>
      </c>
      <c r="C32" s="34"/>
      <c r="D32" s="35"/>
      <c r="H32" s="33"/>
      <c r="I32" s="36"/>
      <c r="J32" s="37"/>
      <c r="K32" s="38"/>
      <c r="L32" s="39"/>
      <c r="M32" s="2"/>
    </row>
    <row r="33" spans="2:13" ht="15">
      <c r="B33" s="49" t="str">
        <f>Berechnung!B31&amp;" "&amp;Berechnung!G31</f>
        <v>Arbeitskosten pro Woche</v>
      </c>
      <c r="C33" s="34"/>
      <c r="D33" s="41">
        <f>IF(Hilfe!$G67="","",Hilfe!$G67)</f>
        <v>160</v>
      </c>
      <c r="E33" s="42"/>
      <c r="F33" s="42"/>
      <c r="H33" s="43">
        <f>IF(Berechnung!$G33="","",Berechnung!$G33)</f>
      </c>
      <c r="I33" s="44" t="str">
        <f>IF(B33="-","",IF(H33=D33,"Richtig!",IF(H33="","Fehlt","Falsch")))</f>
        <v>Fehlt</v>
      </c>
      <c r="J33" s="45">
        <f>IF(B33="-","",IF(I33="Richtig!",1,IF(I33="Formel: OK",0.5,IF(OR(I33="Falsch",I33="Fehlt"),0,""))))</f>
        <v>0</v>
      </c>
      <c r="K33" s="38" t="s">
        <v>72</v>
      </c>
      <c r="L33" s="39">
        <f>IF(B33="-","",1)</f>
        <v>1</v>
      </c>
      <c r="M33" s="2"/>
    </row>
    <row r="34" spans="1:13" ht="15">
      <c r="A34" s="34"/>
      <c r="B34" s="49" t="str">
        <f>Berechnung!B34&amp;" "&amp;Berechnung!$F$5</f>
        <v>Summe Arbeitskosten pro Woche</v>
      </c>
      <c r="C34" s="34"/>
      <c r="D34" s="50">
        <f>IF(Hilfe!$G68="","",Hilfe!$G68)</f>
        <v>160</v>
      </c>
      <c r="E34" s="42"/>
      <c r="F34" s="51" t="str">
        <f>IF(H33="","-",H33)</f>
        <v>-</v>
      </c>
      <c r="H34" s="52">
        <f>IF(Berechnung!$G34="","",Berechnung!$G34)</f>
      </c>
      <c r="I34" s="44" t="str">
        <f>IF(B34="-","",IF(H34=D34,"Richtig!",IF(AND(D34&lt;&gt;H34,F34=H34),"Formel: OK",IF(H34="","Fehlt","Falsch"))))</f>
        <v>Fehlt</v>
      </c>
      <c r="J34" s="45">
        <f>IF(B34="-","",IF(I34="Richtig!",1,IF(I34="Formel: OK",0.5,IF(OR(I34="Falsch",I34="Fehlt"),0,""))))</f>
        <v>0</v>
      </c>
      <c r="K34" s="38" t="s">
        <v>72</v>
      </c>
      <c r="L34" s="39">
        <f>IF(B34="-","",1)</f>
        <v>1</v>
      </c>
      <c r="M34" s="2"/>
    </row>
    <row r="35" spans="1:13" ht="15">
      <c r="A35" s="34"/>
      <c r="B35" s="49" t="str">
        <f>Berechnung!B34&amp;" "&amp;Berechnung!$H$19</f>
        <v>Summe Arbeitskosten pro Stk.</v>
      </c>
      <c r="C35" s="34"/>
      <c r="D35" s="50">
        <f>IF(Hilfe!$H68="","",Hilfe!$H68)</f>
        <v>0.06666666666666667</v>
      </c>
      <c r="E35" s="42"/>
      <c r="F35" s="51" t="str">
        <f>IF(OR(H34="",$H$9=""),"-",H34/$H$9)</f>
        <v>-</v>
      </c>
      <c r="H35" s="52">
        <f>IF(Berechnung!$H34="","",Berechnung!$H34)</f>
      </c>
      <c r="I35" s="44" t="str">
        <f>IF(B35="-","",IF(H35=D35,"Richtig!",IF(AND(D35&lt;&gt;H35,F35=H35),"Formel: OK",IF(H35="","Fehlt","Falsch"))))</f>
        <v>Fehlt</v>
      </c>
      <c r="J35" s="45">
        <f>IF(B35="-","",IF(I35="Richtig!",1,IF(I35="Formel: OK",0.5,IF(OR(I35="Falsch",I35="Fehlt"),0,""))))</f>
        <v>0</v>
      </c>
      <c r="K35" s="38" t="s">
        <v>72</v>
      </c>
      <c r="L35" s="39">
        <f>IF(B35="-","",1)</f>
        <v>1</v>
      </c>
      <c r="M35" s="2"/>
    </row>
    <row r="36" spans="1:13" ht="15">
      <c r="A36" s="34"/>
      <c r="B36" s="34"/>
      <c r="C36" s="34"/>
      <c r="D36" s="46"/>
      <c r="E36" s="42"/>
      <c r="F36" s="42"/>
      <c r="H36" s="47"/>
      <c r="I36" s="44"/>
      <c r="J36" s="48"/>
      <c r="K36" s="38"/>
      <c r="L36" s="39"/>
      <c r="M36" s="2"/>
    </row>
    <row r="37" spans="1:13" ht="15">
      <c r="A37" s="33" t="s">
        <v>76</v>
      </c>
      <c r="B37" s="33" t="str">
        <f>Berechnung!B36</f>
        <v>Fixkosten</v>
      </c>
      <c r="C37" s="34"/>
      <c r="D37" s="35"/>
      <c r="H37" s="33"/>
      <c r="I37" s="36"/>
      <c r="J37" s="37"/>
      <c r="K37" s="38"/>
      <c r="L37" s="39"/>
      <c r="M37" s="2"/>
    </row>
    <row r="38" spans="2:13" ht="15">
      <c r="B38" s="49" t="str">
        <f>IF(Berechnung!B37="","",Berechnung!B37&amp;" "&amp;Berechnung!$F$5)</f>
        <v>Verarbeitungsraum (anteilig) pro Woche</v>
      </c>
      <c r="C38" s="34"/>
      <c r="D38" s="41">
        <f>IF(Hilfe!$G81="","",Hilfe!$G81)</f>
        <v>26.923076923076923</v>
      </c>
      <c r="E38" s="42"/>
      <c r="F38" s="42"/>
      <c r="H38" s="43">
        <f>IF(Berechnung!$G37="","",Berechnung!$G37)</f>
      </c>
      <c r="I38" s="44" t="str">
        <f>IF(B38="-","",IF(H38=D38,"Richtig!",IF(H38="","Fehlt","Falsch")))</f>
        <v>Fehlt</v>
      </c>
      <c r="J38" s="45">
        <f>IF(B38="-","",IF(I38="Richtig!",1,IF(I38="Formel: OK",0.5,IF(OR(I38="Falsch",I38="Fehlt"),0,""))))</f>
        <v>0</v>
      </c>
      <c r="K38" s="38" t="s">
        <v>72</v>
      </c>
      <c r="L38" s="39">
        <f>IF(B38="-","",1)</f>
        <v>1</v>
      </c>
      <c r="M38" s="2"/>
    </row>
    <row r="39" spans="2:13" ht="15">
      <c r="B39" s="49" t="str">
        <f>IF(Berechnung!B38="","",Berechnung!B38&amp;" "&amp;Berechnung!$F$5)</f>
        <v>Pasteur (anteilig) pro Woche</v>
      </c>
      <c r="C39" s="34"/>
      <c r="D39" s="41">
        <f>IF(Hilfe!$G82="","",Hilfe!$G82)</f>
        <v>17.307692307692307</v>
      </c>
      <c r="E39" s="42"/>
      <c r="F39" s="42"/>
      <c r="H39" s="43">
        <f>IF(Berechnung!$G38="","",Berechnung!$G38)</f>
      </c>
      <c r="I39" s="44" t="str">
        <f>IF(B39="-","",IF(H39=D39,"Richtig!",IF(H39="","Fehlt","Falsch")))</f>
        <v>Fehlt</v>
      </c>
      <c r="J39" s="45">
        <f>IF(B39="-","",IF(I39="Richtig!",1,IF(I39="Formel: OK",0.5,IF(OR(I39="Falsch",I39="Fehlt"),0,""))))</f>
        <v>0</v>
      </c>
      <c r="K39" s="38" t="s">
        <v>72</v>
      </c>
      <c r="L39" s="39">
        <f>IF(B39="-","",1)</f>
        <v>1</v>
      </c>
      <c r="M39" s="2"/>
    </row>
    <row r="40" spans="2:13" ht="15">
      <c r="B40" s="49" t="str">
        <f>IF(Berechnung!B39="","",Berechnung!B39&amp;" "&amp;Berechnung!$F$5)</f>
        <v>Kühlschrank und Geschirrspüler pro Woche</v>
      </c>
      <c r="C40" s="34"/>
      <c r="D40" s="41">
        <f>IF(Hilfe!$G83="","",Hilfe!$G83)</f>
        <v>13.461538461538462</v>
      </c>
      <c r="E40" s="42"/>
      <c r="F40" s="42"/>
      <c r="H40" s="43">
        <f>IF(Berechnung!$G39="","",Berechnung!$G39)</f>
      </c>
      <c r="I40" s="44" t="str">
        <f>IF(B40="-","",IF(H40=D40,"Richtig!",IF(H40="","Fehlt","Falsch")))</f>
        <v>Fehlt</v>
      </c>
      <c r="J40" s="45">
        <f>IF(B40="-","",IF(I40="Richtig!",1,IF(I40="Formel: OK",0.5,IF(OR(I40="Falsch",I40="Fehlt"),0,""))))</f>
        <v>0</v>
      </c>
      <c r="K40" s="38" t="s">
        <v>72</v>
      </c>
      <c r="L40" s="39">
        <f>IF(B40="-","",1)</f>
        <v>1</v>
      </c>
      <c r="M40" s="2"/>
    </row>
    <row r="41" spans="1:13" ht="15">
      <c r="A41" s="34"/>
      <c r="B41" s="49" t="str">
        <f>IF(Berechnung!B40="","",Berechnung!B40&amp;" "&amp;Berechnung!$F$5)</f>
        <v>Summe Fixkosten pro Woche</v>
      </c>
      <c r="C41" s="34"/>
      <c r="D41" s="50">
        <f>IF(Hilfe!$G84="","",Hilfe!$G84)</f>
        <v>57.692307692307686</v>
      </c>
      <c r="E41" s="42"/>
      <c r="F41" s="51" t="str">
        <f>IF(AND(H38="",H39="",H40=""),"-",SUM(H38:H40))</f>
        <v>-</v>
      </c>
      <c r="H41" s="52">
        <f>IF(Berechnung!$G40="","",Berechnung!$G40)</f>
      </c>
      <c r="I41" s="44" t="str">
        <f>IF(B41="-","",IF(H41=D41,"Richtig!",IF(AND(D41&lt;&gt;H41,F41=H41),"Formel: OK",IF(H41="","Fehlt","Falsch"))))</f>
        <v>Fehlt</v>
      </c>
      <c r="J41" s="45">
        <f>IF(B41="-","",IF(I41="Richtig!",1,IF(I41="Formel: OK",0.5,IF(OR(I41="Falsch",I41="Fehlt"),0,""))))</f>
        <v>0</v>
      </c>
      <c r="K41" s="38" t="s">
        <v>72</v>
      </c>
      <c r="L41" s="39">
        <f>IF(B41="-","",1)</f>
        <v>1</v>
      </c>
      <c r="M41" s="2"/>
    </row>
    <row r="42" spans="1:13" ht="15">
      <c r="A42" s="34"/>
      <c r="B42" s="49" t="str">
        <f>IF(Berechnung!B40="","",Berechnung!B40&amp;" "&amp;Berechnung!$H$19)</f>
        <v>Summe Fixkosten pro Stk.</v>
      </c>
      <c r="C42" s="34"/>
      <c r="D42" s="50">
        <f>IF(Hilfe!$H84="","",Hilfe!$H84)</f>
        <v>0.024038461538461536</v>
      </c>
      <c r="E42" s="42"/>
      <c r="F42" s="51" t="str">
        <f>IF(OR(H41="",$H$9=""),"-",H41/$H$9)</f>
        <v>-</v>
      </c>
      <c r="H42" s="52">
        <f>IF(Berechnung!$H40="","",Berechnung!$H40)</f>
      </c>
      <c r="I42" s="44" t="str">
        <f>IF(B42="-","",IF(H42=D42,"Richtig!",IF(AND(D42&lt;&gt;H42,F42=H42),"Formel: OK",IF(H42="","Fehlt","Falsch"))))</f>
        <v>Fehlt</v>
      </c>
      <c r="J42" s="45">
        <f>IF(B43="-","",IF(I42="Richtig!",1,IF(I42="Formel: OK",0.5,IF(OR(I42="Falsch",I42="Fehlt"),0,""))))</f>
        <v>0</v>
      </c>
      <c r="K42" s="38" t="s">
        <v>72</v>
      </c>
      <c r="L42" s="39">
        <f>IF(B43="-","",1)</f>
        <v>1</v>
      </c>
      <c r="M42" s="2"/>
    </row>
    <row r="43" spans="1:13" ht="15">
      <c r="A43" s="34"/>
      <c r="B43" s="49" t="str">
        <f>IF(Berechnung!B41="","",Berechnung!B41&amp;" "&amp;Berechnung!$F$5)</f>
        <v>Herstellungskosten pro Woche</v>
      </c>
      <c r="C43" s="34"/>
      <c r="D43" s="50">
        <f>IF(Hilfe!$G85="","",Hilfe!$G85)</f>
        <v>1175.8423076923077</v>
      </c>
      <c r="E43" s="42"/>
      <c r="F43" s="51" t="str">
        <f>IF(AND(H16="",H29="",H34="",H41=""),"-",SUM(H16,H29,H34,H41))</f>
        <v>-</v>
      </c>
      <c r="H43" s="52">
        <f>IF(Berechnung!$G41="","",Berechnung!$G41)</f>
      </c>
      <c r="I43" s="44" t="str">
        <f>IF(B43="-","",IF(H43=D43,"Richtig!",IF(AND(D43&lt;&gt;H43,F43=H43),"Formel: OK",IF(H43="","Fehlt","Falsch"))))</f>
        <v>Fehlt</v>
      </c>
      <c r="J43" s="45">
        <f>IF(B44="-","",IF(I43="Richtig!",1,IF(I43="Formel: OK",0.5,IF(OR(I43="Falsch",I43="Fehlt"),0,""))))</f>
        <v>0</v>
      </c>
      <c r="K43" s="38" t="s">
        <v>72</v>
      </c>
      <c r="L43" s="39">
        <f>IF(B44="-","",1)</f>
        <v>1</v>
      </c>
      <c r="M43" s="2"/>
    </row>
    <row r="44" spans="1:13" ht="15">
      <c r="A44" s="34"/>
      <c r="B44" s="49" t="str">
        <f>IF(Berechnung!B41="","",Berechnung!B41&amp;" "&amp;Berechnung!$H$19)</f>
        <v>Herstellungskosten pro Stk.</v>
      </c>
      <c r="C44" s="34"/>
      <c r="D44" s="50">
        <f>IF(Hilfe!$H85="","",Hilfe!$H85)</f>
        <v>0.48993429487179485</v>
      </c>
      <c r="E44" s="42"/>
      <c r="F44" s="51" t="str">
        <f>IF(OR(H43="",$H$9=""),"-",H43/$H$9)</f>
        <v>-</v>
      </c>
      <c r="H44" s="52">
        <f>IF(Berechnung!$H41="","",Berechnung!$H41)</f>
      </c>
      <c r="I44" s="44" t="str">
        <f>IF(B44="-","",IF(H44=D44,"Richtig!",IF(AND(D44&lt;&gt;H44,F44=H44),"Formel: OK",IF(H44="","Fehlt","Falsch"))))</f>
        <v>Fehlt</v>
      </c>
      <c r="J44" s="45">
        <f>IF(B44="-","",IF(I44="Richtig!",1,IF(I44="Formel: OK",0.5,IF(OR(I44="Falsch",I44="Fehlt"),0,""))))</f>
        <v>0</v>
      </c>
      <c r="K44" s="38" t="s">
        <v>72</v>
      </c>
      <c r="L44" s="39">
        <f>IF(B44="-","",1)</f>
        <v>1</v>
      </c>
      <c r="M44" s="2"/>
    </row>
    <row r="45" spans="1:13" ht="15">
      <c r="A45" s="34"/>
      <c r="B45" s="34"/>
      <c r="C45" s="34"/>
      <c r="D45" s="46"/>
      <c r="E45" s="42"/>
      <c r="F45" s="42"/>
      <c r="H45" s="47"/>
      <c r="I45" s="44"/>
      <c r="J45" s="48"/>
      <c r="K45" s="38"/>
      <c r="L45" s="39"/>
      <c r="M45" s="2"/>
    </row>
    <row r="46" spans="1:13" ht="15">
      <c r="A46" s="33" t="s">
        <v>77</v>
      </c>
      <c r="B46" s="33" t="str">
        <f>Berechnung!B43</f>
        <v>Gemein- und Vermarktungskosten</v>
      </c>
      <c r="C46" s="34"/>
      <c r="D46" s="35"/>
      <c r="H46" s="33"/>
      <c r="I46" s="36"/>
      <c r="J46" s="37"/>
      <c r="K46" s="38"/>
      <c r="L46" s="39"/>
      <c r="M46" s="2"/>
    </row>
    <row r="47" spans="1:13" ht="15">
      <c r="A47" s="34"/>
      <c r="B47" s="49" t="str">
        <f>IF(Berechnung!B46="","",Berechnung!B46&amp;" "&amp;Berechnung!$F$5)</f>
        <v>Gewinn- und Risikozuschlag pro Woche</v>
      </c>
      <c r="C47" s="34"/>
      <c r="D47" s="50">
        <f>IF(Hilfe!$G109="","",Hilfe!$G109)</f>
        <v>23.516846153846156</v>
      </c>
      <c r="E47" s="42"/>
      <c r="F47" s="51" t="str">
        <f>IF(OR(H43="",Berechnung!E44=""),"-",H43*Berechnung!E44)</f>
        <v>-</v>
      </c>
      <c r="H47" s="52">
        <f>IF(Berechnung!$G44="","",Berechnung!$G44)</f>
      </c>
      <c r="I47" s="44" t="str">
        <f aca="true" t="shared" si="5" ref="I47:I52">IF(B47="-","",IF(H47=D47,"Richtig!",IF(AND(D47&lt;&gt;H47,F47=H47),"Formel: OK",IF(H47="","Fehlt","Falsch"))))</f>
        <v>Fehlt</v>
      </c>
      <c r="J47" s="45">
        <f>IF(B47="-","",IF(I47="Richtig!",1,IF(I47="Formel: OK",0.5,IF(OR(I47="Falsch",I47="Fehlt"),0,""))))</f>
        <v>0</v>
      </c>
      <c r="K47" s="38" t="s">
        <v>72</v>
      </c>
      <c r="L47" s="39">
        <f>IF(B47="-","",1)</f>
        <v>1</v>
      </c>
      <c r="M47" s="2"/>
    </row>
    <row r="48" spans="1:13" ht="15">
      <c r="A48" s="34"/>
      <c r="B48" s="49" t="str">
        <f>IF(Berechnung!B45="","",Berechnung!B45&amp;" "&amp;Berechnung!$F$5)</f>
        <v>Vollkosten pro Woche</v>
      </c>
      <c r="C48" s="34"/>
      <c r="D48" s="50">
        <f>IF(Hilfe!$G110="","",Hilfe!$G110)</f>
        <v>1199.359153846154</v>
      </c>
      <c r="E48" s="42"/>
      <c r="F48" s="51" t="str">
        <f>IF(AND(H43="",H47=""),"-",SUM(H43,H47))</f>
        <v>-</v>
      </c>
      <c r="H48" s="52">
        <f>IF(Berechnung!$G45="","",Berechnung!$G45)</f>
      </c>
      <c r="I48" s="44" t="str">
        <f t="shared" si="5"/>
        <v>Fehlt</v>
      </c>
      <c r="J48" s="45">
        <f>IF(B49="-","",IF(I48="Richtig!",1,IF(I48="Formel: OK",0.5,IF(OR(I48="Falsch",I48="Fehlt"),0,""))))</f>
        <v>0</v>
      </c>
      <c r="K48" s="38" t="s">
        <v>72</v>
      </c>
      <c r="L48" s="39">
        <f>IF(B49="-","",1)</f>
        <v>1</v>
      </c>
      <c r="M48" s="2"/>
    </row>
    <row r="49" spans="1:13" ht="15">
      <c r="A49" s="34"/>
      <c r="B49" s="49" t="str">
        <f>IF(Berechnung!B45="","",Berechnung!B45&amp;" "&amp;Berechnung!$H$19)</f>
        <v>Vollkosten pro Stk.</v>
      </c>
      <c r="C49" s="34"/>
      <c r="D49" s="50">
        <f>IF(Hilfe!$H110="","",Hilfe!$H110)</f>
        <v>0.49973298076923084</v>
      </c>
      <c r="E49" s="42"/>
      <c r="F49" s="51" t="str">
        <f>IF(OR(H48="",$H$9=""),"-",H48/$H$9)</f>
        <v>-</v>
      </c>
      <c r="H49" s="52">
        <f>IF(Berechnung!$H45="","",Berechnung!$H45)</f>
      </c>
      <c r="I49" s="44" t="str">
        <f t="shared" si="5"/>
        <v>Fehlt</v>
      </c>
      <c r="J49" s="45">
        <f>IF(B49="-","",IF(I49="Richtig!",1,IF(I49="Formel: OK",0.5,IF(OR(I49="Falsch",I49="Fehlt"),0,""))))</f>
        <v>0</v>
      </c>
      <c r="K49" s="38" t="s">
        <v>72</v>
      </c>
      <c r="L49" s="39">
        <f>IF(B49="-","",1)</f>
        <v>1</v>
      </c>
      <c r="M49" s="2"/>
    </row>
    <row r="50" spans="1:13" ht="15">
      <c r="A50" s="34"/>
      <c r="B50" s="49" t="str">
        <f>IF(Berechnung!B46="","",Berechnung!B46&amp;" "&amp;Berechnung!$F$5)</f>
        <v>Gewinn- und Risikozuschlag pro Woche</v>
      </c>
      <c r="D50" s="50">
        <f>IF(Hilfe!$G111="","",Hilfe!$G111)</f>
        <v>35.98077461538462</v>
      </c>
      <c r="E50" s="42"/>
      <c r="F50" s="51" t="str">
        <f>IF(OR(H48="",Berechnung!E46=""),"-",H48*Berechnung!E46)</f>
        <v>-</v>
      </c>
      <c r="H50" s="52">
        <f>IF(Berechnung!$G46="","",Berechnung!$G46)</f>
      </c>
      <c r="I50" s="44" t="str">
        <f t="shared" si="5"/>
        <v>Fehlt</v>
      </c>
      <c r="J50" s="45">
        <f>IF(B50="-","",IF(I50="Richtig!",1,IF(I50="Formel: OK",0.5,IF(OR(I50="Falsch",I50="Fehlt"),0,""))))</f>
        <v>0</v>
      </c>
      <c r="K50" s="38" t="s">
        <v>72</v>
      </c>
      <c r="L50" s="39">
        <f>IF(B50="-","",1)</f>
        <v>1</v>
      </c>
      <c r="M50" s="2"/>
    </row>
    <row r="51" spans="1:13" ht="15">
      <c r="A51" s="34"/>
      <c r="B51" s="49" t="str">
        <f>IF(Berechnung!B47="","",Berechnung!B47&amp;" "&amp;Berechnung!$F$5)</f>
        <v>Preisuntergrenze pro Woche</v>
      </c>
      <c r="C51" s="34"/>
      <c r="D51" s="50">
        <f>IF(Hilfe!$G112="","",Hilfe!$G112)</f>
        <v>1235.3399284615386</v>
      </c>
      <c r="E51" s="42"/>
      <c r="F51" s="51" t="str">
        <f>IF(AND(H48="",H50=""),"-",SUM(H48,H50))</f>
        <v>-</v>
      </c>
      <c r="H51" s="52">
        <f>IF(Berechnung!$G47="","",Berechnung!$G47)</f>
      </c>
      <c r="I51" s="44" t="str">
        <f t="shared" si="5"/>
        <v>Fehlt</v>
      </c>
      <c r="J51" s="45">
        <f>IF(B52="-","",IF(I51="Richtig!",1,IF(I51="Formel: OK",0.5,IF(OR(I51="Falsch",I51="Fehlt"),0,""))))</f>
        <v>0</v>
      </c>
      <c r="K51" s="38" t="s">
        <v>72</v>
      </c>
      <c r="L51" s="39">
        <f>IF(B52="-","",1)</f>
        <v>1</v>
      </c>
      <c r="M51" s="2"/>
    </row>
    <row r="52" spans="1:13" ht="15">
      <c r="A52" s="34"/>
      <c r="B52" s="49" t="str">
        <f>IF(Berechnung!B47="","",Berechnung!B47&amp;" "&amp;Berechnung!$H$19)</f>
        <v>Preisuntergrenze pro Stk.</v>
      </c>
      <c r="C52" s="34"/>
      <c r="D52" s="50">
        <f>IF(Hilfe!$H112="","",Hilfe!$H112)</f>
        <v>0.5147249701923078</v>
      </c>
      <c r="E52" s="42"/>
      <c r="F52" s="51" t="str">
        <f>IF(OR(H51="",$H$9=""),"-",H51/$H$9)</f>
        <v>-</v>
      </c>
      <c r="H52" s="52">
        <f>IF(Berechnung!$H47="","",Berechnung!$H47)</f>
      </c>
      <c r="I52" s="44" t="str">
        <f t="shared" si="5"/>
        <v>Fehlt</v>
      </c>
      <c r="J52" s="45">
        <f>IF(B52="-","",IF(I52="Richtig!",1,IF(I52="Formel: OK",0.5,IF(OR(I52="Falsch",I52="Fehlt"),0,""))))</f>
        <v>0</v>
      </c>
      <c r="K52" s="38" t="s">
        <v>72</v>
      </c>
      <c r="L52" s="39">
        <f>IF(B52="-","",1)</f>
        <v>1</v>
      </c>
      <c r="M52" s="2"/>
    </row>
    <row r="53" spans="1:13" ht="15">
      <c r="A53" s="34"/>
      <c r="C53" s="34"/>
      <c r="D53" s="35"/>
      <c r="H53" s="33"/>
      <c r="I53" s="36"/>
      <c r="J53" s="37"/>
      <c r="K53" s="38"/>
      <c r="L53" s="39"/>
      <c r="M53" s="2"/>
    </row>
    <row r="54" spans="1:13" ht="16.5">
      <c r="A54" s="53" t="s">
        <v>78</v>
      </c>
      <c r="B54" s="54"/>
      <c r="C54" s="54"/>
      <c r="D54" s="55">
        <f>COUNT(D9:D52)</f>
        <v>32</v>
      </c>
      <c r="E54" s="245"/>
      <c r="F54" s="245"/>
      <c r="G54" s="245"/>
      <c r="H54" s="55">
        <f>COUNT(H9:H52)</f>
        <v>0</v>
      </c>
      <c r="I54" s="56"/>
      <c r="J54" s="57">
        <f>SUM(J9:J52)</f>
        <v>2</v>
      </c>
      <c r="K54" s="58" t="s">
        <v>72</v>
      </c>
      <c r="L54" s="56">
        <f>SUM(L9:L52)</f>
        <v>34</v>
      </c>
      <c r="M54" s="2"/>
    </row>
    <row r="55" spans="1:13" ht="3" customHeight="1">
      <c r="A55" s="59"/>
      <c r="B55" s="59"/>
      <c r="C55" s="59"/>
      <c r="D55" s="59"/>
      <c r="E55" s="59"/>
      <c r="F55" s="59"/>
      <c r="G55" s="60"/>
      <c r="H55" s="60"/>
      <c r="I55" s="60"/>
      <c r="J55" s="59"/>
      <c r="K55" s="59"/>
      <c r="L55" s="61"/>
      <c r="M55" s="2"/>
    </row>
    <row r="56" ht="49.5" customHeight="1">
      <c r="M56" s="2"/>
    </row>
    <row r="57" spans="1:15" ht="22.5">
      <c r="A57" s="62" t="s">
        <v>79</v>
      </c>
      <c r="B57" s="2"/>
      <c r="C57" s="246">
        <f>J54/L54</f>
        <v>0.058823529411764705</v>
      </c>
      <c r="D57" s="246"/>
      <c r="E57" s="246"/>
      <c r="F57" s="246"/>
      <c r="G57" s="246"/>
      <c r="H57" s="246"/>
      <c r="I57" s="63"/>
      <c r="J57" s="63"/>
      <c r="K57" s="63"/>
      <c r="L57" s="63"/>
      <c r="M57" s="63"/>
      <c r="O57" s="64"/>
    </row>
    <row r="58" spans="1:15" ht="23.25">
      <c r="A58" s="65"/>
      <c r="B58" s="66">
        <f>C58-I62</f>
        <v>30</v>
      </c>
      <c r="C58" s="67">
        <f>L54</f>
        <v>34</v>
      </c>
      <c r="D58" s="68" t="str">
        <f>IF(AND(J54&gt;=B58-0.5,J54&lt;=C58),"u","j")</f>
        <v>j</v>
      </c>
      <c r="E58" s="69">
        <f>IF(OR(J54=B58-0.5,J54=B58),"-","")</f>
      </c>
      <c r="I58" s="70"/>
      <c r="J58" s="71"/>
      <c r="K58" s="70"/>
      <c r="M58" s="2"/>
      <c r="O58" s="72"/>
    </row>
    <row r="59" spans="1:15" ht="23.25">
      <c r="A59" s="65"/>
      <c r="B59" s="66">
        <f>C59-I62</f>
        <v>25</v>
      </c>
      <c r="C59" s="73">
        <f>B58-1</f>
        <v>29</v>
      </c>
      <c r="D59" s="68" t="str">
        <f>IF(AND(J54&gt;=B59-0.5,J54&lt;=C59),"v","k")</f>
        <v>k</v>
      </c>
      <c r="E59" s="69">
        <f>IF(OR(J54=B59-0.5,J54=B59),"-",IF(OR(J54=C59-0.5,J54=C59),"+",""))</f>
      </c>
      <c r="I59" s="70"/>
      <c r="J59" s="71"/>
      <c r="K59" s="70"/>
      <c r="M59" s="2"/>
      <c r="O59" s="72"/>
    </row>
    <row r="60" spans="1:15" ht="23.25">
      <c r="A60" s="65"/>
      <c r="B60" s="66">
        <f>C60-I62</f>
        <v>20</v>
      </c>
      <c r="C60" s="73">
        <f>B59-1</f>
        <v>24</v>
      </c>
      <c r="D60" s="68" t="str">
        <f>IF(AND(J54&gt;=B60-0.5,J54&lt;=C60),"w","l")</f>
        <v>l</v>
      </c>
      <c r="E60" s="69">
        <f>IF(OR(J54=B60-0.5,J54=B60),"-",IF(OR(J54=C60-0.5,J54=C60),"+",""))</f>
      </c>
      <c r="I60" s="70"/>
      <c r="J60" s="71"/>
      <c r="K60" s="70"/>
      <c r="M60" s="2"/>
      <c r="O60" s="72"/>
    </row>
    <row r="61" spans="1:15" ht="23.25">
      <c r="A61" s="65"/>
      <c r="B61" s="66">
        <f>C61-I62</f>
        <v>15</v>
      </c>
      <c r="C61" s="73">
        <f>B60-1</f>
        <v>19</v>
      </c>
      <c r="D61" s="68" t="str">
        <f>IF(AND(J54&gt;=B61-0.5,J54&lt;=C61),"x","m")</f>
        <v>m</v>
      </c>
      <c r="E61" s="69">
        <f>IF(OR(J54=B61-0.5,J54=B61),"-",IF(OR(J54=C61-0.5,J54=C61),"+",""))</f>
      </c>
      <c r="G61" s="74" t="s">
        <v>80</v>
      </c>
      <c r="I61" s="75">
        <v>0.11</v>
      </c>
      <c r="J61" s="76"/>
      <c r="K61" s="70"/>
      <c r="M61" s="2"/>
      <c r="O61" s="72"/>
    </row>
    <row r="62" spans="1:15" ht="23.25">
      <c r="A62" s="65"/>
      <c r="B62" s="66">
        <v>0</v>
      </c>
      <c r="C62" s="73">
        <f>B61-1</f>
        <v>14</v>
      </c>
      <c r="D62" s="68" t="str">
        <f>IF(AND(J54&gt;=B62-0.5,J54&lt;=C62),"y","n")</f>
        <v>y</v>
      </c>
      <c r="E62" s="69">
        <f>IF(OR(J54=C62-1,J54=C62-0.5,J54=C62),"+","")</f>
      </c>
      <c r="F62" s="77"/>
      <c r="G62" s="77"/>
      <c r="H62" s="77"/>
      <c r="I62" s="242">
        <f>ROUND(L54*I61,0)</f>
        <v>4</v>
      </c>
      <c r="J62" s="242"/>
      <c r="K62" s="70"/>
      <c r="M62" s="2"/>
      <c r="O62" s="7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 sheet="1" objects="1" scenarios="1" selectLockedCells="1" selectUnlockedCells="1"/>
  <mergeCells count="5">
    <mergeCell ref="I62:J62"/>
    <mergeCell ref="A2:L2"/>
    <mergeCell ref="J7:L7"/>
    <mergeCell ref="E54:G54"/>
    <mergeCell ref="C57:H57"/>
  </mergeCells>
  <conditionalFormatting sqref="A20:A21 D53:L57 A41:A52 B50 E58:E62 A53:C62 B51:E52 A34:E37 B38:E49 D50:E50 A29:E32 B33:E33 A3:E19 B20:E28 F3:L52">
    <cfRule type="expression" priority="1" dxfId="84" stopIfTrue="1">
      <formula>$A$2&lt;&gt;""</formula>
    </cfRule>
  </conditionalFormatting>
  <conditionalFormatting sqref="A2">
    <cfRule type="expression" priority="2" dxfId="85" stopIfTrue="1">
      <formula>$A$2="Du musst zuerst alle Berechnungen durchführen, um das Ergebnis ansehen zu können!"</formula>
    </cfRule>
  </conditionalFormatting>
  <conditionalFormatting sqref="D58">
    <cfRule type="expression" priority="3" dxfId="86" stopIfTrue="1">
      <formula>$A$2&lt;&gt;""</formula>
    </cfRule>
    <cfRule type="cellIs" priority="4" dxfId="87" operator="equal" stopIfTrue="1">
      <formula>"u"</formula>
    </cfRule>
  </conditionalFormatting>
  <conditionalFormatting sqref="D59">
    <cfRule type="expression" priority="5" dxfId="86" stopIfTrue="1">
      <formula>$A$2&lt;&gt;""</formula>
    </cfRule>
    <cfRule type="cellIs" priority="6" dxfId="87" operator="equal" stopIfTrue="1">
      <formula>"v"</formula>
    </cfRule>
  </conditionalFormatting>
  <conditionalFormatting sqref="D60">
    <cfRule type="expression" priority="7" dxfId="86" stopIfTrue="1">
      <formula>A2&lt;&gt;""</formula>
    </cfRule>
    <cfRule type="cellIs" priority="8" dxfId="87" operator="equal" stopIfTrue="1">
      <formula>"w"</formula>
    </cfRule>
  </conditionalFormatting>
  <conditionalFormatting sqref="D61">
    <cfRule type="expression" priority="9" dxfId="86" stopIfTrue="1">
      <formula>A2&lt;&gt;""</formula>
    </cfRule>
    <cfRule type="cellIs" priority="10" dxfId="87" operator="equal" stopIfTrue="1">
      <formula>"x"</formula>
    </cfRule>
  </conditionalFormatting>
  <conditionalFormatting sqref="D62">
    <cfRule type="expression" priority="11" dxfId="86" stopIfTrue="1">
      <formula>A2&lt;&gt;""</formula>
    </cfRule>
    <cfRule type="cellIs" priority="12" dxfId="87" operator="equal" stopIfTrue="1">
      <formula>"y"</formula>
    </cfRule>
  </conditionalFormatting>
  <printOptions horizontalCentered="1"/>
  <pageMargins left="0.3937007874015748" right="0.3937007874015748" top="0.7874015748031497" bottom="0.3937007874015748" header="0" footer="0"/>
  <pageSetup orientation="portrait" paperSize="9" scale="98" r:id="rId2"/>
  <headerFooter alignWithMargins="0">
    <oddFooter>&amp;L&amp;"Arial,Kursiv"&amp;8© Mag. Wolfgang Harasleben&amp;R&amp;"Arial,Kursiv"&amp;8Seite &amp;P/&amp;N</oddFooter>
  </headerFooter>
  <rowBreaks count="1" manualBreakCount="1">
    <brk id="4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12"/>
  </sheetPr>
  <dimension ref="A1:R132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0.88671875" style="117" customWidth="1"/>
    <col min="2" max="3" width="7.77734375" style="117" customWidth="1"/>
    <col min="4" max="4" width="8.77734375" style="117" customWidth="1"/>
    <col min="5" max="5" width="6.77734375" style="117" customWidth="1"/>
    <col min="6" max="6" width="8.77734375" style="117" customWidth="1"/>
    <col min="7" max="8" width="7.77734375" style="117" customWidth="1"/>
    <col min="9" max="9" width="2.5546875" style="117" customWidth="1"/>
    <col min="10" max="10" width="2.5546875" style="116" customWidth="1"/>
    <col min="11" max="11" width="3.77734375" style="116" customWidth="1"/>
    <col min="12" max="12" width="12.77734375" style="116" customWidth="1"/>
    <col min="13" max="16" width="8.77734375" style="116" customWidth="1"/>
    <col min="17" max="17" width="0.88671875" style="116" customWidth="1"/>
    <col min="18" max="18" width="91.77734375" style="116" customWidth="1"/>
    <col min="19" max="16384" width="11.5546875" style="116" hidden="1" customWidth="1"/>
  </cols>
  <sheetData>
    <row r="1" spans="1:18" ht="30" customHeight="1">
      <c r="A1" s="263" t="str">
        <f>"Vollkstenrechnung "&amp;C3</f>
        <v>Vollkstenrechnung Kirsch-Jogurt</v>
      </c>
      <c r="B1" s="263"/>
      <c r="C1" s="263"/>
      <c r="D1" s="263"/>
      <c r="E1" s="263"/>
      <c r="F1" s="263"/>
      <c r="G1" s="263"/>
      <c r="H1" s="263"/>
      <c r="I1" s="263"/>
      <c r="J1" s="262" t="s">
        <v>59</v>
      </c>
      <c r="K1" s="262"/>
      <c r="L1" s="262"/>
      <c r="M1" s="262"/>
      <c r="N1" s="262"/>
      <c r="O1" s="262"/>
      <c r="P1" s="262"/>
      <c r="Q1" s="262"/>
      <c r="R1" s="183" t="s">
        <v>60</v>
      </c>
    </row>
    <row r="2" spans="10:18" ht="34.5" customHeight="1">
      <c r="J2" s="78"/>
      <c r="K2" s="78"/>
      <c r="L2" s="78"/>
      <c r="M2" s="78"/>
      <c r="N2" s="78"/>
      <c r="O2" s="78"/>
      <c r="P2" s="78"/>
      <c r="Q2" s="78"/>
      <c r="R2" s="184"/>
    </row>
    <row r="3" spans="1:18" s="123" customFormat="1" ht="15" customHeight="1">
      <c r="A3" s="118"/>
      <c r="B3" s="119" t="s">
        <v>19</v>
      </c>
      <c r="C3" s="120" t="str">
        <f>IF(Dateneingabe!C10="","",Dateneingabe!C10)</f>
        <v>Kirsch-Jogurt</v>
      </c>
      <c r="D3" s="121"/>
      <c r="E3" s="122"/>
      <c r="G3" s="118"/>
      <c r="H3" s="118"/>
      <c r="I3" s="118"/>
      <c r="J3" s="78"/>
      <c r="K3" s="78"/>
      <c r="L3" s="78"/>
      <c r="M3" s="78"/>
      <c r="N3" s="78"/>
      <c r="O3" s="78"/>
      <c r="P3" s="78"/>
      <c r="Q3" s="78"/>
      <c r="R3" s="184"/>
    </row>
    <row r="4" spans="1:18" s="123" customFormat="1" ht="12" customHeight="1">
      <c r="A4" s="118"/>
      <c r="B4" s="118"/>
      <c r="C4" s="118"/>
      <c r="D4" s="118"/>
      <c r="E4" s="118"/>
      <c r="F4" s="118"/>
      <c r="G4" s="118"/>
      <c r="H4" s="124"/>
      <c r="I4" s="118"/>
      <c r="J4" s="78"/>
      <c r="K4" s="78"/>
      <c r="L4" s="78"/>
      <c r="M4" s="78"/>
      <c r="N4" s="78"/>
      <c r="O4" s="78"/>
      <c r="P4" s="78"/>
      <c r="Q4" s="78"/>
      <c r="R4" s="185"/>
    </row>
    <row r="5" spans="1:18" s="123" customFormat="1" ht="12" customHeight="1">
      <c r="A5" s="91"/>
      <c r="B5" s="91"/>
      <c r="C5" s="91"/>
      <c r="D5" s="91"/>
      <c r="E5" s="91"/>
      <c r="F5" s="91"/>
      <c r="G5" s="91"/>
      <c r="H5" s="186"/>
      <c r="I5" s="91"/>
      <c r="J5" s="78"/>
      <c r="K5" s="78"/>
      <c r="L5" s="78"/>
      <c r="M5" s="78"/>
      <c r="N5" s="78"/>
      <c r="O5" s="78"/>
      <c r="P5" s="78"/>
      <c r="Q5" s="78"/>
      <c r="R5" s="184"/>
    </row>
    <row r="6" spans="1:18" s="123" customFormat="1" ht="12" customHeight="1">
      <c r="A6" s="118"/>
      <c r="B6" s="118"/>
      <c r="C6" s="118"/>
      <c r="D6" s="118"/>
      <c r="E6" s="118"/>
      <c r="F6" s="118"/>
      <c r="G6" s="118"/>
      <c r="H6" s="124"/>
      <c r="I6" s="118"/>
      <c r="J6" s="78"/>
      <c r="K6" s="78"/>
      <c r="L6" s="78"/>
      <c r="M6" s="78"/>
      <c r="N6" s="78"/>
      <c r="O6" s="78"/>
      <c r="P6" s="78"/>
      <c r="Q6" s="78"/>
      <c r="R6" s="184"/>
    </row>
    <row r="7" spans="1:18" s="123" customFormat="1" ht="12" customHeight="1">
      <c r="A7" s="118"/>
      <c r="B7" s="119" t="s">
        <v>39</v>
      </c>
      <c r="C7" s="125"/>
      <c r="D7" s="125"/>
      <c r="E7" s="125"/>
      <c r="F7" s="227" t="str">
        <f>IF(Dateneingabe!F15="","",Dateneingabe!F15)</f>
        <v>pro Woche</v>
      </c>
      <c r="G7" s="227"/>
      <c r="H7" s="127">
        <f>IF(Dateneingabe!F13="","",Dateneingabe!F13)</f>
        <v>1</v>
      </c>
      <c r="I7" s="118"/>
      <c r="J7" s="78"/>
      <c r="K7" s="187" t="str">
        <f>B9&amp;" "&amp;C10&amp;" "&amp;F7</f>
        <v>Verkaufsmenge in Gläsern pro Woche</v>
      </c>
      <c r="L7" s="188"/>
      <c r="M7" s="188"/>
      <c r="N7" s="188"/>
      <c r="O7" s="188"/>
      <c r="P7" s="189"/>
      <c r="Q7" s="78"/>
      <c r="R7" s="190"/>
    </row>
    <row r="8" spans="1:18" s="123" customFormat="1" ht="12" customHeight="1">
      <c r="A8" s="118"/>
      <c r="B8" s="128" t="str">
        <f>IF(Dateneingabe!B13="","",Dateneingabe!B13)</f>
        <v>Glasgröße</v>
      </c>
      <c r="C8" s="128"/>
      <c r="D8" s="129"/>
      <c r="E8" s="130"/>
      <c r="F8" s="130"/>
      <c r="G8" s="130"/>
      <c r="H8" s="131">
        <f>IF(Dateneingabe!D13="","",Dateneingabe!D13)</f>
        <v>0.25</v>
      </c>
      <c r="I8" s="118"/>
      <c r="J8" s="78"/>
      <c r="K8" s="191" t="str">
        <f>K7&amp;" = "&amp;B9&amp;" "&amp;C9&amp;" : "&amp;B8</f>
        <v>Verkaufsmenge in Gläsern pro Woche = Verkaufsmenge in Litern : Glasgröße</v>
      </c>
      <c r="L8" s="192"/>
      <c r="M8" s="192"/>
      <c r="N8" s="192"/>
      <c r="O8" s="192"/>
      <c r="P8" s="193"/>
      <c r="Q8" s="78"/>
      <c r="R8" s="185"/>
    </row>
    <row r="9" spans="1:18" s="123" customFormat="1" ht="12" customHeight="1" thickBot="1">
      <c r="A9" s="118"/>
      <c r="B9" s="128" t="str">
        <f>IF(Dateneingabe!B15="","",Dateneingabe!B15)</f>
        <v>Verkaufsmenge</v>
      </c>
      <c r="C9" s="128" t="s">
        <v>36</v>
      </c>
      <c r="D9" s="128"/>
      <c r="E9" s="128"/>
      <c r="F9" s="229">
        <f>IF(Dateneingabe!D15="","",Dateneingabe!D15)</f>
        <v>600</v>
      </c>
      <c r="G9" s="230"/>
      <c r="H9" s="118"/>
      <c r="I9" s="118"/>
      <c r="J9" s="78"/>
      <c r="K9" s="194" t="str">
        <f>K7&amp;" = "&amp;FIXED(F9,2)&amp;" lt : "&amp;FIXED(H8,2)&amp;" lt = "&amp;FIXED(F9/H8,0)&amp;" Gläser"</f>
        <v>Verkaufsmenge in Gläsern pro Woche = 600,00 lt : 0,25 lt = 2 400 Gläser</v>
      </c>
      <c r="L9" s="195"/>
      <c r="M9" s="195"/>
      <c r="N9" s="195"/>
      <c r="O9" s="195"/>
      <c r="P9" s="196"/>
      <c r="Q9" s="78"/>
      <c r="R9" s="190"/>
    </row>
    <row r="10" spans="1:18" s="123" customFormat="1" ht="12" customHeight="1" thickBot="1">
      <c r="A10" s="118"/>
      <c r="B10" s="128"/>
      <c r="C10" s="128" t="s">
        <v>35</v>
      </c>
      <c r="D10" s="128"/>
      <c r="E10" s="128"/>
      <c r="F10" s="256">
        <f>IF(OR(F9="",H7="",H8=""),"",F9*H7/H8)</f>
        <v>2400</v>
      </c>
      <c r="G10" s="257"/>
      <c r="H10" s="118"/>
      <c r="I10" s="118"/>
      <c r="J10" s="78"/>
      <c r="K10" s="78"/>
      <c r="L10" s="78"/>
      <c r="M10" s="78"/>
      <c r="N10" s="78"/>
      <c r="O10" s="78"/>
      <c r="P10" s="78"/>
      <c r="Q10" s="78"/>
      <c r="R10" s="185"/>
    </row>
    <row r="11" spans="1:18" s="123" customFormat="1" ht="12" customHeight="1" thickBot="1">
      <c r="A11" s="118"/>
      <c r="B11" s="128" t="str">
        <f>IF(Dateneingabe!B17="","",Dateneingabe!B17)</f>
        <v>Verkaufserlös</v>
      </c>
      <c r="C11" s="128"/>
      <c r="D11" s="128"/>
      <c r="E11" s="128"/>
      <c r="F11" s="258">
        <f>IF(OR(H11="",F10=""),"",H11*F10)</f>
        <v>2160</v>
      </c>
      <c r="G11" s="259"/>
      <c r="H11" s="132">
        <f>IF(Dateneingabe!D17="","",Dateneingabe!D17)</f>
        <v>0.9</v>
      </c>
      <c r="I11" s="118"/>
      <c r="J11" s="78"/>
      <c r="K11" s="187" t="str">
        <f>B11&amp;" "&amp;F7</f>
        <v>Verkaufserlös pro Woche</v>
      </c>
      <c r="L11" s="188"/>
      <c r="M11" s="188"/>
      <c r="N11" s="188"/>
      <c r="O11" s="188"/>
      <c r="P11" s="189"/>
      <c r="Q11" s="78"/>
      <c r="R11" s="190"/>
    </row>
    <row r="12" spans="1:18" s="123" customFormat="1" ht="24" customHeight="1" thickBot="1">
      <c r="A12" s="118"/>
      <c r="B12" s="210" t="str">
        <f>IF(AND(F12="",H12=""),"  O  Gewinn
  O  Verlust",IF(F12=0,"Kosten gedeckt!",IF(F12&gt;0,"Gewinn","Verlust")))</f>
        <v>Gewinn</v>
      </c>
      <c r="C12" s="237">
        <f>IF(B12="Verlust","ACHTUNG: Der Preis deckt die Kosten nicht ab!!!",IF(AND(B12="Gewinn",H12&lt;H48),"ACHTUNG: Der tatsächliche Gewinn liegt unter dem Gewinnzuschlag!!!",""))</f>
      </c>
      <c r="D12" s="237"/>
      <c r="E12" s="238"/>
      <c r="F12" s="235">
        <f>IF(OR(F11="",H110="",F10=""),"",F11-(H110*F10))</f>
        <v>960.640846153846</v>
      </c>
      <c r="G12" s="236"/>
      <c r="H12" s="218">
        <f>H11-H110</f>
        <v>0.4002670192307692</v>
      </c>
      <c r="J12" s="78"/>
      <c r="K12" s="247" t="str">
        <f>K11&amp;" = "&amp;K7&amp;" x 
                                                    "&amp;B11&amp;" "&amp;F30</f>
        <v>Verkaufserlös pro Woche = Verkaufsmenge in Gläsern pro Woche x 
                                                    Verkaufserlös pro lt</v>
      </c>
      <c r="L12" s="248"/>
      <c r="M12" s="248"/>
      <c r="N12" s="248"/>
      <c r="O12" s="248"/>
      <c r="P12" s="249"/>
      <c r="Q12" s="78"/>
      <c r="R12" s="185"/>
    </row>
    <row r="13" spans="1:18" s="123" customFormat="1" ht="12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78"/>
      <c r="K13" s="247"/>
      <c r="L13" s="248"/>
      <c r="M13" s="248"/>
      <c r="N13" s="248"/>
      <c r="O13" s="248"/>
      <c r="P13" s="249"/>
      <c r="Q13" s="78"/>
      <c r="R13" s="190"/>
    </row>
    <row r="14" spans="1:18" s="123" customFormat="1" ht="12" customHeight="1">
      <c r="A14" s="91"/>
      <c r="B14" s="91"/>
      <c r="C14" s="91"/>
      <c r="D14" s="91"/>
      <c r="E14" s="91"/>
      <c r="F14" s="91"/>
      <c r="G14" s="91"/>
      <c r="H14" s="91"/>
      <c r="I14" s="91"/>
      <c r="J14" s="78"/>
      <c r="K14" s="194" t="str">
        <f>K11&amp;" = "&amp;FIXED(F10,2)&amp;" Gläser x "&amp;DOLLAR(H11,2)&amp;" = "&amp;DOLLAR(F10*H11,2)</f>
        <v>Verkaufserlös pro Woche = 2 400,00 Gläser x 0,90 € = 2 160,00 €</v>
      </c>
      <c r="L14" s="195"/>
      <c r="M14" s="195"/>
      <c r="N14" s="195"/>
      <c r="O14" s="195"/>
      <c r="P14" s="196"/>
      <c r="Q14" s="78"/>
      <c r="R14" s="185"/>
    </row>
    <row r="15" spans="1:18" s="123" customFormat="1" ht="12" customHeight="1">
      <c r="A15" s="91"/>
      <c r="B15" s="91"/>
      <c r="C15" s="91"/>
      <c r="D15" s="91"/>
      <c r="E15" s="91"/>
      <c r="F15" s="91"/>
      <c r="G15" s="91"/>
      <c r="H15" s="91"/>
      <c r="I15" s="91"/>
      <c r="J15" s="78"/>
      <c r="K15" s="78"/>
      <c r="L15" s="78"/>
      <c r="M15" s="78"/>
      <c r="N15" s="78"/>
      <c r="O15" s="78"/>
      <c r="P15" s="78"/>
      <c r="Q15" s="78"/>
      <c r="R15" s="190"/>
    </row>
    <row r="16" spans="1:18" s="123" customFormat="1" ht="12" customHeight="1">
      <c r="A16" s="91"/>
      <c r="B16" s="91"/>
      <c r="C16" s="91"/>
      <c r="D16" s="91"/>
      <c r="E16" s="91"/>
      <c r="F16" s="91"/>
      <c r="G16" s="91"/>
      <c r="H16" s="91"/>
      <c r="I16" s="91"/>
      <c r="J16" s="78"/>
      <c r="K16" s="187" t="str">
        <f>B12&amp;" "&amp;F30</f>
        <v>Gewinn pro lt</v>
      </c>
      <c r="L16" s="188"/>
      <c r="M16" s="188"/>
      <c r="N16" s="188"/>
      <c r="O16" s="188"/>
      <c r="P16" s="189"/>
      <c r="Q16" s="78"/>
      <c r="R16" s="185"/>
    </row>
    <row r="17" spans="1:18" s="123" customFormat="1" ht="12" customHeight="1">
      <c r="A17" s="91"/>
      <c r="B17" s="91"/>
      <c r="C17" s="91"/>
      <c r="D17" s="91"/>
      <c r="E17" s="91"/>
      <c r="F17" s="91"/>
      <c r="G17" s="91"/>
      <c r="H17" s="91"/>
      <c r="I17" s="91"/>
      <c r="J17" s="78"/>
      <c r="K17" s="198" t="str">
        <f>K16&amp;" = "&amp;K20&amp;" : "&amp;B9&amp;" "&amp;C10</f>
        <v>Gewinn pro lt = Gewinn pro Woche : Verkaufsmenge in Gläsern</v>
      </c>
      <c r="L17" s="192"/>
      <c r="M17" s="192"/>
      <c r="N17" s="192"/>
      <c r="O17" s="192"/>
      <c r="P17" s="193"/>
      <c r="Q17" s="78"/>
      <c r="R17" s="190"/>
    </row>
    <row r="18" spans="1:18" s="123" customFormat="1" ht="12" customHeight="1">
      <c r="A18" s="91"/>
      <c r="B18" s="91"/>
      <c r="C18" s="91"/>
      <c r="D18" s="91"/>
      <c r="E18" s="91"/>
      <c r="F18" s="91"/>
      <c r="G18" s="91"/>
      <c r="H18" s="91"/>
      <c r="I18" s="91"/>
      <c r="J18" s="78"/>
      <c r="K18" s="194" t="str">
        <f>K16&amp;" = "&amp;DOLLAR(F12,2)&amp;" : "&amp;FIXED(F10,0)&amp;" = "&amp;DOLLAR(F12/F10,2)</f>
        <v>Gewinn pro lt = 960,64 € : 2 400 = 0,40 €</v>
      </c>
      <c r="L18" s="195"/>
      <c r="M18" s="195"/>
      <c r="N18" s="195"/>
      <c r="O18" s="195"/>
      <c r="P18" s="196"/>
      <c r="Q18" s="78"/>
      <c r="R18" s="185"/>
    </row>
    <row r="19" spans="1:18" s="123" customFormat="1" ht="12" customHeight="1">
      <c r="A19" s="91"/>
      <c r="B19" s="91"/>
      <c r="C19" s="91"/>
      <c r="D19" s="91"/>
      <c r="E19" s="91"/>
      <c r="F19" s="91"/>
      <c r="G19" s="91"/>
      <c r="H19" s="91"/>
      <c r="I19" s="91"/>
      <c r="J19" s="78"/>
      <c r="K19" s="78"/>
      <c r="L19" s="78"/>
      <c r="M19" s="78"/>
      <c r="N19" s="78"/>
      <c r="O19" s="78"/>
      <c r="P19" s="78"/>
      <c r="Q19" s="78"/>
      <c r="R19" s="190"/>
    </row>
    <row r="20" spans="1:18" s="123" customFormat="1" ht="12" customHeight="1">
      <c r="A20" s="91"/>
      <c r="B20" s="91"/>
      <c r="C20" s="91"/>
      <c r="D20" s="91"/>
      <c r="E20" s="91"/>
      <c r="F20" s="91"/>
      <c r="G20" s="91"/>
      <c r="H20" s="91"/>
      <c r="I20" s="91"/>
      <c r="J20" s="78"/>
      <c r="K20" s="187" t="str">
        <f>B12&amp;" "&amp;F7</f>
        <v>Gewinn pro Woche</v>
      </c>
      <c r="L20" s="188"/>
      <c r="M20" s="188"/>
      <c r="N20" s="188"/>
      <c r="O20" s="188"/>
      <c r="P20" s="189"/>
      <c r="Q20" s="78"/>
      <c r="R20" s="185"/>
    </row>
    <row r="21" spans="1:18" s="123" customFormat="1" ht="12" customHeight="1">
      <c r="A21" s="91"/>
      <c r="B21" s="91"/>
      <c r="C21" s="91"/>
      <c r="D21" s="91"/>
      <c r="E21" s="91"/>
      <c r="F21" s="91"/>
      <c r="G21" s="91"/>
      <c r="H21" s="91"/>
      <c r="I21" s="91"/>
      <c r="J21" s="78"/>
      <c r="K21" s="198" t="str">
        <f>K20&amp;" = "&amp;K11&amp;" - "&amp;B110&amp;" "&amp;F7</f>
        <v>Gewinn pro Woche = Verkaufserlös pro Woche - Vollkosten pro Woche</v>
      </c>
      <c r="L21" s="192"/>
      <c r="M21" s="192"/>
      <c r="N21" s="192"/>
      <c r="O21" s="192"/>
      <c r="P21" s="193"/>
      <c r="Q21" s="78"/>
      <c r="R21" s="190"/>
    </row>
    <row r="22" spans="1:18" s="123" customFormat="1" ht="12" customHeight="1">
      <c r="A22" s="91"/>
      <c r="B22" s="91"/>
      <c r="C22" s="91"/>
      <c r="D22" s="91"/>
      <c r="E22" s="91"/>
      <c r="F22" s="91"/>
      <c r="G22" s="91"/>
      <c r="H22" s="91"/>
      <c r="I22" s="91"/>
      <c r="J22" s="78"/>
      <c r="K22" s="194" t="str">
        <f>K20&amp;" = "&amp;DOLLAR(F11,2)&amp;" - "&amp;DOLLAR(G110,2)&amp;" = "&amp;DOLLAR(F11-G110,2)</f>
        <v>Gewinn pro Woche = 2 160,00 € - 1 199,36 € = 960,64 €</v>
      </c>
      <c r="L22" s="195"/>
      <c r="M22" s="195"/>
      <c r="N22" s="195"/>
      <c r="O22" s="195"/>
      <c r="P22" s="196"/>
      <c r="Q22" s="78"/>
      <c r="R22" s="185"/>
    </row>
    <row r="23" spans="1:18" s="123" customFormat="1" ht="12" customHeight="1">
      <c r="A23" s="91"/>
      <c r="B23" s="91"/>
      <c r="C23" s="91"/>
      <c r="D23" s="91"/>
      <c r="E23" s="91"/>
      <c r="F23" s="91"/>
      <c r="G23" s="91"/>
      <c r="H23" s="91"/>
      <c r="I23" s="91"/>
      <c r="J23" s="78"/>
      <c r="K23" s="78"/>
      <c r="L23" s="78"/>
      <c r="M23" s="78"/>
      <c r="N23" s="78"/>
      <c r="O23" s="78"/>
      <c r="P23" s="78"/>
      <c r="Q23" s="78"/>
      <c r="R23" s="190"/>
    </row>
    <row r="24" spans="1:18" s="123" customFormat="1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78"/>
      <c r="K24" s="78"/>
      <c r="L24" s="78"/>
      <c r="M24" s="78"/>
      <c r="N24" s="78"/>
      <c r="O24" s="78"/>
      <c r="P24" s="78"/>
      <c r="Q24" s="78"/>
      <c r="R24" s="185"/>
    </row>
    <row r="25" spans="1:18" s="123" customFormat="1" ht="12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78"/>
      <c r="K25" s="187" t="str">
        <f>"Kosten für "&amp;B30&amp;" "&amp;$F$7</f>
        <v>Kosten für Rohmilch pro Woche</v>
      </c>
      <c r="L25" s="188"/>
      <c r="M25" s="188"/>
      <c r="N25" s="188"/>
      <c r="O25" s="188"/>
      <c r="P25" s="189"/>
      <c r="Q25" s="78"/>
      <c r="R25" s="190"/>
    </row>
    <row r="26" spans="1:18" s="123" customFormat="1" ht="12" customHeight="1">
      <c r="A26" s="118"/>
      <c r="B26" s="135" t="s">
        <v>38</v>
      </c>
      <c r="C26" s="135"/>
      <c r="D26" s="135"/>
      <c r="E26" s="135"/>
      <c r="F26" s="135"/>
      <c r="G26" s="135"/>
      <c r="H26" s="135"/>
      <c r="J26" s="78"/>
      <c r="K26" s="198" t="str">
        <f>K25&amp;" = "&amp;D28&amp;" "&amp;B30&amp;" x "&amp;$E$28</f>
        <v>Kosten für Rohmilch pro Woche = Menge Rohmilch x Preis/
Einheit</v>
      </c>
      <c r="L26" s="192"/>
      <c r="M26" s="192"/>
      <c r="N26" s="192"/>
      <c r="O26" s="192"/>
      <c r="P26" s="193"/>
      <c r="Q26" s="78"/>
      <c r="R26" s="185"/>
    </row>
    <row r="27" spans="1:18" s="123" customFormat="1" ht="12" customHeight="1">
      <c r="A27" s="118"/>
      <c r="B27" s="135" t="s">
        <v>4</v>
      </c>
      <c r="C27" s="119"/>
      <c r="D27" s="126"/>
      <c r="E27" s="136"/>
      <c r="F27" s="136"/>
      <c r="G27" s="136"/>
      <c r="H27" s="136"/>
      <c r="J27" s="78"/>
      <c r="K27" s="194" t="str">
        <f>K25&amp;" = "&amp;FIXED(D30,2)&amp;" x "&amp;DOLLAR(E30,2)&amp;" = "&amp;DOLLAR(D30*E30,2)</f>
        <v>Kosten für Rohmilch pro Woche = 600,00 x 0,30 € = 180,00 €</v>
      </c>
      <c r="L27" s="195"/>
      <c r="M27" s="195"/>
      <c r="N27" s="195"/>
      <c r="O27" s="195"/>
      <c r="P27" s="196"/>
      <c r="Q27" s="78"/>
      <c r="R27" s="190"/>
    </row>
    <row r="28" spans="1:18" s="123" customFormat="1" ht="12" customHeight="1">
      <c r="A28" s="118"/>
      <c r="B28" s="135" t="s">
        <v>0</v>
      </c>
      <c r="C28" s="119"/>
      <c r="D28" s="264" t="s">
        <v>12</v>
      </c>
      <c r="E28" s="260" t="s">
        <v>13</v>
      </c>
      <c r="F28" s="260"/>
      <c r="G28" s="260" t="str">
        <f>"Gesamtkosten
"&amp;F7</f>
        <v>Gesamtkosten
pro Woche</v>
      </c>
      <c r="H28" s="260" t="s">
        <v>57</v>
      </c>
      <c r="J28" s="78"/>
      <c r="K28" s="78"/>
      <c r="L28" s="78"/>
      <c r="M28" s="78"/>
      <c r="N28" s="78"/>
      <c r="O28" s="78"/>
      <c r="P28" s="78"/>
      <c r="Q28" s="78"/>
      <c r="R28" s="185"/>
    </row>
    <row r="29" spans="1:18" s="123" customFormat="1" ht="12" customHeight="1" thickBot="1">
      <c r="A29" s="118"/>
      <c r="B29" s="119" t="s">
        <v>1</v>
      </c>
      <c r="C29" s="135"/>
      <c r="D29" s="265"/>
      <c r="E29" s="261"/>
      <c r="F29" s="261"/>
      <c r="G29" s="260"/>
      <c r="H29" s="260"/>
      <c r="J29" s="78"/>
      <c r="K29" s="187" t="str">
        <f>"∑ "&amp;B29&amp;" "&amp;$F$30</f>
        <v>∑ Rohstoffkosten pro lt</v>
      </c>
      <c r="L29" s="188"/>
      <c r="M29" s="188"/>
      <c r="N29" s="188"/>
      <c r="O29" s="188"/>
      <c r="P29" s="189"/>
      <c r="Q29" s="78"/>
      <c r="R29" s="190"/>
    </row>
    <row r="30" spans="1:18" s="123" customFormat="1" ht="12" customHeight="1" thickBot="1">
      <c r="A30" s="118"/>
      <c r="B30" s="128" t="str">
        <f>IF(Dateneingabe!B20="","",Dateneingabe!B20)</f>
        <v>Rohmilch</v>
      </c>
      <c r="C30" s="128"/>
      <c r="D30" s="138">
        <f>F9</f>
        <v>600</v>
      </c>
      <c r="E30" s="139">
        <f>IF(Dateneingabe!D20="","",Dateneingabe!D20)</f>
        <v>0.3</v>
      </c>
      <c r="F30" s="140" t="str">
        <f>IF(Dateneingabe!F20="","",Dateneingabe!F20)</f>
        <v>pro lt</v>
      </c>
      <c r="G30" s="141">
        <f>IF(OR(D30="",E30=""),"",D30*E30)</f>
        <v>180</v>
      </c>
      <c r="H30" s="200"/>
      <c r="J30" s="78"/>
      <c r="K30" s="247" t="str">
        <f>K29&amp;" = "&amp;K34&amp;" : 
                                                    "&amp;$B$9&amp;" "&amp;$C$10</f>
        <v>∑ Rohstoffkosten pro lt = ∑ Rohstoffkosten pro Woche : 
                                                    Verkaufsmenge in Gläsern</v>
      </c>
      <c r="L30" s="248"/>
      <c r="M30" s="248"/>
      <c r="N30" s="248"/>
      <c r="O30" s="248"/>
      <c r="P30" s="249"/>
      <c r="Q30" s="78"/>
      <c r="R30" s="185"/>
    </row>
    <row r="31" spans="1:18" s="123" customFormat="1" ht="12" customHeight="1" thickBot="1">
      <c r="A31" s="118"/>
      <c r="B31" s="143" t="s">
        <v>14</v>
      </c>
      <c r="C31" s="143"/>
      <c r="D31" s="144"/>
      <c r="E31" s="145"/>
      <c r="F31" s="145"/>
      <c r="G31" s="146">
        <f>SUM(G30)</f>
        <v>180</v>
      </c>
      <c r="H31" s="146">
        <f>IF(OR(G31="",$F$10=""),"",G31/$F$10)</f>
        <v>0.075</v>
      </c>
      <c r="J31" s="78"/>
      <c r="K31" s="247"/>
      <c r="L31" s="248"/>
      <c r="M31" s="248"/>
      <c r="N31" s="248"/>
      <c r="O31" s="248"/>
      <c r="P31" s="249"/>
      <c r="Q31" s="78"/>
      <c r="R31" s="190"/>
    </row>
    <row r="32" spans="1:18" s="123" customFormat="1" ht="12" customHeight="1">
      <c r="A32" s="118"/>
      <c r="B32" s="134"/>
      <c r="C32" s="134"/>
      <c r="D32" s="147"/>
      <c r="E32" s="148"/>
      <c r="F32" s="148"/>
      <c r="G32" s="148"/>
      <c r="H32" s="148"/>
      <c r="J32" s="78"/>
      <c r="K32" s="194" t="str">
        <f>K29&amp;" = "&amp;DOLLAR(G31,2)&amp;" : "&amp;FIXED($F$10,0)&amp;" = "&amp;DOLLAR(G31/$F$10,2)</f>
        <v>∑ Rohstoffkosten pro lt = 180,00 € : 2 400 = 0,08 €</v>
      </c>
      <c r="L32" s="195"/>
      <c r="M32" s="195"/>
      <c r="N32" s="195"/>
      <c r="O32" s="195"/>
      <c r="P32" s="196"/>
      <c r="Q32" s="78"/>
      <c r="R32" s="185"/>
    </row>
    <row r="33" spans="1:18" s="123" customFormat="1" ht="12" customHeight="1">
      <c r="A33" s="91"/>
      <c r="B33" s="92"/>
      <c r="C33" s="92"/>
      <c r="D33" s="104"/>
      <c r="E33" s="105"/>
      <c r="F33" s="105"/>
      <c r="G33" s="105"/>
      <c r="H33" s="105"/>
      <c r="I33" s="99"/>
      <c r="J33" s="78"/>
      <c r="K33" s="78"/>
      <c r="L33" s="78"/>
      <c r="M33" s="78"/>
      <c r="N33" s="78"/>
      <c r="O33" s="78"/>
      <c r="P33" s="78"/>
      <c r="Q33" s="78"/>
      <c r="R33" s="190"/>
    </row>
    <row r="34" spans="1:18" s="123" customFormat="1" ht="12" customHeight="1">
      <c r="A34" s="91"/>
      <c r="B34" s="92"/>
      <c r="C34" s="92"/>
      <c r="D34" s="104"/>
      <c r="E34" s="105"/>
      <c r="F34" s="105"/>
      <c r="G34" s="105"/>
      <c r="H34" s="105"/>
      <c r="I34" s="99"/>
      <c r="J34" s="78"/>
      <c r="K34" s="187" t="str">
        <f>"∑ "&amp;B29&amp;" "&amp;$F$7</f>
        <v>∑ Rohstoffkosten pro Woche</v>
      </c>
      <c r="L34" s="188"/>
      <c r="M34" s="188"/>
      <c r="N34" s="188"/>
      <c r="O34" s="188"/>
      <c r="P34" s="189"/>
      <c r="Q34" s="78"/>
      <c r="R34" s="185"/>
    </row>
    <row r="35" spans="1:18" s="123" customFormat="1" ht="12" customHeight="1">
      <c r="A35" s="91"/>
      <c r="B35" s="92"/>
      <c r="C35" s="92"/>
      <c r="D35" s="104"/>
      <c r="E35" s="105"/>
      <c r="F35" s="105"/>
      <c r="G35" s="99"/>
      <c r="H35" s="105"/>
      <c r="I35" s="99"/>
      <c r="J35" s="78"/>
      <c r="K35" s="198" t="str">
        <f>K39&amp;" = "&amp;K25</f>
        <v>Verarbeitungskosten pro Woche = Kosten für Rohmilch pro Woche</v>
      </c>
      <c r="L35" s="192"/>
      <c r="M35" s="192"/>
      <c r="N35" s="192"/>
      <c r="O35" s="192"/>
      <c r="P35" s="193"/>
      <c r="Q35" s="78"/>
      <c r="R35" s="190"/>
    </row>
    <row r="36" spans="1:18" s="123" customFormat="1" ht="12" customHeight="1">
      <c r="A36" s="91"/>
      <c r="B36" s="92"/>
      <c r="C36" s="92"/>
      <c r="D36" s="104"/>
      <c r="E36" s="105"/>
      <c r="F36" s="105"/>
      <c r="G36" s="99"/>
      <c r="H36" s="105"/>
      <c r="I36" s="99"/>
      <c r="J36" s="78"/>
      <c r="K36" s="194" t="str">
        <f>K39&amp;" = "&amp;DOLLAR(G31,2)</f>
        <v>Verarbeitungskosten pro Woche = 180,00 €</v>
      </c>
      <c r="L36" s="195"/>
      <c r="M36" s="195"/>
      <c r="N36" s="195"/>
      <c r="O36" s="195"/>
      <c r="P36" s="196"/>
      <c r="Q36" s="78"/>
      <c r="R36" s="185"/>
    </row>
    <row r="37" spans="1:18" s="123" customFormat="1" ht="12" customHeight="1">
      <c r="A37" s="91"/>
      <c r="B37" s="92"/>
      <c r="C37" s="92"/>
      <c r="D37" s="104"/>
      <c r="E37" s="105"/>
      <c r="F37" s="105"/>
      <c r="G37" s="99"/>
      <c r="H37" s="105"/>
      <c r="I37" s="99"/>
      <c r="J37" s="78"/>
      <c r="K37" s="78"/>
      <c r="L37" s="78"/>
      <c r="M37" s="78"/>
      <c r="N37" s="78"/>
      <c r="O37" s="78"/>
      <c r="P37" s="78"/>
      <c r="Q37" s="78"/>
      <c r="R37" s="190"/>
    </row>
    <row r="38" spans="1:18" s="123" customFormat="1" ht="12" customHeight="1">
      <c r="A38" s="91"/>
      <c r="B38" s="92"/>
      <c r="C38" s="92"/>
      <c r="D38" s="104"/>
      <c r="E38" s="105"/>
      <c r="F38" s="105"/>
      <c r="G38" s="99"/>
      <c r="H38" s="105"/>
      <c r="I38" s="99"/>
      <c r="J38" s="78"/>
      <c r="K38" s="78"/>
      <c r="L38" s="78"/>
      <c r="M38" s="78"/>
      <c r="N38" s="78"/>
      <c r="O38" s="78"/>
      <c r="P38" s="78"/>
      <c r="Q38" s="78"/>
      <c r="R38" s="185"/>
    </row>
    <row r="39" spans="1:18" s="123" customFormat="1" ht="12" customHeight="1">
      <c r="A39" s="118"/>
      <c r="B39" s="134"/>
      <c r="C39" s="134"/>
      <c r="D39" s="147"/>
      <c r="E39" s="148"/>
      <c r="F39" s="148"/>
      <c r="G39" s="148"/>
      <c r="H39" s="148"/>
      <c r="J39" s="78"/>
      <c r="K39" s="187" t="str">
        <f>B40&amp;" "&amp;$F$7</f>
        <v>Verarbeitungskosten pro Woche</v>
      </c>
      <c r="L39" s="188"/>
      <c r="M39" s="188"/>
      <c r="N39" s="188"/>
      <c r="O39" s="188"/>
      <c r="P39" s="189"/>
      <c r="Q39" s="78"/>
      <c r="R39" s="190"/>
    </row>
    <row r="40" spans="1:18" s="123" customFormat="1" ht="12" customHeight="1" thickBot="1">
      <c r="A40" s="118"/>
      <c r="B40" s="135" t="s">
        <v>2</v>
      </c>
      <c r="C40" s="135"/>
      <c r="D40" s="199" t="s">
        <v>12</v>
      </c>
      <c r="E40" s="201" t="s">
        <v>41</v>
      </c>
      <c r="F40" s="202" t="s">
        <v>40</v>
      </c>
      <c r="G40" s="199" t="s">
        <v>49</v>
      </c>
      <c r="H40" s="199" t="s">
        <v>37</v>
      </c>
      <c r="J40" s="78"/>
      <c r="K40" s="198" t="str">
        <f>K39&amp;" = "&amp;D40&amp;" x "&amp;MID(E40,1,5)&amp;"/"&amp;F40</f>
        <v>Verarbeitungskosten pro Woche = Menge x Preis/Einheit</v>
      </c>
      <c r="L40" s="192"/>
      <c r="M40" s="192"/>
      <c r="N40" s="192"/>
      <c r="O40" s="192"/>
      <c r="P40" s="193"/>
      <c r="Q40" s="78"/>
      <c r="R40" s="185"/>
    </row>
    <row r="41" spans="1:18" s="123" customFormat="1" ht="12" customHeight="1" thickBot="1">
      <c r="A41" s="118"/>
      <c r="B41" s="128" t="str">
        <f>IF(Dateneingabe!B23="","",Dateneingabe!B23)</f>
        <v>Glas</v>
      </c>
      <c r="C41" s="128"/>
      <c r="D41" s="151">
        <f>F10</f>
        <v>2400</v>
      </c>
      <c r="E41" s="139">
        <f>IF(Dateneingabe!H23="","",Dateneingabe!H23)</f>
        <v>0.25</v>
      </c>
      <c r="F41" s="140" t="str">
        <f>IF(Dateneingabe!J23="","",Dateneingabe!J23)</f>
        <v>/ Stk.</v>
      </c>
      <c r="G41" s="177">
        <f aca="true" t="shared" si="0" ref="G41:G49">IF(OR(D41="",E41=""),"",D41*E41)</f>
        <v>600</v>
      </c>
      <c r="H41" s="142"/>
      <c r="J41" s="78"/>
      <c r="K41" s="203" t="s">
        <v>61</v>
      </c>
      <c r="L41" s="204" t="str">
        <f>IF(OR(D41="",E41=""),"",B41&amp;" = "&amp;FIXED(D41,0)&amp;" x "&amp;DOLLAR(E41,2)&amp;" = "&amp;DOLLAR(D41*E41,2))</f>
        <v>Glas = 2 400 x 0,25 € = 600,00 €</v>
      </c>
      <c r="M41" s="204"/>
      <c r="N41" s="204"/>
      <c r="O41" s="204"/>
      <c r="P41" s="205"/>
      <c r="Q41" s="78"/>
      <c r="R41" s="190"/>
    </row>
    <row r="42" spans="1:18" s="123" customFormat="1" ht="12" customHeight="1" thickBot="1">
      <c r="A42" s="118"/>
      <c r="B42" s="128" t="str">
        <f>IF(Dateneingabe!B25="","",Dateneingabe!B25)</f>
        <v>Deckel</v>
      </c>
      <c r="C42" s="128"/>
      <c r="D42" s="151">
        <f>F10</f>
        <v>2400</v>
      </c>
      <c r="E42" s="139">
        <f>IF(Dateneingabe!H25="","",Dateneingabe!H25)</f>
        <v>0.05</v>
      </c>
      <c r="F42" s="140" t="str">
        <f>IF(Dateneingabe!J25="","",Dateneingabe!J25)</f>
        <v>/ Stk.</v>
      </c>
      <c r="G42" s="177">
        <f t="shared" si="0"/>
        <v>120</v>
      </c>
      <c r="H42" s="142"/>
      <c r="J42" s="78"/>
      <c r="K42" s="203"/>
      <c r="L42" s="204" t="str">
        <f aca="true" t="shared" si="1" ref="L42:L49">IF(OR(D42="",E42=""),"",B42&amp;" = "&amp;FIXED(D42,0)&amp;" x "&amp;DOLLAR(E42,2)&amp;" = "&amp;DOLLAR(D42*E42,2))</f>
        <v>Deckel = 2 400 x 0,05 € = 120,00 €</v>
      </c>
      <c r="M42" s="204"/>
      <c r="N42" s="204"/>
      <c r="O42" s="204"/>
      <c r="P42" s="205"/>
      <c r="Q42" s="78"/>
      <c r="R42" s="185"/>
    </row>
    <row r="43" spans="1:18" s="123" customFormat="1" ht="12" customHeight="1" thickBot="1">
      <c r="A43" s="118"/>
      <c r="B43" s="128" t="str">
        <f>IF(Dateneingabe!B27="","",Dateneingabe!B27)</f>
        <v>Jogurtkultur</v>
      </c>
      <c r="C43" s="128"/>
      <c r="D43" s="152">
        <f>IF(Dateneingabe!F27="","",Dateneingabe!F27)</f>
        <v>11</v>
      </c>
      <c r="E43" s="139">
        <f>IF(Dateneingabe!H27="","",Dateneingabe!H27)</f>
        <v>0.65</v>
      </c>
      <c r="F43" s="140" t="str">
        <f>IF(Dateneingabe!J27="","",Dateneingabe!J27)</f>
        <v>/ Kaffeelöffel</v>
      </c>
      <c r="G43" s="177">
        <f t="shared" si="0"/>
        <v>7.15</v>
      </c>
      <c r="H43" s="142"/>
      <c r="J43" s="78"/>
      <c r="K43" s="203"/>
      <c r="L43" s="204" t="str">
        <f t="shared" si="1"/>
        <v>Jogurtkultur = 11 x 0,65 € = 7,15 €</v>
      </c>
      <c r="M43" s="204"/>
      <c r="N43" s="204"/>
      <c r="O43" s="204"/>
      <c r="P43" s="205"/>
      <c r="Q43" s="78"/>
      <c r="R43" s="190"/>
    </row>
    <row r="44" spans="1:18" s="123" customFormat="1" ht="12" customHeight="1" thickBot="1">
      <c r="A44" s="118"/>
      <c r="B44" s="128" t="str">
        <f>IF(Dateneingabe!B29="","",Dateneingabe!B29)</f>
        <v>Geschmackszutaten: Kirsch</v>
      </c>
      <c r="C44" s="128"/>
      <c r="D44" s="153">
        <f>IF(Dateneingabe!F29="","",Dateneingabe!F29)</f>
        <v>2</v>
      </c>
      <c r="E44" s="139">
        <f>IF(Dateneingabe!H29="","",Dateneingabe!H29)</f>
        <v>18</v>
      </c>
      <c r="F44" s="140" t="str">
        <f>IF(Dateneingabe!J29="","",Dateneingabe!J29)</f>
        <v>/ kg</v>
      </c>
      <c r="G44" s="177">
        <f t="shared" si="0"/>
        <v>36</v>
      </c>
      <c r="H44" s="142"/>
      <c r="J44" s="78"/>
      <c r="K44" s="203"/>
      <c r="L44" s="204" t="str">
        <f t="shared" si="1"/>
        <v>Geschmackszutaten: Kirsch = 2 x 18,00 € = 36,00 €</v>
      </c>
      <c r="M44" s="204"/>
      <c r="N44" s="204"/>
      <c r="O44" s="204"/>
      <c r="P44" s="205"/>
      <c r="Q44" s="78"/>
      <c r="R44" s="185"/>
    </row>
    <row r="45" spans="1:18" s="123" customFormat="1" ht="12" customHeight="1" thickBot="1">
      <c r="A45" s="118"/>
      <c r="B45" s="128" t="str">
        <f>IF(Dateneingabe!B31="","",Dateneingabe!B31)</f>
        <v>Zucker</v>
      </c>
      <c r="C45" s="128"/>
      <c r="D45" s="153">
        <f>IF(Dateneingabe!F31="","",Dateneingabe!F31)</f>
        <v>0</v>
      </c>
      <c r="E45" s="139">
        <f>IF(Dateneingabe!H31="","",Dateneingabe!H31)</f>
        <v>1</v>
      </c>
      <c r="F45" s="140" t="str">
        <f>IF(Dateneingabe!J31="","",Dateneingabe!J31)</f>
        <v>/ kg</v>
      </c>
      <c r="G45" s="177">
        <f t="shared" si="0"/>
        <v>0</v>
      </c>
      <c r="H45" s="142"/>
      <c r="J45" s="78"/>
      <c r="K45" s="203"/>
      <c r="L45" s="204" t="str">
        <f t="shared" si="1"/>
        <v>Zucker = 0 x 1,00 € = 0,00 €</v>
      </c>
      <c r="M45" s="204"/>
      <c r="N45" s="204"/>
      <c r="O45" s="204"/>
      <c r="P45" s="205"/>
      <c r="Q45" s="78"/>
      <c r="R45" s="190"/>
    </row>
    <row r="46" spans="1:18" s="123" customFormat="1" ht="12" customHeight="1" thickBot="1">
      <c r="A46" s="118"/>
      <c r="B46" s="128" t="str">
        <f>IF(Dateneingabe!B33="","",Dateneingabe!B33)</f>
        <v>Strom</v>
      </c>
      <c r="C46" s="128"/>
      <c r="D46" s="154">
        <f>IF(Dateneingabe!F33="","",Dateneingabe!F33)</f>
        <v>50</v>
      </c>
      <c r="E46" s="139">
        <f>IF(Dateneingabe!H33="","",Dateneingabe!H33)</f>
        <v>0.14</v>
      </c>
      <c r="F46" s="140" t="str">
        <f>IF(Dateneingabe!J33="","",Dateneingabe!J33)</f>
        <v>/ KWh</v>
      </c>
      <c r="G46" s="177">
        <f t="shared" si="0"/>
        <v>7.000000000000001</v>
      </c>
      <c r="H46" s="142"/>
      <c r="J46" s="78"/>
      <c r="K46" s="203"/>
      <c r="L46" s="204" t="str">
        <f t="shared" si="1"/>
        <v>Strom = 50 x 0,14 € = 7,00 €</v>
      </c>
      <c r="M46" s="204"/>
      <c r="N46" s="204"/>
      <c r="O46" s="204"/>
      <c r="P46" s="205"/>
      <c r="Q46" s="78"/>
      <c r="R46" s="185"/>
    </row>
    <row r="47" spans="1:18" s="123" customFormat="1" ht="12" customHeight="1" thickBot="1">
      <c r="A47" s="118"/>
      <c r="B47" s="128" t="str">
        <f>IF(Dateneingabe!B35="","",Dateneingabe!B35)</f>
        <v>Wasser (inkl. Abwasser)</v>
      </c>
      <c r="C47" s="128"/>
      <c r="D47" s="155">
        <f>IF(Dateneingabe!F35="","",Dateneingabe!F35)</f>
        <v>4</v>
      </c>
      <c r="E47" s="139">
        <f>IF(Dateneingabe!H35="","",Dateneingabe!H35)</f>
        <v>2</v>
      </c>
      <c r="F47" s="140" t="str">
        <f>IF(Dateneingabe!J35="","",Dateneingabe!J35)</f>
        <v>/ m³</v>
      </c>
      <c r="G47" s="177">
        <f t="shared" si="0"/>
        <v>8</v>
      </c>
      <c r="H47" s="142"/>
      <c r="J47" s="78"/>
      <c r="K47" s="203"/>
      <c r="L47" s="204" t="str">
        <f t="shared" si="1"/>
        <v>Wasser (inkl. Abwasser) = 4 x 2,00 € = 8,00 €</v>
      </c>
      <c r="M47" s="204"/>
      <c r="N47" s="204"/>
      <c r="O47" s="204"/>
      <c r="P47" s="205"/>
      <c r="Q47" s="78"/>
      <c r="R47" s="190"/>
    </row>
    <row r="48" spans="1:18" s="123" customFormat="1" ht="12" customHeight="1" thickBot="1">
      <c r="A48" s="118"/>
      <c r="B48" s="128">
        <f>IF(Dateneingabe!B37="","",Dateneingabe!B37)</f>
      </c>
      <c r="C48" s="128"/>
      <c r="D48" s="153">
        <f>IF(Dateneingabe!F37="","",Dateneingabe!F37)</f>
      </c>
      <c r="E48" s="139">
        <f>IF(Dateneingabe!H37="","",Dateneingabe!H37)</f>
      </c>
      <c r="F48" s="156">
        <f>IF(Dateneingabe!J37="","",Dateneingabe!J37)</f>
      </c>
      <c r="G48" s="177">
        <f t="shared" si="0"/>
      </c>
      <c r="H48" s="142"/>
      <c r="J48" s="78"/>
      <c r="K48" s="203"/>
      <c r="L48" s="204">
        <f t="shared" si="1"/>
      </c>
      <c r="M48" s="204"/>
      <c r="N48" s="204"/>
      <c r="O48" s="204"/>
      <c r="P48" s="205"/>
      <c r="Q48" s="78"/>
      <c r="R48" s="185"/>
    </row>
    <row r="49" spans="1:18" s="123" customFormat="1" ht="12" customHeight="1" thickBot="1">
      <c r="A49" s="118"/>
      <c r="B49" s="128">
        <f>IF(Dateneingabe!B39="","",Dateneingabe!B39)</f>
      </c>
      <c r="C49" s="128"/>
      <c r="D49" s="151">
        <f>IF(Dateneingabe!F39="","",Dateneingabe!F39)</f>
      </c>
      <c r="E49" s="139">
        <f>IF(Dateneingabe!H39="","",Dateneingabe!H39)</f>
      </c>
      <c r="F49" s="156">
        <f>IF(Dateneingabe!J39="","",Dateneingabe!J39)</f>
      </c>
      <c r="G49" s="177">
        <f t="shared" si="0"/>
      </c>
      <c r="H49" s="142"/>
      <c r="J49" s="99"/>
      <c r="K49" s="194"/>
      <c r="L49" s="195">
        <f t="shared" si="1"/>
      </c>
      <c r="M49" s="195"/>
      <c r="N49" s="195"/>
      <c r="O49" s="195"/>
      <c r="P49" s="196"/>
      <c r="Q49" s="99"/>
      <c r="R49" s="190"/>
    </row>
    <row r="50" spans="1:18" s="123" customFormat="1" ht="12" customHeight="1" thickBot="1">
      <c r="A50" s="118"/>
      <c r="B50" s="143" t="s">
        <v>15</v>
      </c>
      <c r="C50" s="143"/>
      <c r="D50" s="144"/>
      <c r="E50" s="145"/>
      <c r="F50" s="145"/>
      <c r="G50" s="146">
        <f>SUM(G41:G49)</f>
        <v>778.15</v>
      </c>
      <c r="H50" s="146">
        <f>IF(OR(G50="",$F$10=""),"",G50/$F$10)</f>
        <v>0.3242291666666667</v>
      </c>
      <c r="J50" s="99"/>
      <c r="K50" s="99"/>
      <c r="L50" s="99"/>
      <c r="M50" s="99"/>
      <c r="N50" s="99"/>
      <c r="O50" s="99"/>
      <c r="P50" s="99"/>
      <c r="Q50" s="99"/>
      <c r="R50" s="185"/>
    </row>
    <row r="51" spans="1:18" s="123" customFormat="1" ht="12" customHeight="1">
      <c r="A51" s="118"/>
      <c r="B51" s="134"/>
      <c r="C51" s="134"/>
      <c r="D51" s="147"/>
      <c r="E51" s="148"/>
      <c r="F51" s="148"/>
      <c r="G51" s="148"/>
      <c r="H51" s="148"/>
      <c r="J51" s="99"/>
      <c r="K51" s="187" t="str">
        <f>"∑ "&amp;B40&amp;" "&amp;$F$30</f>
        <v>∑ Verarbeitungskosten pro lt</v>
      </c>
      <c r="L51" s="188"/>
      <c r="M51" s="188"/>
      <c r="N51" s="188"/>
      <c r="O51" s="188"/>
      <c r="P51" s="189"/>
      <c r="Q51" s="99"/>
      <c r="R51" s="190"/>
    </row>
    <row r="52" spans="1:18" s="123" customFormat="1" ht="12" customHeight="1">
      <c r="A52" s="91"/>
      <c r="B52" s="92"/>
      <c r="C52" s="92"/>
      <c r="D52" s="104"/>
      <c r="E52" s="105"/>
      <c r="F52" s="105"/>
      <c r="G52" s="105"/>
      <c r="H52" s="105"/>
      <c r="I52" s="99"/>
      <c r="J52" s="99"/>
      <c r="K52" s="247" t="str">
        <f>K51&amp;" = "&amp;K56&amp;" : 
                                                               "&amp;$B$9&amp;" "&amp;$C$10</f>
        <v>∑ Verarbeitungskosten pro lt = ∑ Verarbeitungskosten pro Woche : 
                                                               Verkaufsmenge in Gläsern</v>
      </c>
      <c r="L52" s="248"/>
      <c r="M52" s="248"/>
      <c r="N52" s="248"/>
      <c r="O52" s="248"/>
      <c r="P52" s="249"/>
      <c r="Q52" s="99"/>
      <c r="R52" s="185"/>
    </row>
    <row r="53" spans="1:18" s="123" customFormat="1" ht="12" customHeight="1">
      <c r="A53" s="91"/>
      <c r="B53" s="92"/>
      <c r="C53" s="92"/>
      <c r="D53" s="104"/>
      <c r="E53" s="105"/>
      <c r="F53" s="105"/>
      <c r="G53" s="105"/>
      <c r="H53" s="105"/>
      <c r="I53" s="99"/>
      <c r="J53" s="176"/>
      <c r="K53" s="247"/>
      <c r="L53" s="248"/>
      <c r="M53" s="248"/>
      <c r="N53" s="248"/>
      <c r="O53" s="248"/>
      <c r="P53" s="249"/>
      <c r="Q53" s="176"/>
      <c r="R53" s="190"/>
    </row>
    <row r="54" spans="1:18" ht="12" customHeight="1">
      <c r="A54" s="91"/>
      <c r="B54" s="92"/>
      <c r="C54" s="92"/>
      <c r="D54" s="104"/>
      <c r="E54" s="105"/>
      <c r="F54" s="105"/>
      <c r="G54" s="105"/>
      <c r="H54" s="105"/>
      <c r="I54" s="99"/>
      <c r="J54" s="176"/>
      <c r="K54" s="194" t="str">
        <f>K51&amp;" = "&amp;DOLLAR(G50,2)&amp;" : "&amp;FIXED($F$10,0)&amp;" = "&amp;DOLLAR(G50/$F$10,2)</f>
        <v>∑ Verarbeitungskosten pro lt = 778,15 € : 2 400 = 0,32 €</v>
      </c>
      <c r="L54" s="195"/>
      <c r="M54" s="195"/>
      <c r="N54" s="195"/>
      <c r="O54" s="195"/>
      <c r="P54" s="196"/>
      <c r="Q54" s="176"/>
      <c r="R54" s="185"/>
    </row>
    <row r="55" spans="1:18" ht="12" customHeight="1">
      <c r="A55" s="91"/>
      <c r="B55" s="92"/>
      <c r="C55" s="92"/>
      <c r="D55" s="104"/>
      <c r="E55" s="105"/>
      <c r="F55" s="105"/>
      <c r="G55" s="105"/>
      <c r="H55" s="105"/>
      <c r="I55" s="99"/>
      <c r="J55" s="176"/>
      <c r="K55" s="78"/>
      <c r="L55" s="78"/>
      <c r="M55" s="78"/>
      <c r="N55" s="78"/>
      <c r="O55" s="78"/>
      <c r="P55" s="78"/>
      <c r="Q55" s="176"/>
      <c r="R55" s="190"/>
    </row>
    <row r="56" spans="1:18" ht="12" customHeight="1">
      <c r="A56" s="91"/>
      <c r="B56" s="92"/>
      <c r="C56" s="92"/>
      <c r="D56" s="104"/>
      <c r="E56" s="105"/>
      <c r="F56" s="105"/>
      <c r="G56" s="105"/>
      <c r="H56" s="105"/>
      <c r="I56" s="99"/>
      <c r="J56" s="176"/>
      <c r="K56" s="187" t="str">
        <f>"∑ "&amp;B40&amp;" "&amp;$F$7</f>
        <v>∑ Verarbeitungskosten pro Woche</v>
      </c>
      <c r="L56" s="188"/>
      <c r="M56" s="188"/>
      <c r="N56" s="188"/>
      <c r="O56" s="188"/>
      <c r="P56" s="189"/>
      <c r="Q56" s="176"/>
      <c r="R56" s="185"/>
    </row>
    <row r="57" spans="1:18" ht="12" customHeight="1">
      <c r="A57" s="91"/>
      <c r="B57" s="92"/>
      <c r="C57" s="92"/>
      <c r="D57" s="104"/>
      <c r="E57" s="105"/>
      <c r="F57" s="105"/>
      <c r="G57" s="105"/>
      <c r="H57" s="105"/>
      <c r="I57" s="99"/>
      <c r="J57" s="176"/>
      <c r="K57" s="247" t="str">
        <f>K51&amp;" = "&amp;IF(B41="","",B41)&amp;IF(B42="",""," + "&amp;B42)&amp;IF(B43="",""," + "&amp;B43)&amp;IF(B44="",""," + 
                                                               "&amp;B44)&amp;IF(B45="",""," + "&amp;B45)&amp;IF(B46="",""," + "&amp;B46)&amp;IF(B47="",""," + 
                                                               "&amp;B47)&amp;IF(B48="",""," + "&amp;B48)&amp;IF(B49="",""," + "&amp;B49)</f>
        <v>∑ Verarbeitungskosten pro lt = Glas + Deckel + Jogurtkultur + 
                                                               Geschmackszutaten: Kirsch + Zucker + Strom + 
                                                               Wasser (inkl. Abwasser)</v>
      </c>
      <c r="L57" s="248"/>
      <c r="M57" s="248"/>
      <c r="N57" s="248"/>
      <c r="O57" s="248"/>
      <c r="P57" s="249"/>
      <c r="Q57" s="176"/>
      <c r="R57" s="190"/>
    </row>
    <row r="58" spans="1:18" ht="12" customHeight="1">
      <c r="A58" s="91"/>
      <c r="B58" s="92"/>
      <c r="C58" s="92"/>
      <c r="D58" s="104"/>
      <c r="E58" s="105"/>
      <c r="F58" s="105"/>
      <c r="G58" s="105"/>
      <c r="H58" s="105"/>
      <c r="I58" s="99"/>
      <c r="J58" s="176"/>
      <c r="K58" s="247"/>
      <c r="L58" s="248"/>
      <c r="M58" s="248"/>
      <c r="N58" s="248"/>
      <c r="O58" s="248"/>
      <c r="P58" s="249"/>
      <c r="Q58" s="176"/>
      <c r="R58" s="185"/>
    </row>
    <row r="59" spans="1:18" ht="12" customHeight="1">
      <c r="A59" s="91"/>
      <c r="B59" s="92"/>
      <c r="C59" s="92"/>
      <c r="D59" s="104"/>
      <c r="E59" s="105"/>
      <c r="F59" s="105"/>
      <c r="G59" s="105"/>
      <c r="H59" s="105"/>
      <c r="I59" s="99"/>
      <c r="J59" s="176"/>
      <c r="K59" s="247"/>
      <c r="L59" s="248"/>
      <c r="M59" s="248"/>
      <c r="N59" s="248"/>
      <c r="O59" s="248"/>
      <c r="P59" s="249"/>
      <c r="Q59" s="176"/>
      <c r="R59" s="190"/>
    </row>
    <row r="60" spans="1:18" ht="12" customHeight="1">
      <c r="A60" s="91"/>
      <c r="B60" s="92"/>
      <c r="C60" s="92"/>
      <c r="D60" s="104"/>
      <c r="E60" s="105"/>
      <c r="F60" s="105"/>
      <c r="G60" s="105"/>
      <c r="H60" s="105"/>
      <c r="I60" s="99"/>
      <c r="J60" s="176"/>
      <c r="K60" s="250" t="str">
        <f>K56&amp;" = "&amp;IF(G41="","",DOLLAR(G41,2)&amp;IF(G42="",""," + "&amp;DOLLAR(G42,2))&amp;IF(G43="",""," + "&amp;DOLLAR(G43,2))&amp;IF(G44="",""," + "&amp;DOLLAR(G44,2))&amp;IF(G45="",""," + "&amp;DOLLAR(G45,2))&amp;IF(G46="",""," + "&amp;DOLLAR(G46,2))&amp;IF(G47="",""," + 
                                                            "&amp;DOLLAR(G47,2))&amp;IF(G48="",""," + "&amp;DOLLAR(G48,2))&amp;IF(G49="",""," + "&amp;DOLLAR(G49,2))&amp;" = "&amp;DOLLAR(SUM(G41:G49),2))</f>
        <v>∑ Verarbeitungskosten pro Woche = 600,00 € + 120,00 € + 7,15 € + 36,00 € + 0,00 € + 7,00 € + 
                                                            8,00 € = 778,15 €</v>
      </c>
      <c r="L60" s="251"/>
      <c r="M60" s="251"/>
      <c r="N60" s="251"/>
      <c r="O60" s="251"/>
      <c r="P60" s="252"/>
      <c r="Q60" s="176"/>
      <c r="R60" s="185"/>
    </row>
    <row r="61" spans="1:18" ht="12" customHeight="1">
      <c r="A61" s="91"/>
      <c r="B61" s="92"/>
      <c r="C61" s="92"/>
      <c r="D61" s="104"/>
      <c r="E61" s="105"/>
      <c r="F61" s="105"/>
      <c r="G61" s="105"/>
      <c r="H61" s="105"/>
      <c r="I61" s="99"/>
      <c r="J61" s="176"/>
      <c r="K61" s="253"/>
      <c r="L61" s="254"/>
      <c r="M61" s="254"/>
      <c r="N61" s="254"/>
      <c r="O61" s="254"/>
      <c r="P61" s="255"/>
      <c r="Q61" s="176"/>
      <c r="R61" s="190"/>
    </row>
    <row r="62" spans="1:18" ht="12" customHeight="1">
      <c r="A62" s="91"/>
      <c r="B62" s="92"/>
      <c r="C62" s="92"/>
      <c r="D62" s="104"/>
      <c r="E62" s="105"/>
      <c r="F62" s="105"/>
      <c r="G62" s="105"/>
      <c r="H62" s="105"/>
      <c r="I62" s="99"/>
      <c r="J62" s="176"/>
      <c r="K62" s="78"/>
      <c r="L62" s="176"/>
      <c r="M62" s="176"/>
      <c r="N62" s="176"/>
      <c r="O62" s="176"/>
      <c r="P62" s="176"/>
      <c r="Q62" s="176"/>
      <c r="R62" s="185"/>
    </row>
    <row r="63" spans="1:18" ht="12" customHeight="1">
      <c r="A63" s="91"/>
      <c r="B63" s="92"/>
      <c r="C63" s="92"/>
      <c r="D63" s="104"/>
      <c r="E63" s="105"/>
      <c r="F63" s="105"/>
      <c r="G63" s="105"/>
      <c r="H63" s="105"/>
      <c r="I63" s="99"/>
      <c r="J63" s="176"/>
      <c r="K63" s="176"/>
      <c r="L63" s="176"/>
      <c r="M63" s="176"/>
      <c r="N63" s="176"/>
      <c r="O63" s="176"/>
      <c r="P63" s="176"/>
      <c r="Q63" s="176"/>
      <c r="R63" s="190"/>
    </row>
    <row r="64" spans="1:18" ht="12" customHeight="1">
      <c r="A64" s="118"/>
      <c r="B64" s="134"/>
      <c r="C64" s="134"/>
      <c r="D64" s="147"/>
      <c r="E64" s="148"/>
      <c r="F64" s="148"/>
      <c r="G64" s="148"/>
      <c r="H64" s="148"/>
      <c r="I64" s="123"/>
      <c r="J64" s="78"/>
      <c r="K64" s="187" t="str">
        <f>B65&amp;" "&amp;$F$7</f>
        <v>Arbeitskosten pro Woche</v>
      </c>
      <c r="L64" s="188"/>
      <c r="M64" s="188"/>
      <c r="N64" s="188"/>
      <c r="O64" s="188"/>
      <c r="P64" s="189"/>
      <c r="Q64" s="78"/>
      <c r="R64" s="185"/>
    </row>
    <row r="65" spans="1:18" ht="12" customHeight="1">
      <c r="A65" s="118"/>
      <c r="B65" s="135" t="s">
        <v>7</v>
      </c>
      <c r="C65" s="135"/>
      <c r="D65" s="199"/>
      <c r="E65" s="201" t="s">
        <v>58</v>
      </c>
      <c r="F65" s="202" t="s">
        <v>40</v>
      </c>
      <c r="G65" s="199" t="s">
        <v>49</v>
      </c>
      <c r="H65" s="199" t="s">
        <v>37</v>
      </c>
      <c r="I65" s="118"/>
      <c r="J65" s="78"/>
      <c r="K65" s="247" t="str">
        <f>K64&amp;" = "&amp;B66&amp;" x 
                                                   "&amp;B67</f>
        <v>Arbeitskosten pro Woche = Arbeitszeitbedarf für Herstellung und Abfüllung x 
                                                   Lohnansatz</v>
      </c>
      <c r="L65" s="248"/>
      <c r="M65" s="248"/>
      <c r="N65" s="248"/>
      <c r="O65" s="248"/>
      <c r="P65" s="249"/>
      <c r="Q65" s="78"/>
      <c r="R65" s="190"/>
    </row>
    <row r="66" spans="1:18" ht="12" customHeight="1" thickBot="1">
      <c r="A66" s="118"/>
      <c r="B66" s="128" t="str">
        <f>IF(Dateneingabe!B42="","",Dateneingabe!B42)</f>
        <v>Arbeitszeitbedarf für Herstellung und Abfüllung</v>
      </c>
      <c r="C66" s="128"/>
      <c r="D66" s="157"/>
      <c r="E66" s="158">
        <f>IF(Dateneingabe!F42="","",Dateneingabe!F42)</f>
        <v>20</v>
      </c>
      <c r="F66" s="159" t="str">
        <f>IF(Dateneingabe!H42="","",Dateneingabe!H42)</f>
        <v>/600 lt</v>
      </c>
      <c r="G66" s="160"/>
      <c r="H66" s="160"/>
      <c r="I66" s="118"/>
      <c r="J66" s="78"/>
      <c r="K66" s="247"/>
      <c r="L66" s="248"/>
      <c r="M66" s="248"/>
      <c r="N66" s="248"/>
      <c r="O66" s="248"/>
      <c r="P66" s="249"/>
      <c r="Q66" s="78"/>
      <c r="R66" s="185"/>
    </row>
    <row r="67" spans="1:18" ht="12" customHeight="1" thickBot="1">
      <c r="A67" s="118"/>
      <c r="B67" s="128" t="str">
        <f>IF(Dateneingabe!B44="","",Dateneingabe!B44)</f>
        <v>Lohnansatz</v>
      </c>
      <c r="C67" s="128"/>
      <c r="D67" s="161"/>
      <c r="E67" s="162">
        <f>IF(Dateneingabe!F44="","",Dateneingabe!F44)</f>
        <v>8</v>
      </c>
      <c r="F67" s="163" t="str">
        <f>IF(Dateneingabe!H44="","",Dateneingabe!H44)</f>
        <v>je Akh</v>
      </c>
      <c r="G67" s="164">
        <f>E66*E67</f>
        <v>160</v>
      </c>
      <c r="H67" s="142"/>
      <c r="I67" s="118"/>
      <c r="J67" s="78"/>
      <c r="K67" s="194" t="str">
        <f>K64&amp;" = "&amp;FIXED(E66,2)&amp;" x "&amp;DOLLAR(E67,2)&amp;" = "&amp;DOLLAR(E66*E67,2)</f>
        <v>Arbeitskosten pro Woche = 20,00 x 8,00 € = 160,00 €</v>
      </c>
      <c r="L67" s="195"/>
      <c r="M67" s="195"/>
      <c r="N67" s="195"/>
      <c r="O67" s="195"/>
      <c r="P67" s="196"/>
      <c r="Q67" s="78"/>
      <c r="R67" s="190"/>
    </row>
    <row r="68" spans="1:18" ht="12" customHeight="1" thickBot="1">
      <c r="A68" s="118"/>
      <c r="B68" s="143" t="s">
        <v>16</v>
      </c>
      <c r="C68" s="143"/>
      <c r="D68" s="144"/>
      <c r="E68" s="145"/>
      <c r="F68" s="145"/>
      <c r="G68" s="146">
        <f>SUM(G67)</f>
        <v>160</v>
      </c>
      <c r="H68" s="165">
        <f>IF(OR(G68="",$F$10=""),"",G68/$F$10)</f>
        <v>0.06666666666666667</v>
      </c>
      <c r="I68" s="118"/>
      <c r="J68" s="78"/>
      <c r="K68" s="78"/>
      <c r="L68" s="78"/>
      <c r="M68" s="78"/>
      <c r="N68" s="78"/>
      <c r="O68" s="78"/>
      <c r="P68" s="78"/>
      <c r="Q68" s="78"/>
      <c r="R68" s="185"/>
    </row>
    <row r="69" spans="1:18" ht="12" customHeight="1">
      <c r="A69" s="118"/>
      <c r="B69" s="134"/>
      <c r="C69" s="134"/>
      <c r="D69" s="147"/>
      <c r="E69" s="148"/>
      <c r="F69" s="148"/>
      <c r="G69" s="148"/>
      <c r="H69" s="148"/>
      <c r="I69" s="123"/>
      <c r="J69" s="78"/>
      <c r="K69" s="187" t="str">
        <f>"∑ "&amp;B65&amp;" "&amp;$F$30</f>
        <v>∑ Arbeitskosten pro lt</v>
      </c>
      <c r="L69" s="188"/>
      <c r="M69" s="188"/>
      <c r="N69" s="188"/>
      <c r="O69" s="188"/>
      <c r="P69" s="189"/>
      <c r="Q69" s="78"/>
      <c r="R69" s="190"/>
    </row>
    <row r="70" spans="1:18" ht="12" customHeight="1">
      <c r="A70" s="91"/>
      <c r="B70" s="92"/>
      <c r="C70" s="92"/>
      <c r="D70" s="104"/>
      <c r="E70" s="105"/>
      <c r="F70" s="105"/>
      <c r="G70" s="105"/>
      <c r="H70" s="105"/>
      <c r="I70" s="99"/>
      <c r="J70" s="78"/>
      <c r="K70" s="247" t="str">
        <f>K69&amp;" = "&amp;K74&amp;" : 
                                                  "&amp;$B$9&amp;" "&amp;$C$10</f>
        <v>∑ Arbeitskosten pro lt = ∑ Arbeitskosten pro Woche : 
                                                  Verkaufsmenge in Gläsern</v>
      </c>
      <c r="L70" s="248"/>
      <c r="M70" s="248"/>
      <c r="N70" s="248"/>
      <c r="O70" s="248"/>
      <c r="P70" s="249"/>
      <c r="Q70" s="78"/>
      <c r="R70" s="185"/>
    </row>
    <row r="71" spans="1:18" ht="12" customHeight="1">
      <c r="A71" s="91"/>
      <c r="B71" s="92"/>
      <c r="C71" s="92"/>
      <c r="D71" s="104"/>
      <c r="E71" s="105"/>
      <c r="F71" s="105"/>
      <c r="G71" s="105"/>
      <c r="H71" s="105"/>
      <c r="I71" s="99"/>
      <c r="J71" s="78"/>
      <c r="K71" s="247"/>
      <c r="L71" s="248"/>
      <c r="M71" s="248"/>
      <c r="N71" s="248"/>
      <c r="O71" s="248"/>
      <c r="P71" s="249"/>
      <c r="Q71" s="78"/>
      <c r="R71" s="190"/>
    </row>
    <row r="72" spans="1:18" ht="12" customHeight="1">
      <c r="A72" s="91"/>
      <c r="B72" s="92"/>
      <c r="C72" s="92"/>
      <c r="D72" s="104"/>
      <c r="E72" s="105"/>
      <c r="F72" s="105"/>
      <c r="G72" s="105"/>
      <c r="H72" s="105"/>
      <c r="I72" s="99"/>
      <c r="J72" s="78"/>
      <c r="K72" s="194" t="str">
        <f>K69&amp;" = "&amp;DOLLAR(G68,2)&amp;" : "&amp;FIXED($F$10,0)&amp;" = "&amp;DOLLAR(G68/$F$10,3)</f>
        <v>∑ Arbeitskosten pro lt = 160,00 € : 2 400 = 0,067 €</v>
      </c>
      <c r="L72" s="195"/>
      <c r="M72" s="195"/>
      <c r="N72" s="195"/>
      <c r="O72" s="195"/>
      <c r="P72" s="196"/>
      <c r="Q72" s="78"/>
      <c r="R72" s="185"/>
    </row>
    <row r="73" spans="1:18" ht="12" customHeight="1">
      <c r="A73" s="91"/>
      <c r="B73" s="92"/>
      <c r="C73" s="92"/>
      <c r="D73" s="104"/>
      <c r="E73" s="105"/>
      <c r="F73" s="105"/>
      <c r="G73" s="105"/>
      <c r="H73" s="105"/>
      <c r="I73" s="99"/>
      <c r="J73" s="78"/>
      <c r="K73" s="78"/>
      <c r="L73" s="78"/>
      <c r="M73" s="78"/>
      <c r="N73" s="78"/>
      <c r="O73" s="78"/>
      <c r="P73" s="78"/>
      <c r="Q73" s="78"/>
      <c r="R73" s="190"/>
    </row>
    <row r="74" spans="1:18" ht="12" customHeight="1">
      <c r="A74" s="91"/>
      <c r="B74" s="92"/>
      <c r="C74" s="92"/>
      <c r="D74" s="104"/>
      <c r="E74" s="105"/>
      <c r="F74" s="105"/>
      <c r="G74" s="105"/>
      <c r="H74" s="105"/>
      <c r="I74" s="99"/>
      <c r="J74" s="78"/>
      <c r="K74" s="187" t="str">
        <f>"∑ "&amp;B65&amp;" "&amp;$F$7</f>
        <v>∑ Arbeitskosten pro Woche</v>
      </c>
      <c r="L74" s="188"/>
      <c r="M74" s="188"/>
      <c r="N74" s="188"/>
      <c r="O74" s="188"/>
      <c r="P74" s="189"/>
      <c r="Q74" s="78"/>
      <c r="R74" s="185"/>
    </row>
    <row r="75" spans="1:18" ht="12" customHeight="1">
      <c r="A75" s="91"/>
      <c r="B75" s="92"/>
      <c r="C75" s="92"/>
      <c r="D75" s="104"/>
      <c r="E75" s="105"/>
      <c r="F75" s="105"/>
      <c r="G75" s="105"/>
      <c r="H75" s="105"/>
      <c r="I75" s="99"/>
      <c r="J75" s="78"/>
      <c r="K75" s="198" t="str">
        <f>K74&amp;" = "&amp;K64</f>
        <v>∑ Arbeitskosten pro Woche = Arbeitskosten pro Woche</v>
      </c>
      <c r="L75" s="192"/>
      <c r="M75" s="192"/>
      <c r="N75" s="192"/>
      <c r="O75" s="192"/>
      <c r="P75" s="193"/>
      <c r="Q75" s="78"/>
      <c r="R75" s="190"/>
    </row>
    <row r="76" spans="1:18" ht="12" customHeight="1">
      <c r="A76" s="91"/>
      <c r="B76" s="92"/>
      <c r="C76" s="92"/>
      <c r="D76" s="104"/>
      <c r="E76" s="105"/>
      <c r="F76" s="105"/>
      <c r="G76" s="105"/>
      <c r="H76" s="105"/>
      <c r="I76" s="99"/>
      <c r="J76" s="78"/>
      <c r="K76" s="194" t="str">
        <f>K74&amp;" = "&amp;DOLLAR(G67,2)</f>
        <v>∑ Arbeitskosten pro Woche = 160,00 €</v>
      </c>
      <c r="L76" s="195"/>
      <c r="M76" s="195"/>
      <c r="N76" s="195"/>
      <c r="O76" s="195"/>
      <c r="P76" s="196"/>
      <c r="Q76" s="78"/>
      <c r="R76" s="185"/>
    </row>
    <row r="77" spans="1:18" ht="12" customHeight="1">
      <c r="A77" s="91"/>
      <c r="B77" s="92"/>
      <c r="C77" s="92"/>
      <c r="D77" s="104"/>
      <c r="E77" s="105"/>
      <c r="F77" s="105"/>
      <c r="G77" s="105"/>
      <c r="H77" s="105"/>
      <c r="I77" s="99"/>
      <c r="J77" s="78"/>
      <c r="K77" s="78"/>
      <c r="L77" s="78"/>
      <c r="M77" s="78"/>
      <c r="N77" s="78"/>
      <c r="O77" s="78"/>
      <c r="P77" s="78"/>
      <c r="Q77" s="78"/>
      <c r="R77" s="190"/>
    </row>
    <row r="78" spans="1:18" ht="12" customHeight="1">
      <c r="A78" s="91"/>
      <c r="B78" s="92"/>
      <c r="C78" s="92"/>
      <c r="D78" s="104"/>
      <c r="E78" s="105"/>
      <c r="F78" s="105"/>
      <c r="G78" s="105"/>
      <c r="H78" s="105"/>
      <c r="I78" s="99"/>
      <c r="J78" s="176"/>
      <c r="K78" s="176"/>
      <c r="L78" s="176"/>
      <c r="M78" s="176"/>
      <c r="N78" s="176"/>
      <c r="O78" s="176"/>
      <c r="P78" s="176"/>
      <c r="Q78" s="176"/>
      <c r="R78" s="185"/>
    </row>
    <row r="79" spans="1:18" ht="12" customHeight="1">
      <c r="A79" s="118"/>
      <c r="B79" s="134"/>
      <c r="C79" s="134"/>
      <c r="D79" s="147"/>
      <c r="E79" s="148"/>
      <c r="F79" s="148"/>
      <c r="G79" s="148"/>
      <c r="H79" s="148"/>
      <c r="I79" s="123"/>
      <c r="J79" s="176"/>
      <c r="K79" s="187" t="str">
        <f>B80&amp;" "&amp;$F$7</f>
        <v>Fixkosten pro Woche</v>
      </c>
      <c r="L79" s="188"/>
      <c r="M79" s="188"/>
      <c r="N79" s="188"/>
      <c r="O79" s="188"/>
      <c r="P79" s="189"/>
      <c r="Q79" s="176"/>
      <c r="R79" s="190"/>
    </row>
    <row r="80" spans="1:18" ht="12" customHeight="1" thickBot="1">
      <c r="A80" s="118"/>
      <c r="B80" s="135" t="s">
        <v>3</v>
      </c>
      <c r="C80" s="135"/>
      <c r="D80" s="137"/>
      <c r="E80" s="201" t="s">
        <v>63</v>
      </c>
      <c r="F80" s="202" t="s">
        <v>64</v>
      </c>
      <c r="G80" s="199" t="s">
        <v>49</v>
      </c>
      <c r="H80" s="199" t="s">
        <v>37</v>
      </c>
      <c r="I80" s="118"/>
      <c r="J80" s="176"/>
      <c r="K80" s="198" t="str">
        <f>K79&amp;" = "&amp;E80&amp;"/"&amp;MID(F80,3,6)&amp;" : 52 Wochen"</f>
        <v>Fixkosten pro Woche = FK/Jahr : 52 Wochen</v>
      </c>
      <c r="L80" s="192"/>
      <c r="M80" s="192"/>
      <c r="N80" s="192"/>
      <c r="O80" s="192"/>
      <c r="P80" s="193"/>
      <c r="Q80" s="176"/>
      <c r="R80" s="185"/>
    </row>
    <row r="81" spans="1:18" ht="12" customHeight="1" thickBot="1">
      <c r="A81" s="123"/>
      <c r="B81" s="166" t="str">
        <f>IF(Dateneingabe!B47="","",Dateneingabe!B47)</f>
        <v>Verarbeitungsraum (anteilig)</v>
      </c>
      <c r="C81" s="166"/>
      <c r="D81" s="166"/>
      <c r="E81" s="139">
        <f>IF(Dateneingabe!F47="","",Dateneingabe!F47)</f>
        <v>1400</v>
      </c>
      <c r="F81" s="167" t="str">
        <f>IF(Dateneingabe!H47="","",Dateneingabe!H47)</f>
        <v>/Jahr</v>
      </c>
      <c r="G81" s="177">
        <f>IF(E81="","",E81/52)</f>
        <v>26.923076923076923</v>
      </c>
      <c r="H81" s="142"/>
      <c r="I81" s="123"/>
      <c r="J81" s="176"/>
      <c r="K81" s="203" t="s">
        <v>61</v>
      </c>
      <c r="L81" s="204" t="str">
        <f>IF(E81="","","Fixkosten "&amp;B81&amp;" = "&amp;DOLLAR(E81,2)&amp;" : "&amp;52&amp;" = "&amp;DOLLAR(E81/52,2))</f>
        <v>Fixkosten Verarbeitungsraum (anteilig) = 1 400,00 € : 52 = 26,92 €</v>
      </c>
      <c r="M81" s="204"/>
      <c r="N81" s="204"/>
      <c r="O81" s="204"/>
      <c r="P81" s="205"/>
      <c r="Q81" s="176"/>
      <c r="R81" s="190"/>
    </row>
    <row r="82" spans="1:18" ht="12" customHeight="1" thickBot="1">
      <c r="A82" s="123"/>
      <c r="B82" s="166" t="str">
        <f>IF(Dateneingabe!B49="","",Dateneingabe!B49)</f>
        <v>Pasteur (anteilig)</v>
      </c>
      <c r="C82" s="166"/>
      <c r="D82" s="166"/>
      <c r="E82" s="139">
        <f>IF(Dateneingabe!F49="","",Dateneingabe!F49)</f>
        <v>900</v>
      </c>
      <c r="F82" s="167" t="str">
        <f>IF(Dateneingabe!H49="","",Dateneingabe!H49)</f>
        <v>/Jahr</v>
      </c>
      <c r="G82" s="177">
        <f>IF(E82="","",E82/52)</f>
        <v>17.307692307692307</v>
      </c>
      <c r="H82" s="142"/>
      <c r="I82" s="123"/>
      <c r="J82" s="176"/>
      <c r="K82" s="203"/>
      <c r="L82" s="204" t="str">
        <f>IF(E82="","","Fixkosten "&amp;B82&amp;" = "&amp;DOLLAR(E82,2)&amp;" : "&amp;52&amp;" = "&amp;DOLLAR(E82/52,2))</f>
        <v>Fixkosten Pasteur (anteilig) = 900,00 € : 52 = 17,31 €</v>
      </c>
      <c r="M82" s="204"/>
      <c r="N82" s="204"/>
      <c r="O82" s="204"/>
      <c r="P82" s="205"/>
      <c r="Q82" s="176"/>
      <c r="R82" s="185"/>
    </row>
    <row r="83" spans="1:18" ht="12" customHeight="1" thickBot="1">
      <c r="A83" s="123"/>
      <c r="B83" s="166" t="str">
        <f>IF(Dateneingabe!B51="","",Dateneingabe!B51)</f>
        <v>Kühlschrank und Geschirrspüler</v>
      </c>
      <c r="C83" s="166"/>
      <c r="D83" s="166"/>
      <c r="E83" s="139">
        <f>IF(Dateneingabe!F51="","",Dateneingabe!F51)</f>
        <v>700</v>
      </c>
      <c r="F83" s="167" t="str">
        <f>IF(Dateneingabe!H51="","",Dateneingabe!H51)</f>
        <v>/Jahr</v>
      </c>
      <c r="G83" s="177">
        <f>IF(E83="","",E83/52)</f>
        <v>13.461538461538462</v>
      </c>
      <c r="H83" s="142"/>
      <c r="I83" s="123"/>
      <c r="J83" s="176"/>
      <c r="K83" s="194"/>
      <c r="L83" s="206" t="str">
        <f>IF(E83="","","Fixkosten "&amp;B83&amp;" = "&amp;DOLLAR(E83,2)&amp;" : "&amp;52&amp;" = "&amp;DOLLAR(E83/52,2))</f>
        <v>Fixkosten Kühlschrank und Geschirrspüler = 700,00 € : 52 = 13,46 €</v>
      </c>
      <c r="M83" s="206"/>
      <c r="N83" s="206"/>
      <c r="O83" s="206"/>
      <c r="P83" s="207"/>
      <c r="Q83" s="176"/>
      <c r="R83" s="190"/>
    </row>
    <row r="84" spans="1:18" ht="12" customHeight="1" thickBot="1">
      <c r="A84" s="118"/>
      <c r="B84" s="143" t="s">
        <v>18</v>
      </c>
      <c r="C84" s="143"/>
      <c r="D84" s="144"/>
      <c r="E84" s="145"/>
      <c r="F84" s="145"/>
      <c r="G84" s="146">
        <f>SUM(G81:G83)</f>
        <v>57.692307692307686</v>
      </c>
      <c r="H84" s="165">
        <f>IF(OR(G84="",$F$10=""),"",G84/$F$10)</f>
        <v>0.024038461538461536</v>
      </c>
      <c r="I84" s="118"/>
      <c r="J84" s="176"/>
      <c r="K84" s="176"/>
      <c r="L84" s="176"/>
      <c r="M84" s="176"/>
      <c r="N84" s="176"/>
      <c r="O84" s="176"/>
      <c r="P84" s="176"/>
      <c r="Q84" s="176"/>
      <c r="R84" s="185"/>
    </row>
    <row r="85" spans="1:18" ht="12" customHeight="1" thickBot="1">
      <c r="A85" s="168"/>
      <c r="B85" s="169" t="s">
        <v>28</v>
      </c>
      <c r="C85" s="169"/>
      <c r="D85" s="169"/>
      <c r="E85" s="169"/>
      <c r="F85" s="169"/>
      <c r="G85" s="170">
        <f>SUM(G31,G50,G68,G84)</f>
        <v>1175.8423076923077</v>
      </c>
      <c r="H85" s="170">
        <f>SUM(H31,H50,H68,H84)</f>
        <v>0.48993429487179485</v>
      </c>
      <c r="I85" s="168"/>
      <c r="J85" s="78"/>
      <c r="K85" s="187" t="str">
        <f>"∑ "&amp;B80&amp;" "&amp;$F$30</f>
        <v>∑ Fixkosten pro lt</v>
      </c>
      <c r="L85" s="188"/>
      <c r="M85" s="188"/>
      <c r="N85" s="188"/>
      <c r="O85" s="188"/>
      <c r="P85" s="189"/>
      <c r="Q85" s="78"/>
      <c r="R85" s="190"/>
    </row>
    <row r="86" spans="1:18" ht="12" customHeight="1">
      <c r="A86" s="168"/>
      <c r="B86" s="134"/>
      <c r="C86" s="134"/>
      <c r="D86" s="134"/>
      <c r="E86" s="134"/>
      <c r="F86" s="134"/>
      <c r="G86" s="171"/>
      <c r="H86" s="171"/>
      <c r="I86" s="168"/>
      <c r="J86" s="78"/>
      <c r="K86" s="247" t="str">
        <f>K85&amp;" = "&amp;K90&amp;" : 
                                         "&amp;$B$9&amp;" "&amp;$C$10</f>
        <v>∑ Fixkosten pro lt = ∑ Fixkosten pro Woche : 
                                         Verkaufsmenge in Gläsern</v>
      </c>
      <c r="L86" s="248"/>
      <c r="M86" s="248"/>
      <c r="N86" s="248"/>
      <c r="O86" s="248"/>
      <c r="P86" s="249"/>
      <c r="Q86" s="78"/>
      <c r="R86" s="185"/>
    </row>
    <row r="87" spans="1:18" ht="12" customHeight="1">
      <c r="A87" s="92"/>
      <c r="B87" s="92"/>
      <c r="C87" s="92"/>
      <c r="D87" s="92"/>
      <c r="E87" s="92"/>
      <c r="F87" s="92"/>
      <c r="G87" s="208"/>
      <c r="H87" s="208"/>
      <c r="I87" s="92"/>
      <c r="J87" s="78"/>
      <c r="K87" s="247"/>
      <c r="L87" s="248"/>
      <c r="M87" s="248"/>
      <c r="N87" s="248"/>
      <c r="O87" s="248"/>
      <c r="P87" s="249"/>
      <c r="Q87" s="78"/>
      <c r="R87" s="190"/>
    </row>
    <row r="88" spans="1:18" ht="12" customHeight="1">
      <c r="A88" s="92"/>
      <c r="B88" s="92"/>
      <c r="C88" s="92"/>
      <c r="D88" s="92"/>
      <c r="E88" s="92"/>
      <c r="F88" s="92"/>
      <c r="G88" s="208"/>
      <c r="H88" s="208"/>
      <c r="I88" s="92"/>
      <c r="J88" s="78"/>
      <c r="K88" s="194" t="str">
        <f>K85&amp;" = "&amp;DOLLAR(G84,2)&amp;" : "&amp;FIXED($F$10,0)&amp;" = "&amp;DOLLAR(G84/$F$10,3)</f>
        <v>∑ Fixkosten pro lt = 57,69 € : 2 400 = 0,024 €</v>
      </c>
      <c r="L88" s="195"/>
      <c r="M88" s="195"/>
      <c r="N88" s="195"/>
      <c r="O88" s="195"/>
      <c r="P88" s="196"/>
      <c r="Q88" s="78"/>
      <c r="R88" s="185"/>
    </row>
    <row r="89" spans="1:18" ht="12" customHeight="1">
      <c r="A89" s="92"/>
      <c r="B89" s="92"/>
      <c r="C89" s="92"/>
      <c r="D89" s="92"/>
      <c r="E89" s="92"/>
      <c r="F89" s="92"/>
      <c r="G89" s="208"/>
      <c r="H89" s="208"/>
      <c r="I89" s="92"/>
      <c r="J89" s="78"/>
      <c r="K89" s="78"/>
      <c r="L89" s="78"/>
      <c r="M89" s="78"/>
      <c r="N89" s="78"/>
      <c r="O89" s="78"/>
      <c r="P89" s="78"/>
      <c r="Q89" s="78"/>
      <c r="R89" s="190"/>
    </row>
    <row r="90" spans="1:18" ht="12" customHeight="1">
      <c r="A90" s="92"/>
      <c r="B90" s="92"/>
      <c r="C90" s="92"/>
      <c r="D90" s="92"/>
      <c r="E90" s="92"/>
      <c r="F90" s="92"/>
      <c r="G90" s="208"/>
      <c r="H90" s="208"/>
      <c r="I90" s="92"/>
      <c r="J90" s="78"/>
      <c r="K90" s="187" t="str">
        <f>"∑ "&amp;B80&amp;" "&amp;$F$7</f>
        <v>∑ Fixkosten pro Woche</v>
      </c>
      <c r="L90" s="188"/>
      <c r="M90" s="188"/>
      <c r="N90" s="188"/>
      <c r="O90" s="188"/>
      <c r="P90" s="189"/>
      <c r="Q90" s="78"/>
      <c r="R90" s="185"/>
    </row>
    <row r="91" spans="1:18" ht="12" customHeight="1">
      <c r="A91" s="92"/>
      <c r="B91" s="92"/>
      <c r="C91" s="92"/>
      <c r="D91" s="92"/>
      <c r="E91" s="92"/>
      <c r="F91" s="92"/>
      <c r="G91" s="208"/>
      <c r="H91" s="208"/>
      <c r="I91" s="92"/>
      <c r="J91" s="78"/>
      <c r="K91" s="247" t="str">
        <f>K90&amp;" = "&amp;IF(B81="","",B80&amp;" "&amp;B81)&amp;IF(B82="",""," + "&amp;B80&amp;" "&amp;B82)&amp;IF(B83="",""," + 
                                              "&amp;B80&amp;" "&amp;B83)</f>
        <v>∑ Fixkosten pro Woche = Fixkosten Verarbeitungsraum (anteilig) + Fixkosten Pasteur (anteilig) + 
                                              Fixkosten Kühlschrank und Geschirrspüler</v>
      </c>
      <c r="L91" s="248"/>
      <c r="M91" s="248"/>
      <c r="N91" s="248"/>
      <c r="O91" s="248"/>
      <c r="P91" s="249"/>
      <c r="Q91" s="78"/>
      <c r="R91" s="190"/>
    </row>
    <row r="92" spans="1:18" ht="12" customHeight="1">
      <c r="A92" s="92"/>
      <c r="B92" s="92"/>
      <c r="C92" s="92"/>
      <c r="D92" s="92"/>
      <c r="E92" s="92"/>
      <c r="F92" s="92"/>
      <c r="G92" s="208"/>
      <c r="H92" s="208"/>
      <c r="I92" s="92"/>
      <c r="J92" s="78"/>
      <c r="K92" s="247"/>
      <c r="L92" s="248"/>
      <c r="M92" s="248"/>
      <c r="N92" s="248"/>
      <c r="O92" s="248"/>
      <c r="P92" s="249"/>
      <c r="Q92" s="78"/>
      <c r="R92" s="185"/>
    </row>
    <row r="93" spans="1:18" ht="12" customHeight="1">
      <c r="A93" s="92"/>
      <c r="B93" s="92"/>
      <c r="C93" s="92"/>
      <c r="D93" s="92"/>
      <c r="E93" s="92"/>
      <c r="F93" s="92"/>
      <c r="G93" s="208"/>
      <c r="H93" s="208"/>
      <c r="I93" s="92"/>
      <c r="J93" s="78"/>
      <c r="K93" s="194" t="str">
        <f>K90&amp;" = "&amp;IF(E81="","",DOLLAR(G81,2))&amp;IF(E82="",""," + "&amp;DOLLAR(G82,2))&amp;IF(E83="",""," + "&amp;DOLLAR(G83,2))&amp;" = "&amp;DOLLAR(SUM(G81:G83),2)</f>
        <v>∑ Fixkosten pro Woche = 26,92 € + 17,31 € + 13,46 € = 57,69 €</v>
      </c>
      <c r="L93" s="195"/>
      <c r="M93" s="195"/>
      <c r="N93" s="195"/>
      <c r="O93" s="195"/>
      <c r="P93" s="196"/>
      <c r="Q93" s="78"/>
      <c r="R93" s="190"/>
    </row>
    <row r="94" spans="1:18" ht="12" customHeight="1">
      <c r="A94" s="92"/>
      <c r="B94" s="92"/>
      <c r="C94" s="92"/>
      <c r="D94" s="92"/>
      <c r="E94" s="92"/>
      <c r="F94" s="92"/>
      <c r="G94" s="208"/>
      <c r="H94" s="208"/>
      <c r="I94" s="92"/>
      <c r="J94" s="176"/>
      <c r="K94" s="176"/>
      <c r="L94" s="176"/>
      <c r="M94" s="176"/>
      <c r="N94" s="176"/>
      <c r="O94" s="176"/>
      <c r="P94" s="176"/>
      <c r="Q94" s="176"/>
      <c r="R94" s="185"/>
    </row>
    <row r="95" spans="1:18" ht="12" customHeight="1">
      <c r="A95" s="92"/>
      <c r="B95" s="92"/>
      <c r="C95" s="92"/>
      <c r="D95" s="92"/>
      <c r="E95" s="92"/>
      <c r="F95" s="92"/>
      <c r="G95" s="208"/>
      <c r="H95" s="208"/>
      <c r="I95" s="92"/>
      <c r="J95" s="78"/>
      <c r="K95" s="187" t="str">
        <f>"∑ "&amp;B85&amp;" "&amp;$F$30</f>
        <v>∑ Herstellungskosten pro lt</v>
      </c>
      <c r="L95" s="188"/>
      <c r="M95" s="188"/>
      <c r="N95" s="188"/>
      <c r="O95" s="188"/>
      <c r="P95" s="189"/>
      <c r="Q95" s="78"/>
      <c r="R95" s="190"/>
    </row>
    <row r="96" spans="1:18" ht="12" customHeight="1">
      <c r="A96" s="92"/>
      <c r="B96" s="92"/>
      <c r="C96" s="92"/>
      <c r="D96" s="92"/>
      <c r="E96" s="92"/>
      <c r="F96" s="92"/>
      <c r="G96" s="208"/>
      <c r="H96" s="208"/>
      <c r="I96" s="92"/>
      <c r="J96" s="78"/>
      <c r="K96" s="247" t="str">
        <f>K95&amp;" = "&amp;K100&amp;" : 
                                                            "&amp;$B$9&amp;" "&amp;$C$10</f>
        <v>∑ Herstellungskosten pro lt = ∑ Herstellungskosten pro Woche : 
                                                            Verkaufsmenge in Gläsern</v>
      </c>
      <c r="L96" s="248"/>
      <c r="M96" s="248"/>
      <c r="N96" s="248"/>
      <c r="O96" s="248"/>
      <c r="P96" s="249"/>
      <c r="Q96" s="78"/>
      <c r="R96" s="185"/>
    </row>
    <row r="97" spans="1:18" ht="12" customHeight="1">
      <c r="A97" s="92"/>
      <c r="B97" s="92"/>
      <c r="C97" s="92"/>
      <c r="D97" s="92"/>
      <c r="E97" s="92"/>
      <c r="F97" s="92"/>
      <c r="G97" s="208"/>
      <c r="H97" s="208"/>
      <c r="I97" s="92"/>
      <c r="J97" s="78"/>
      <c r="K97" s="247"/>
      <c r="L97" s="248"/>
      <c r="M97" s="248"/>
      <c r="N97" s="248"/>
      <c r="O97" s="248"/>
      <c r="P97" s="249"/>
      <c r="Q97" s="78"/>
      <c r="R97" s="190"/>
    </row>
    <row r="98" spans="1:18" ht="12" customHeight="1">
      <c r="A98" s="92"/>
      <c r="B98" s="92"/>
      <c r="C98" s="92"/>
      <c r="D98" s="92"/>
      <c r="E98" s="92"/>
      <c r="F98" s="92"/>
      <c r="G98" s="208"/>
      <c r="H98" s="208"/>
      <c r="I98" s="92"/>
      <c r="J98" s="78"/>
      <c r="K98" s="194" t="str">
        <f>K95&amp;" = "&amp;DOLLAR(G94,2)&amp;" : "&amp;FIXED($F$10,0)&amp;" = "&amp;DOLLAR(G94/$F$10,3)</f>
        <v>∑ Herstellungskosten pro lt = 0,00 € : 2 400 = 0,000 €</v>
      </c>
      <c r="L98" s="195"/>
      <c r="M98" s="195"/>
      <c r="N98" s="195"/>
      <c r="O98" s="195"/>
      <c r="P98" s="196"/>
      <c r="Q98" s="78"/>
      <c r="R98" s="185"/>
    </row>
    <row r="99" spans="1:18" ht="12" customHeight="1">
      <c r="A99" s="92"/>
      <c r="B99" s="92"/>
      <c r="C99" s="92"/>
      <c r="D99" s="92"/>
      <c r="E99" s="92"/>
      <c r="F99" s="92"/>
      <c r="G99" s="208"/>
      <c r="H99" s="208"/>
      <c r="I99" s="92"/>
      <c r="J99" s="78"/>
      <c r="K99" s="78"/>
      <c r="L99" s="78"/>
      <c r="M99" s="78"/>
      <c r="N99" s="78"/>
      <c r="O99" s="78"/>
      <c r="P99" s="78"/>
      <c r="Q99" s="78"/>
      <c r="R99" s="190"/>
    </row>
    <row r="100" spans="1:18" ht="12" customHeight="1">
      <c r="A100" s="92"/>
      <c r="B100" s="92"/>
      <c r="C100" s="92"/>
      <c r="D100" s="92"/>
      <c r="E100" s="92"/>
      <c r="F100" s="92"/>
      <c r="G100" s="208"/>
      <c r="H100" s="208"/>
      <c r="I100" s="92"/>
      <c r="J100" s="78"/>
      <c r="K100" s="187" t="str">
        <f>"∑ "&amp;B85&amp;" "&amp;$F$7</f>
        <v>∑ Herstellungskosten pro Woche</v>
      </c>
      <c r="L100" s="188"/>
      <c r="M100" s="188"/>
      <c r="N100" s="188"/>
      <c r="O100" s="188"/>
      <c r="P100" s="189"/>
      <c r="Q100" s="78"/>
      <c r="R100" s="185"/>
    </row>
    <row r="101" spans="1:18" ht="12" customHeight="1">
      <c r="A101" s="92"/>
      <c r="B101" s="92"/>
      <c r="C101" s="92"/>
      <c r="D101" s="92"/>
      <c r="E101" s="92"/>
      <c r="F101" s="92"/>
      <c r="G101" s="208"/>
      <c r="H101" s="208"/>
      <c r="I101" s="92"/>
      <c r="J101" s="78"/>
      <c r="K101" s="247" t="str">
        <f>K100&amp;" = "&amp;B29&amp;" "&amp;$F$7&amp;" + 
                                                                 "&amp;B40&amp;" "&amp;$F$7&amp;" + 
                                                                 "&amp;B65&amp;" "&amp;$F$7&amp;" + "&amp;B80&amp;" "&amp;$F$7</f>
        <v>∑ Herstellungskosten pro Woche = Rohstoffkosten pro Woche + 
                                                                 Verarbeitungskosten pro Woche + 
                                                                 Arbeitskosten pro Woche + Fixkosten pro Woche</v>
      </c>
      <c r="L101" s="248"/>
      <c r="M101" s="248"/>
      <c r="N101" s="248"/>
      <c r="O101" s="248"/>
      <c r="P101" s="249"/>
      <c r="Q101" s="78"/>
      <c r="R101" s="190"/>
    </row>
    <row r="102" spans="1:18" ht="12" customHeight="1">
      <c r="A102" s="92"/>
      <c r="B102" s="92"/>
      <c r="C102" s="92"/>
      <c r="D102" s="92"/>
      <c r="E102" s="92"/>
      <c r="F102" s="92"/>
      <c r="G102" s="208"/>
      <c r="H102" s="208"/>
      <c r="I102" s="92"/>
      <c r="J102" s="78"/>
      <c r="K102" s="247"/>
      <c r="L102" s="248"/>
      <c r="M102" s="248"/>
      <c r="N102" s="248"/>
      <c r="O102" s="248"/>
      <c r="P102" s="249"/>
      <c r="Q102" s="78"/>
      <c r="R102" s="185"/>
    </row>
    <row r="103" spans="1:18" ht="12" customHeight="1">
      <c r="A103" s="92"/>
      <c r="B103" s="92"/>
      <c r="C103" s="92"/>
      <c r="D103" s="92"/>
      <c r="E103" s="92"/>
      <c r="F103" s="92"/>
      <c r="G103" s="208"/>
      <c r="H103" s="208"/>
      <c r="I103" s="92"/>
      <c r="J103" s="78"/>
      <c r="K103" s="247"/>
      <c r="L103" s="248"/>
      <c r="M103" s="248"/>
      <c r="N103" s="248"/>
      <c r="O103" s="248"/>
      <c r="P103" s="249"/>
      <c r="Q103" s="78"/>
      <c r="R103" s="190"/>
    </row>
    <row r="104" spans="1:18" ht="12" customHeight="1">
      <c r="A104" s="92"/>
      <c r="B104" s="92"/>
      <c r="C104" s="92"/>
      <c r="D104" s="92"/>
      <c r="E104" s="92"/>
      <c r="F104" s="92"/>
      <c r="G104" s="208"/>
      <c r="H104" s="208"/>
      <c r="I104" s="92"/>
      <c r="J104" s="78"/>
      <c r="K104" s="194" t="str">
        <f>K100&amp;" = "&amp;DOLLAR(G31,2)&amp;" + "&amp;DOLLAR(G50,2)&amp;" + "&amp;DOLLAR(G68,2)&amp;" + "&amp;DOLLAR(G84,2)&amp;" = "&amp;DOLLAR(SUM(G31,G50,G68,G84),2)</f>
        <v>∑ Herstellungskosten pro Woche = 180,00 € + 778,15 € + 160,00 € + 57,69 € = 1 175,84 €</v>
      </c>
      <c r="L104" s="195"/>
      <c r="M104" s="195"/>
      <c r="N104" s="195"/>
      <c r="O104" s="195"/>
      <c r="P104" s="196"/>
      <c r="Q104" s="78"/>
      <c r="R104" s="185"/>
    </row>
    <row r="105" spans="1:18" ht="12" customHeight="1">
      <c r="A105" s="92"/>
      <c r="B105" s="92"/>
      <c r="C105" s="92"/>
      <c r="D105" s="92"/>
      <c r="E105" s="92"/>
      <c r="F105" s="92"/>
      <c r="G105" s="208"/>
      <c r="H105" s="208"/>
      <c r="I105" s="92"/>
      <c r="J105" s="78"/>
      <c r="K105" s="78"/>
      <c r="L105" s="78"/>
      <c r="M105" s="78"/>
      <c r="N105" s="78"/>
      <c r="O105" s="78"/>
      <c r="P105" s="78"/>
      <c r="Q105" s="78"/>
      <c r="R105" s="190"/>
    </row>
    <row r="106" spans="1:18" ht="12" customHeight="1">
      <c r="A106" s="92"/>
      <c r="B106" s="92"/>
      <c r="C106" s="92"/>
      <c r="D106" s="92"/>
      <c r="E106" s="92"/>
      <c r="F106" s="92"/>
      <c r="G106" s="208"/>
      <c r="H106" s="208"/>
      <c r="I106" s="92"/>
      <c r="J106" s="176"/>
      <c r="K106" s="176"/>
      <c r="L106" s="176"/>
      <c r="M106" s="176"/>
      <c r="N106" s="176"/>
      <c r="O106" s="176"/>
      <c r="P106" s="176"/>
      <c r="Q106" s="176"/>
      <c r="R106" s="185"/>
    </row>
    <row r="107" spans="1:18" ht="12" customHeight="1">
      <c r="A107" s="168"/>
      <c r="B107" s="134"/>
      <c r="C107" s="134"/>
      <c r="D107" s="134"/>
      <c r="E107" s="134"/>
      <c r="F107" s="134"/>
      <c r="G107" s="171"/>
      <c r="H107" s="171"/>
      <c r="I107" s="168"/>
      <c r="J107" s="176"/>
      <c r="K107" s="187" t="str">
        <f>B108&amp;" "&amp;$F$7</f>
        <v>Gemein- und Vermarktungskosten pro Woche</v>
      </c>
      <c r="L107" s="188"/>
      <c r="M107" s="188"/>
      <c r="N107" s="188"/>
      <c r="O107" s="188"/>
      <c r="P107" s="189"/>
      <c r="Q107" s="176"/>
      <c r="R107" s="190"/>
    </row>
    <row r="108" spans="1:18" ht="12" customHeight="1" thickBot="1">
      <c r="A108" s="118"/>
      <c r="B108" s="119" t="s">
        <v>5</v>
      </c>
      <c r="C108" s="125"/>
      <c r="D108" s="125"/>
      <c r="E108" s="125"/>
      <c r="F108" s="125"/>
      <c r="G108" s="199" t="s">
        <v>49</v>
      </c>
      <c r="H108" s="199" t="s">
        <v>37</v>
      </c>
      <c r="I108" s="118"/>
      <c r="J108" s="176"/>
      <c r="K108" s="247" t="str">
        <f>K107&amp;" = 
                "&amp;B109&amp;" in %    x    "&amp;B85</f>
        <v>Gemein- und Vermarktungskosten pro Woche = 
                Gemein- und Vermarktungskostenzuschlag in %    x    Herstellungskosten</v>
      </c>
      <c r="L108" s="248"/>
      <c r="M108" s="248"/>
      <c r="N108" s="248"/>
      <c r="O108" s="248"/>
      <c r="P108" s="249"/>
      <c r="Q108" s="176"/>
      <c r="R108" s="185"/>
    </row>
    <row r="109" spans="1:18" ht="12" customHeight="1" thickBot="1">
      <c r="A109" s="123"/>
      <c r="B109" s="166" t="str">
        <f>IF(Dateneingabe!B54="","",Dateneingabe!B54)</f>
        <v>Gemein- und Vermarktungskostenzuschlag</v>
      </c>
      <c r="C109" s="166"/>
      <c r="D109" s="166"/>
      <c r="E109" s="172">
        <f>IF(Dateneingabe!F54="","",Dateneingabe!F54)</f>
        <v>0.02</v>
      </c>
      <c r="F109" s="173" t="str">
        <f>IF(Dateneingabe!H54="","",Dateneingabe!H54)</f>
        <v>der Herstellungskosten</v>
      </c>
      <c r="G109" s="141">
        <f>G85*E109</f>
        <v>23.516846153846156</v>
      </c>
      <c r="H109" s="142"/>
      <c r="I109" s="123"/>
      <c r="J109" s="176"/>
      <c r="K109" s="247"/>
      <c r="L109" s="248"/>
      <c r="M109" s="248"/>
      <c r="N109" s="248"/>
      <c r="O109" s="248"/>
      <c r="P109" s="249"/>
      <c r="Q109" s="176"/>
      <c r="R109" s="190"/>
    </row>
    <row r="110" spans="1:18" ht="12" customHeight="1" thickBot="1">
      <c r="A110" s="168"/>
      <c r="B110" s="169" t="s">
        <v>29</v>
      </c>
      <c r="C110" s="169"/>
      <c r="D110" s="169"/>
      <c r="E110" s="169"/>
      <c r="F110" s="169"/>
      <c r="G110" s="170">
        <f>SUM(G85,G109)</f>
        <v>1199.359153846154</v>
      </c>
      <c r="H110" s="170">
        <f>IF(OR(G110="",$F$10=""),"",G110/$F$10)</f>
        <v>0.49973298076923084</v>
      </c>
      <c r="I110" s="168"/>
      <c r="J110" s="176"/>
      <c r="K110" s="194" t="str">
        <f>K107&amp;" = "&amp;FIXED(E109*100,2)&amp;" % x "&amp;DOLLAR(G85,2)&amp;" = "&amp;DOLLAR(E109*G85,2)</f>
        <v>Gemein- und Vermarktungskosten pro Woche = 2,00 % x 1 175,84 € = 23,52 €</v>
      </c>
      <c r="L110" s="195"/>
      <c r="M110" s="195"/>
      <c r="N110" s="195"/>
      <c r="O110" s="195"/>
      <c r="P110" s="196"/>
      <c r="Q110" s="176"/>
      <c r="R110" s="185"/>
    </row>
    <row r="111" spans="1:18" ht="12" customHeight="1" thickBot="1">
      <c r="A111" s="123"/>
      <c r="B111" s="166" t="str">
        <f>IF(Dateneingabe!B56="","",Dateneingabe!B56)</f>
        <v>Gewinn- und Risikozuschlag</v>
      </c>
      <c r="C111" s="166"/>
      <c r="D111" s="166"/>
      <c r="E111" s="172">
        <f>IF(Dateneingabe!F56="","",Dateneingabe!F56)</f>
        <v>0.03</v>
      </c>
      <c r="F111" s="174" t="str">
        <f>IF(Dateneingabe!H56="","",Dateneingabe!H56)</f>
        <v>der Vollkosten</v>
      </c>
      <c r="G111" s="141">
        <f>G110*E111</f>
        <v>35.98077461538462</v>
      </c>
      <c r="H111" s="211">
        <f>G111/F10</f>
        <v>0.014991989423076925</v>
      </c>
      <c r="I111" s="123"/>
      <c r="J111" s="176"/>
      <c r="K111" s="176"/>
      <c r="L111" s="176"/>
      <c r="M111" s="176"/>
      <c r="N111" s="176"/>
      <c r="O111" s="176"/>
      <c r="P111" s="176"/>
      <c r="Q111" s="176"/>
      <c r="R111" s="190"/>
    </row>
    <row r="112" spans="1:18" ht="12" customHeight="1" thickBot="1">
      <c r="A112" s="168"/>
      <c r="B112" s="133" t="s">
        <v>20</v>
      </c>
      <c r="C112" s="133"/>
      <c r="D112" s="133"/>
      <c r="E112" s="133"/>
      <c r="F112" s="133"/>
      <c r="G112" s="175">
        <f>SUM(G110:G111)</f>
        <v>1235.3399284615386</v>
      </c>
      <c r="H112" s="175">
        <f>IF(OR(G112="",$F$10=""),"",G112/$F$10)</f>
        <v>0.5147249701923078</v>
      </c>
      <c r="I112" s="168"/>
      <c r="J112" s="78"/>
      <c r="K112" s="187" t="str">
        <f>K116&amp;" "&amp;F30</f>
        <v>Vollkosten pro Woche pro lt</v>
      </c>
      <c r="L112" s="188"/>
      <c r="M112" s="188"/>
      <c r="N112" s="188"/>
      <c r="O112" s="188"/>
      <c r="P112" s="189"/>
      <c r="Q112" s="78"/>
      <c r="R112" s="185"/>
    </row>
    <row r="113" spans="10:18" ht="12" customHeight="1">
      <c r="J113" s="78"/>
      <c r="K113" s="198" t="str">
        <f>K112&amp;" = "&amp;K116&amp;" : "&amp;$B$9&amp;" "&amp;$C$10</f>
        <v>Vollkosten pro Woche pro lt = Vollkosten pro Woche : Verkaufsmenge in Gläsern</v>
      </c>
      <c r="L113" s="192"/>
      <c r="M113" s="192"/>
      <c r="N113" s="192"/>
      <c r="O113" s="192"/>
      <c r="P113" s="193"/>
      <c r="Q113" s="78"/>
      <c r="R113" s="190"/>
    </row>
    <row r="114" spans="1:18" ht="12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78"/>
      <c r="K114" s="194" t="str">
        <f>K112&amp;" = "&amp;DOLLAR(G110,2)&amp;" : "&amp;FIXED($F$10,0)&amp;" = "&amp;DOLLAR(G110/$F$10,2)</f>
        <v>Vollkosten pro Woche pro lt = 1 199,36 € : 2 400 = 0,50 €</v>
      </c>
      <c r="L114" s="195"/>
      <c r="M114" s="195"/>
      <c r="N114" s="195"/>
      <c r="O114" s="195"/>
      <c r="P114" s="196"/>
      <c r="Q114" s="78"/>
      <c r="R114" s="185"/>
    </row>
    <row r="115" spans="1:18" ht="12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176"/>
      <c r="K115" s="176"/>
      <c r="L115" s="176"/>
      <c r="M115" s="176"/>
      <c r="N115" s="176"/>
      <c r="O115" s="176"/>
      <c r="P115" s="176"/>
      <c r="Q115" s="176"/>
      <c r="R115" s="190"/>
    </row>
    <row r="116" spans="1:18" ht="12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78"/>
      <c r="K116" s="187" t="str">
        <f>B110&amp;" "&amp;G108</f>
        <v>Vollkosten pro Woche</v>
      </c>
      <c r="L116" s="188"/>
      <c r="M116" s="188"/>
      <c r="N116" s="188"/>
      <c r="O116" s="188"/>
      <c r="P116" s="189"/>
      <c r="Q116" s="78"/>
      <c r="R116" s="185"/>
    </row>
    <row r="117" spans="1:18" ht="12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78"/>
      <c r="K117" s="198" t="str">
        <f>K116&amp;" = "&amp;B85&amp;" + "&amp;B109</f>
        <v>Vollkosten pro Woche = Herstellungskosten + Gemein- und Vermarktungskostenzuschlag</v>
      </c>
      <c r="L117" s="192"/>
      <c r="M117" s="192"/>
      <c r="N117" s="192"/>
      <c r="O117" s="192"/>
      <c r="P117" s="193"/>
      <c r="Q117" s="78"/>
      <c r="R117" s="190"/>
    </row>
    <row r="118" spans="1:18" ht="12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78"/>
      <c r="K118" s="194" t="str">
        <f>K116&amp;" = "&amp;DOLLAR(G85,2)&amp;" + "&amp;DOLLAR(G109,2)&amp;" = "&amp;DOLLAR(SUM(G85,G109),2)</f>
        <v>Vollkosten pro Woche = 1 175,84 € + 23,52 € = 1 199,36 €</v>
      </c>
      <c r="L118" s="195"/>
      <c r="M118" s="195"/>
      <c r="N118" s="195"/>
      <c r="O118" s="195"/>
      <c r="P118" s="196"/>
      <c r="Q118" s="78"/>
      <c r="R118" s="185"/>
    </row>
    <row r="119" spans="1:18" ht="12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78"/>
      <c r="K119" s="78"/>
      <c r="L119" s="78"/>
      <c r="M119" s="78"/>
      <c r="N119" s="78"/>
      <c r="O119" s="78"/>
      <c r="P119" s="78"/>
      <c r="Q119" s="78"/>
      <c r="R119" s="190"/>
    </row>
    <row r="120" spans="1:18" ht="12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176"/>
      <c r="K120" s="187" t="str">
        <f>MID(B111,1,18)&amp;"kosten "&amp;$F$7</f>
        <v>Gewinn- und Risikokosten pro Woche</v>
      </c>
      <c r="L120" s="188"/>
      <c r="M120" s="188"/>
      <c r="N120" s="188"/>
      <c r="O120" s="188"/>
      <c r="P120" s="189"/>
      <c r="Q120" s="176"/>
      <c r="R120" s="185"/>
    </row>
    <row r="121" spans="1:18" ht="12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176"/>
      <c r="K121" s="247" t="str">
        <f>K120&amp;" = 
                "&amp;B111&amp;" in %    x    "&amp;B110</f>
        <v>Gewinn- und Risikokosten pro Woche = 
                Gewinn- und Risikozuschlag in %    x    Vollkosten</v>
      </c>
      <c r="L121" s="248"/>
      <c r="M121" s="248"/>
      <c r="N121" s="248"/>
      <c r="O121" s="248"/>
      <c r="P121" s="249"/>
      <c r="Q121" s="176"/>
      <c r="R121" s="190"/>
    </row>
    <row r="122" spans="1:18" ht="12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176"/>
      <c r="K122" s="247"/>
      <c r="L122" s="248"/>
      <c r="M122" s="248"/>
      <c r="N122" s="248"/>
      <c r="O122" s="248"/>
      <c r="P122" s="249"/>
      <c r="Q122" s="176"/>
      <c r="R122" s="185"/>
    </row>
    <row r="123" spans="1:18" ht="12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176"/>
      <c r="K123" s="194" t="str">
        <f>K120&amp;" = "&amp;FIXED(E111*100,2)&amp;" % - "&amp;DOLLAR(G110,2)&amp;" = "&amp;DOLLAR(E111*G110,2)</f>
        <v>Gewinn- und Risikokosten pro Woche = 3,00 % - 1 199,36 € = 35,98 €</v>
      </c>
      <c r="L123" s="195"/>
      <c r="M123" s="195"/>
      <c r="N123" s="195"/>
      <c r="O123" s="195"/>
      <c r="P123" s="196"/>
      <c r="Q123" s="176"/>
      <c r="R123" s="190"/>
    </row>
    <row r="124" spans="1:18" ht="12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176"/>
      <c r="K124" s="176"/>
      <c r="L124" s="176"/>
      <c r="M124" s="176"/>
      <c r="N124" s="176"/>
      <c r="O124" s="176"/>
      <c r="P124" s="176"/>
      <c r="Q124" s="176"/>
      <c r="R124" s="185"/>
    </row>
    <row r="125" spans="1:18" ht="12" customHeight="1">
      <c r="A125" s="209"/>
      <c r="B125" s="209"/>
      <c r="C125" s="209"/>
      <c r="D125" s="209"/>
      <c r="E125" s="209"/>
      <c r="F125" s="209"/>
      <c r="G125" s="209"/>
      <c r="H125" s="209"/>
      <c r="I125" s="209"/>
      <c r="J125" s="176"/>
      <c r="K125" s="187" t="str">
        <f>K129&amp;" "&amp;F30</f>
        <v>Preisuntergrenze pro lt</v>
      </c>
      <c r="L125" s="188"/>
      <c r="M125" s="188"/>
      <c r="N125" s="188"/>
      <c r="O125" s="188"/>
      <c r="P125" s="189"/>
      <c r="Q125" s="176"/>
      <c r="R125" s="190"/>
    </row>
    <row r="126" spans="1:18" ht="12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J126" s="176"/>
      <c r="K126" s="198" t="str">
        <f>K125&amp;" = "&amp;K129&amp;" : "&amp;$B$9&amp;" "&amp;$C$10</f>
        <v>Preisuntergrenze pro lt = Preisuntergrenze : Verkaufsmenge in Gläsern</v>
      </c>
      <c r="L126" s="192"/>
      <c r="M126" s="192"/>
      <c r="N126" s="192"/>
      <c r="O126" s="192"/>
      <c r="P126" s="193"/>
      <c r="Q126" s="176"/>
      <c r="R126" s="185"/>
    </row>
    <row r="127" spans="1:18" ht="12" customHeight="1">
      <c r="A127" s="209"/>
      <c r="B127" s="209"/>
      <c r="C127" s="209"/>
      <c r="D127" s="209"/>
      <c r="E127" s="209"/>
      <c r="F127" s="209"/>
      <c r="G127" s="209"/>
      <c r="H127" s="209"/>
      <c r="I127" s="209"/>
      <c r="J127" s="176"/>
      <c r="K127" s="194" t="str">
        <f>K125&amp;" = "&amp;DOLLAR(G112,2)&amp;" : "&amp;FIXED($F$10,0)&amp;" = "&amp;DOLLAR(G112/$F$10,2)</f>
        <v>Preisuntergrenze pro lt = 1 235,34 € : 2 400 = 0,51 €</v>
      </c>
      <c r="L127" s="195"/>
      <c r="M127" s="195"/>
      <c r="N127" s="195"/>
      <c r="O127" s="195"/>
      <c r="P127" s="196"/>
      <c r="Q127" s="176"/>
      <c r="R127" s="190"/>
    </row>
    <row r="128" spans="1:18" ht="12" customHeight="1">
      <c r="A128" s="209"/>
      <c r="B128" s="209"/>
      <c r="C128" s="209"/>
      <c r="D128" s="209"/>
      <c r="E128" s="209"/>
      <c r="F128" s="209"/>
      <c r="G128" s="209"/>
      <c r="H128" s="209"/>
      <c r="I128" s="209"/>
      <c r="J128" s="176"/>
      <c r="K128" s="176"/>
      <c r="L128" s="176"/>
      <c r="M128" s="176"/>
      <c r="N128" s="176"/>
      <c r="O128" s="176"/>
      <c r="P128" s="176"/>
      <c r="Q128" s="176"/>
      <c r="R128" s="185"/>
    </row>
    <row r="129" spans="1:18" ht="12" customHeight="1">
      <c r="A129" s="209"/>
      <c r="B129" s="209"/>
      <c r="C129" s="209"/>
      <c r="D129" s="209"/>
      <c r="E129" s="209"/>
      <c r="F129" s="209"/>
      <c r="G129" s="209"/>
      <c r="H129" s="209"/>
      <c r="I129" s="209"/>
      <c r="J129" s="78"/>
      <c r="K129" s="187" t="str">
        <f>B112</f>
        <v>Preisuntergrenze</v>
      </c>
      <c r="L129" s="188"/>
      <c r="M129" s="188"/>
      <c r="N129" s="188"/>
      <c r="O129" s="188"/>
      <c r="P129" s="189"/>
      <c r="Q129" s="78"/>
      <c r="R129" s="190"/>
    </row>
    <row r="130" spans="1:18" ht="12" customHeight="1">
      <c r="A130" s="209"/>
      <c r="B130" s="209"/>
      <c r="C130" s="209"/>
      <c r="D130" s="209"/>
      <c r="E130" s="209"/>
      <c r="F130" s="209"/>
      <c r="G130" s="209"/>
      <c r="H130" s="209"/>
      <c r="I130" s="209"/>
      <c r="J130" s="78"/>
      <c r="K130" s="198" t="str">
        <f>K129&amp;" = "&amp;B110&amp;" + "&amp;B111</f>
        <v>Preisuntergrenze = Vollkosten + Gewinn- und Risikozuschlag</v>
      </c>
      <c r="L130" s="192"/>
      <c r="M130" s="192"/>
      <c r="N130" s="192"/>
      <c r="O130" s="192"/>
      <c r="P130" s="193"/>
      <c r="Q130" s="78"/>
      <c r="R130" s="185"/>
    </row>
    <row r="131" spans="1:18" ht="12" customHeight="1">
      <c r="A131" s="209"/>
      <c r="B131" s="209"/>
      <c r="C131" s="209"/>
      <c r="D131" s="209"/>
      <c r="E131" s="209"/>
      <c r="F131" s="209"/>
      <c r="G131" s="209"/>
      <c r="H131" s="209"/>
      <c r="I131" s="209"/>
      <c r="J131" s="78"/>
      <c r="K131" s="194" t="str">
        <f>K129&amp;" = "&amp;DOLLAR(G110,2)&amp;" + "&amp;DOLLAR(G111,2)&amp;" = "&amp;DOLLAR(SUM(G110,G111),2)</f>
        <v>Preisuntergrenze = 1 199,36 € + 35,98 € = 1 235,34 €</v>
      </c>
      <c r="L131" s="195"/>
      <c r="M131" s="195"/>
      <c r="N131" s="195"/>
      <c r="O131" s="195"/>
      <c r="P131" s="196"/>
      <c r="Q131" s="78"/>
      <c r="R131" s="190"/>
    </row>
    <row r="132" spans="1:18" ht="12" customHeight="1">
      <c r="A132" s="209"/>
      <c r="B132" s="209"/>
      <c r="C132" s="209"/>
      <c r="D132" s="209"/>
      <c r="E132" s="209"/>
      <c r="F132" s="209"/>
      <c r="G132" s="209"/>
      <c r="H132" s="209"/>
      <c r="I132" s="209"/>
      <c r="J132" s="78"/>
      <c r="K132" s="78"/>
      <c r="L132" s="78"/>
      <c r="M132" s="78"/>
      <c r="N132" s="78"/>
      <c r="O132" s="78"/>
      <c r="P132" s="78"/>
      <c r="Q132" s="78"/>
      <c r="R132" s="185"/>
    </row>
    <row r="133" ht="12" customHeight="1" hidden="1"/>
  </sheetData>
  <sheetProtection sheet="1" objects="1" scenarios="1"/>
  <mergeCells count="25">
    <mergeCell ref="J1:Q1"/>
    <mergeCell ref="K52:P53"/>
    <mergeCell ref="K30:P31"/>
    <mergeCell ref="K12:P13"/>
    <mergeCell ref="C12:E12"/>
    <mergeCell ref="A1:I1"/>
    <mergeCell ref="D28:D29"/>
    <mergeCell ref="G28:G29"/>
    <mergeCell ref="H28:H29"/>
    <mergeCell ref="F7:G7"/>
    <mergeCell ref="F9:G9"/>
    <mergeCell ref="K57:P59"/>
    <mergeCell ref="F10:G10"/>
    <mergeCell ref="F11:G11"/>
    <mergeCell ref="F12:G12"/>
    <mergeCell ref="E28:F29"/>
    <mergeCell ref="K70:P71"/>
    <mergeCell ref="K65:P66"/>
    <mergeCell ref="K86:P87"/>
    <mergeCell ref="K121:P122"/>
    <mergeCell ref="K60:P61"/>
    <mergeCell ref="K91:P92"/>
    <mergeCell ref="K96:P97"/>
    <mergeCell ref="K101:P103"/>
    <mergeCell ref="K108:P109"/>
  </mergeCells>
  <conditionalFormatting sqref="E111 E109 E66:F67 D30:F30 H8 H11 F9:G9">
    <cfRule type="cellIs" priority="55" dxfId="34" operator="equal" stopIfTrue="1">
      <formula>""</formula>
    </cfRule>
  </conditionalFormatting>
  <conditionalFormatting sqref="D3:E3">
    <cfRule type="expression" priority="60" dxfId="34" stopIfTrue="1">
      <formula>#REF!=""</formula>
    </cfRule>
  </conditionalFormatting>
  <conditionalFormatting sqref="G41:G48">
    <cfRule type="expression" priority="54" dxfId="77" stopIfTrue="1">
      <formula>$B41=""</formula>
    </cfRule>
  </conditionalFormatting>
  <conditionalFormatting sqref="G49">
    <cfRule type="expression" priority="53" dxfId="78" stopIfTrue="1">
      <formula>$B49=""</formula>
    </cfRule>
  </conditionalFormatting>
  <conditionalFormatting sqref="G81:G82">
    <cfRule type="expression" priority="52" dxfId="77" stopIfTrue="1">
      <formula>$B81=""</formula>
    </cfRule>
  </conditionalFormatting>
  <conditionalFormatting sqref="G83">
    <cfRule type="expression" priority="51" dxfId="78" stopIfTrue="1">
      <formula>$B83=""</formula>
    </cfRule>
  </conditionalFormatting>
  <conditionalFormatting sqref="B12">
    <cfRule type="cellIs" priority="30" dxfId="73" operator="equal" stopIfTrue="1">
      <formula>"Verlust"</formula>
    </cfRule>
    <cfRule type="expression" priority="31" dxfId="79" stopIfTrue="1">
      <formula>$C$12="ACHTUNG: Der tatsächliche Gewinn liegt unter dem Gewinnzuschlag!!!"</formula>
    </cfRule>
    <cfRule type="expression" priority="32" dxfId="80" stopIfTrue="1">
      <formula>AND($B$12="Gewinn",$C$12="")</formula>
    </cfRule>
  </conditionalFormatting>
  <conditionalFormatting sqref="C12">
    <cfRule type="cellIs" priority="27" dxfId="73" operator="equal" stopIfTrue="1">
      <formula>"ACHTUNG: Der Preis deckt die Kosten nicht ab!!!"</formula>
    </cfRule>
    <cfRule type="cellIs" priority="28" dxfId="81" operator="equal" stopIfTrue="1">
      <formula>"ACHTUNG: Der tatsächliche Gewinn liegt unter dem Gewinnzuschlag!!!"</formula>
    </cfRule>
  </conditionalFormatting>
  <conditionalFormatting sqref="C12">
    <cfRule type="expression" priority="29" dxfId="82" stopIfTrue="1">
      <formula>$B$12="Gewinn"</formula>
    </cfRule>
  </conditionalFormatting>
  <conditionalFormatting sqref="F12">
    <cfRule type="cellIs" priority="24" dxfId="73" operator="lessThan" stopIfTrue="1">
      <formula>0</formula>
    </cfRule>
    <cfRule type="expression" priority="25" dxfId="81" stopIfTrue="1">
      <formula>$C$12="ACHTUNG: Der tatsächliche Gewinn liegt unter dem Gewinnzuschlag!!!"</formula>
    </cfRule>
    <cfRule type="expression" priority="26" dxfId="82" stopIfTrue="1">
      <formula>$B$12="Gewinn"</formula>
    </cfRule>
  </conditionalFormatting>
  <conditionalFormatting sqref="H12">
    <cfRule type="cellIs" priority="21" dxfId="73" operator="lessThan" stopIfTrue="1">
      <formula>0</formula>
    </cfRule>
    <cfRule type="expression" priority="22" dxfId="81" stopIfTrue="1">
      <formula>$C$12="ACHTUNG: Der tatsächliche Gewinn liegt unter dem Gewinnzuschlag!!!"</formula>
    </cfRule>
    <cfRule type="expression" priority="23" dxfId="82" stopIfTrue="1">
      <formula>$B$12="Gewinn"</formula>
    </cfRule>
  </conditionalFormatting>
  <conditionalFormatting sqref="G41:G48">
    <cfRule type="expression" priority="19" dxfId="76" stopIfTrue="1">
      <formula>AND($B41="",$B40="")</formula>
    </cfRule>
    <cfRule type="expression" priority="20" dxfId="77" stopIfTrue="1">
      <formula>$B41=""</formula>
    </cfRule>
  </conditionalFormatting>
  <conditionalFormatting sqref="G49">
    <cfRule type="expression" priority="18" dxfId="78" stopIfTrue="1">
      <formula>$B49=""</formula>
    </cfRule>
  </conditionalFormatting>
  <conditionalFormatting sqref="G49">
    <cfRule type="expression" priority="17" dxfId="83" stopIfTrue="1">
      <formula>AND($B49="",$B48="")</formula>
    </cfRule>
  </conditionalFormatting>
  <conditionalFormatting sqref="G81:G82">
    <cfRule type="expression" priority="14" dxfId="76" stopIfTrue="1">
      <formula>AND($B81="",$B80="")</formula>
    </cfRule>
    <cfRule type="expression" priority="15" dxfId="77" stopIfTrue="1">
      <formula>$B81=""</formula>
    </cfRule>
  </conditionalFormatting>
  <conditionalFormatting sqref="G83">
    <cfRule type="expression" priority="13" dxfId="78" stopIfTrue="1">
      <formula>$B83=""</formula>
    </cfRule>
  </conditionalFormatting>
  <conditionalFormatting sqref="G83">
    <cfRule type="expression" priority="12" dxfId="78" stopIfTrue="1">
      <formula>$B83=""</formula>
    </cfRule>
  </conditionalFormatting>
  <conditionalFormatting sqref="G83">
    <cfRule type="expression" priority="11" dxfId="83" stopIfTrue="1">
      <formula>AND($B83="",$B82="")</formula>
    </cfRule>
  </conditionalFormatting>
  <conditionalFormatting sqref="G41:G48">
    <cfRule type="expression" priority="9" dxfId="76" stopIfTrue="1">
      <formula>AND($B41="",$B40="")</formula>
    </cfRule>
    <cfRule type="expression" priority="10" dxfId="77" stopIfTrue="1">
      <formula>$B41=""</formula>
    </cfRule>
  </conditionalFormatting>
  <conditionalFormatting sqref="G49">
    <cfRule type="expression" priority="8" dxfId="78" stopIfTrue="1">
      <formula>$B49=""</formula>
    </cfRule>
  </conditionalFormatting>
  <conditionalFormatting sqref="G49">
    <cfRule type="expression" priority="7" dxfId="83" stopIfTrue="1">
      <formula>AND($B49="",$B48="")</formula>
    </cfRule>
  </conditionalFormatting>
  <conditionalFormatting sqref="G81:G82">
    <cfRule type="expression" priority="4" dxfId="76" stopIfTrue="1">
      <formula>AND($B81="",$B80="")</formula>
    </cfRule>
    <cfRule type="expression" priority="5" dxfId="77" stopIfTrue="1">
      <formula>$B81=""</formula>
    </cfRule>
  </conditionalFormatting>
  <conditionalFormatting sqref="G83">
    <cfRule type="expression" priority="3" dxfId="78" stopIfTrue="1">
      <formula>$B83=""</formula>
    </cfRule>
  </conditionalFormatting>
  <conditionalFormatting sqref="G83">
    <cfRule type="expression" priority="2" dxfId="78" stopIfTrue="1">
      <formula>$B83=""</formula>
    </cfRule>
  </conditionalFormatting>
  <conditionalFormatting sqref="G83">
    <cfRule type="expression" priority="1" dxfId="83" stopIfTrue="1">
      <formula>AND($B83="",$B82="")</formula>
    </cfRule>
  </conditionalFormatting>
  <printOptions horizontalCentered="1"/>
  <pageMargins left="0.3937007874015748" right="0.3937007874015748" top="0.3937007874015748" bottom="0.3937007874015748" header="0" footer="0"/>
  <pageSetup blackAndWhite="1" fitToHeight="2" horizontalDpi="300" verticalDpi="300" orientation="landscape" paperSize="9" scale="55" r:id="rId2"/>
  <headerFooter alignWithMargins="0">
    <oddFooter>&amp;L&amp;"Arial,Kursiv"&amp;8© Mag. Wolfgang Harasleben&amp;R&amp;"Arial,Kursiv"&amp;8Seite &amp;P/&amp;N</oddFooter>
  </headerFooter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e&amp;w harasleben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wharasleben</dc:creator>
  <cp:keywords/>
  <dc:description/>
  <cp:lastModifiedBy>Wolfgang Harasleben</cp:lastModifiedBy>
  <cp:lastPrinted>2014-01-22T10:09:15Z</cp:lastPrinted>
  <dcterms:created xsi:type="dcterms:W3CDTF">2004-11-14T09:49:09Z</dcterms:created>
  <dcterms:modified xsi:type="dcterms:W3CDTF">2014-01-25T16:09:52Z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