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harts/chart1.xml" ContentType="application/vnd.openxmlformats-officedocument.drawingml.chart+xml"/>
  <Override PartName="/xl/drawings/drawing15.xml" ContentType="application/vnd.openxmlformats-officedocument.drawing+xml"/>
  <Override PartName="/xl/comments15.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DieseArbeitsmappe" defaultThemeVersion="124226"/>
  <mc:AlternateContent xmlns:mc="http://schemas.openxmlformats.org/markup-compatibility/2006">
    <mc:Choice Requires="x15">
      <x15ac:absPath xmlns:x15ac="http://schemas.microsoft.com/office/spreadsheetml/2010/11/ac" url="F:\00 BLRW FSL\Übsp Abprfg\Bsp 8\"/>
    </mc:Choice>
  </mc:AlternateContent>
  <xr:revisionPtr revIDLastSave="0" documentId="13_ncr:1_{6DE1FB7D-F743-4CC9-AAA3-2CDA670EE37B}" xr6:coauthVersionLast="44" xr6:coauthVersionMax="44" xr10:uidLastSave="{00000000-0000-0000-0000-000000000000}"/>
  <bookViews>
    <workbookView xWindow="-120" yWindow="-120" windowWidth="29040" windowHeight="16440" tabRatio="928" activeTab="1" xr2:uid="{00000000-000D-0000-FFFF-FFFF00000000}"/>
  </bookViews>
  <sheets>
    <sheet name="Korrektur" sheetId="19" r:id="rId1"/>
    <sheet name="ErgInt" sheetId="20" r:id="rId2"/>
    <sheet name="FinII" sheetId="21" r:id="rId3"/>
    <sheet name="PlanII" sheetId="22" r:id="rId4"/>
    <sheet name="FinI" sheetId="23" r:id="rId5"/>
    <sheet name="PlanI" sheetId="24" r:id="rId6"/>
    <sheet name="Ist" sheetId="3" r:id="rId7"/>
    <sheet name="Milch" sheetId="6" r:id="rId8"/>
    <sheet name="MuKu" sheetId="7" r:id="rId9"/>
    <sheet name="1xDgl" sheetId="9" r:id="rId10"/>
    <sheet name="WD.1Dgl" sheetId="8" r:id="rId11"/>
    <sheet name="Jog" sheetId="12" r:id="rId12"/>
    <sheet name="FK" sheetId="13" r:id="rId13"/>
    <sheet name="UV" sheetId="14" r:id="rId14"/>
    <sheet name="AV" sheetId="15" r:id="rId15"/>
    <sheet name="MKK1" sheetId="10" r:id="rId16"/>
    <sheet name="MKK2" sheetId="11" r:id="rId17"/>
    <sheet name="2NGeb" sheetId="16" r:id="rId18"/>
    <sheet name="Annuitätentabelle" sheetId="18" r:id="rId19"/>
  </sheets>
  <externalReferences>
    <externalReference r:id="rId20"/>
    <externalReference r:id="rId21"/>
    <externalReference r:id="rId22"/>
    <externalReference r:id="rId23"/>
  </externalReferences>
  <definedNames>
    <definedName name="_xlnm._FilterDatabase" localSheetId="0" hidden="1">Korrektur!$H$1:$O$964</definedName>
    <definedName name="AccessDatabase" hidden="1">"D:\01 LLA Imst\01 Lehrfaecher\01 wirtschaft\02 betriebslehre\03 3-jahrgang\05 excel-berechnungen\tilgungsplan\modell zur annuitätenrechnung mit integrierter annuitätentabelle mit eingabeformular.mdb"</definedName>
    <definedName name="AJ">'[1]E-MKK1'!$E$9</definedName>
    <definedName name="aktJ">'[1]E-MKK1'!$D$13</definedName>
    <definedName name="Ankreuzen" localSheetId="1">ErgInt!$T$38:$U$38</definedName>
    <definedName name="Ankreuzen">[1]WD.ILeist!$W$84:$W$85</definedName>
    <definedName name="ANTilPla" localSheetId="18">'[2]Annuitätentilgung (AT)'!$AA$11:$AG$62</definedName>
    <definedName name="ANTilPla">ErgInt!$AB$278:$AH$329</definedName>
    <definedName name="Arbeitsgänge">[1]AV!$C$94:$F$146</definedName>
    <definedName name="ArbeitsgängeListe">[1]WD.ILeist!$U$161:$U$181</definedName>
    <definedName name="Arbeitskräfte" localSheetId="18">'[3]B - ErgInt'!$T$68:$T$70</definedName>
    <definedName name="Arbeitskräfte" localSheetId="1">ErgInt!$T$91:$T$93</definedName>
    <definedName name="Arbeitskräfte">#REF!</definedName>
    <definedName name="ArbeitskräfteII">ErgInt!$T$197:$T$199</definedName>
    <definedName name="AT">Annuitätentabelle!$A$3:$V$38</definedName>
    <definedName name="B">[1]GB!$I$198:$I$223</definedName>
    <definedName name="Deckungsbeiträge">[1]Ist!$S$77:$S$101</definedName>
    <definedName name="_xlnm.Print_Area" localSheetId="9">'1xDgl'!$A$1:$J$66</definedName>
    <definedName name="_xlnm.Print_Area" localSheetId="17">'2NGeb'!$A$1:$Z$118</definedName>
    <definedName name="_xlnm.Print_Area" localSheetId="18">Annuitätentabelle!$A$1:$V$38</definedName>
    <definedName name="_xlnm.Print_Area" localSheetId="14">AV!$A$1:$K$41</definedName>
    <definedName name="_xlnm.Print_Area" localSheetId="1">ErgInt!$C$1:$Q$537</definedName>
    <definedName name="_xlnm.Print_Area" localSheetId="4">FinI!$A$1:$H$46</definedName>
    <definedName name="_xlnm.Print_Area" localSheetId="2">FinII!$A$1:$H$46</definedName>
    <definedName name="_xlnm.Print_Area" localSheetId="12">FK!$A$1:$E$18</definedName>
    <definedName name="_xlnm.Print_Area" localSheetId="6">Ist!$A$1:$J$44</definedName>
    <definedName name="_xlnm.Print_Area" localSheetId="11">Jog!$A$1:$I$47</definedName>
    <definedName name="_xlnm.Print_Area" localSheetId="0">Korrektur!$A$1:$L$971</definedName>
    <definedName name="_xlnm.Print_Area" localSheetId="7">Milch!$A$1:$I$96</definedName>
    <definedName name="_xlnm.Print_Area" localSheetId="15">'MKK1'!$A$1:$G$27</definedName>
    <definedName name="_xlnm.Print_Area" localSheetId="16">'MKK2'!$A$1:$G$27</definedName>
    <definedName name="_xlnm.Print_Area" localSheetId="8">MuKu!$A$1:$K$58</definedName>
    <definedName name="_xlnm.Print_Area" localSheetId="5">PlanI!$A$1:$J$61</definedName>
    <definedName name="_xlnm.Print_Area" localSheetId="3">PlanII!$A$1:$J$61</definedName>
    <definedName name="_xlnm.Print_Area" localSheetId="13">UV!$A$1:$K$59</definedName>
    <definedName name="_xlnm.Print_Area" localSheetId="10">WD.1Dgl!$A$1:$J$60</definedName>
    <definedName name="_xlnm.Print_Titles" localSheetId="18">Annuitätentabelle!$A:$A,Annuitätentabelle!$1:$2</definedName>
    <definedName name="_xlnm.Print_Titles" localSheetId="0">Korrektur!$1:$6</definedName>
    <definedName name="_xlnm.Print_Titles" localSheetId="7">Milch!$1:$1</definedName>
    <definedName name="E\h">'[1]E-MKK1'!$E$23</definedName>
    <definedName name="E\Jahr" localSheetId="1">#REF!</definedName>
    <definedName name="E\Jahr">'[1]E-MKK1'!$G$23</definedName>
    <definedName name="Energiebilanz" localSheetId="18">'[3]B - ErgInt'!$T$80:$T$82</definedName>
    <definedName name="Energiebilanz" localSheetId="1">ErgInt!$T$108:$T$110</definedName>
    <definedName name="Energiebilanz">#REF!</definedName>
    <definedName name="EnergiebilanzII">ErgInt!$T$214:$T$216</definedName>
    <definedName name="Finanzierbarkeit" localSheetId="18">'[3]B - ErgInt'!$T$52:$T$54</definedName>
    <definedName name="Finanzierbarkeit" localSheetId="1">ErgInt!$T$70:$T$72</definedName>
    <definedName name="Finanzierbarkeit">#REF!</definedName>
    <definedName name="FinanzierbarkeitII">ErgInt!$T$176:$T$178</definedName>
    <definedName name="FolgerungenArbeitskräfte" localSheetId="18">'[3]B - ErgInt'!$T$72:$T$75</definedName>
    <definedName name="FolgerungenArbeitskräfte" localSheetId="1">ErgInt!$T$72:$T$75</definedName>
    <definedName name="FolgerungenArbeitskräfte">#REF!</definedName>
    <definedName name="FolgerungenEnergiebilanz" localSheetId="18">'[3]B - ErgInt'!$T$84:$T$88</definedName>
    <definedName name="FolgerungenEnergiebilanz" localSheetId="1">ErgInt!$T$84:$T$88</definedName>
    <definedName name="FolgerungenEnergiebilanz">#REF!</definedName>
    <definedName name="FolgerungenFinanzierbarkeit" localSheetId="18">'[3]B - ErgInt'!$T$56:$T$59</definedName>
    <definedName name="FolgerungenFinanzierbarkeit" localSheetId="1">ErgInt!$T$56:$T$59</definedName>
    <definedName name="FolgerungenFinanzierbarkeit">#REF!</definedName>
    <definedName name="FolgerungenKD_KDG" localSheetId="18">'[3]B - ErgInt'!$V$18:$V$21</definedName>
    <definedName name="FolgerungenKD_KDG" localSheetId="1">ErgInt!$V$18:$V$21</definedName>
    <definedName name="FolgerungenKD_KDG">#REF!</definedName>
    <definedName name="FolgerungenWirtschaftlichkeit" localSheetId="18">'[3]B - ErgInt'!$T$42:$T$45</definedName>
    <definedName name="FolgerungenWirtschaftlichkeit" localSheetId="1">ErgInt!$T$42:$T$45</definedName>
    <definedName name="FolgerungenWirtschaftlichkeit">#REF!</definedName>
    <definedName name="FolgerungLHK_GEK" localSheetId="18">'[3]B - ErgInt'!$T$18:$T$21</definedName>
    <definedName name="FolgerungLHK_GEK" localSheetId="1">ErgInt!$T$18:$T$21</definedName>
    <definedName name="FolgerungLHK_GEK">#REF!</definedName>
    <definedName name="GB">[1]GB!$U$199:$W$254</definedName>
    <definedName name="Gruppen">[1]Ist!$V$73:$AE$73</definedName>
    <definedName name="Jahr">[1]Allg!$E$181:$E$187</definedName>
    <definedName name="KDGvsKD" localSheetId="18">'[1]E-ErgInt'!$T$135:$T$137</definedName>
    <definedName name="KDGvsKD">ErgInt!$T$135:$T$137</definedName>
    <definedName name="KG">[1]GB!$U$199:$U$254</definedName>
    <definedName name="Kreuze_an">[1]ILeist!$T$97:$T$98</definedName>
    <definedName name="LNR">[1]GB!$C$198:$C$217</definedName>
    <definedName name="lz" localSheetId="18">[2]Dateneingabe!$C$28:$C$75</definedName>
    <definedName name="lz">[2]Dateneingabe!$C$28:$C$75</definedName>
    <definedName name="LZAT" localSheetId="18">[2]Dateneingabe!$E$28:$E$77</definedName>
    <definedName name="LZAT">[2]Dateneingabe!$E$28:$E$77</definedName>
    <definedName name="Maschinenkosten">[1]WD.ILeist!$U$161:$AB$176</definedName>
    <definedName name="Matrix1" localSheetId="1">#REF!</definedName>
    <definedName name="Matrix1">[1]WD.ILeist!$U$94:$AA$117</definedName>
    <definedName name="Matrix2" localSheetId="1">#REF!</definedName>
    <definedName name="Matrix2">[1]WD.ILeist!$U$127:$AA$150</definedName>
    <definedName name="N">[1]GB!$G$198:$G$215</definedName>
    <definedName name="Pf">[1]GB!$M$198:$M$215</definedName>
    <definedName name="Pflichten">[1]Allg!$B$128:$G$160</definedName>
    <definedName name="Rechte">[1]Allg!$G$113:$L$123</definedName>
    <definedName name="RöP">[1]GB!$Y$199:$Y$214</definedName>
    <definedName name="RöPDB" localSheetId="18">[1]GB!$Y$199:$AB$201</definedName>
    <definedName name="RöPDB">[4]GB!$Y$199:$AB$201</definedName>
    <definedName name="VariableKosten">[1]Ist!$S$107:$S$131</definedName>
    <definedName name="VglKD_KDG" localSheetId="18">'[3]B - ErgInt'!$V$14:$V$16</definedName>
    <definedName name="VglKD_KDG" localSheetId="1">ErgInt!$T$26:$T$28</definedName>
    <definedName name="VglKD_KDG">#REF!</definedName>
    <definedName name="VglLHK_GEK" localSheetId="18">'[3]B - ErgInt'!$T$14:$T$16</definedName>
    <definedName name="VglLHK_GEK" localSheetId="1">ErgInt!$T$15:$T$17</definedName>
    <definedName name="VglLHK_GEK">#REF!</definedName>
    <definedName name="VK\h">'[1]E-MKK1'!$G$29</definedName>
    <definedName name="Wirtschaftlichkeit" localSheetId="18">'[3]B - ErgInt'!$T$38:$T$40</definedName>
    <definedName name="Wirtschaftlichkeit" localSheetId="1">ErgInt!$T$50:$T$52</definedName>
    <definedName name="Wirtschaftlichkeit">#REF!</definedName>
    <definedName name="WirtschaftlichkeitII">ErgInt!$T$156:$T$158</definedName>
    <definedName name="Wirtschaftsdünger">[1]WD.ILeist!$Y$84:$Y$87</definedName>
    <definedName name="Zugmaschinen">[1]WD.ILeist!$V$157:$AB$159</definedName>
    <definedName name="Zugmaschinenliste">[1]WD.ILeist!$V$157:$V$159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6" l="1"/>
  <c r="R103" i="16"/>
  <c r="R97" i="16"/>
  <c r="C103" i="16"/>
  <c r="C100" i="16"/>
  <c r="C97" i="16"/>
  <c r="C94" i="16"/>
  <c r="R89" i="16"/>
  <c r="C89" i="16"/>
  <c r="R81" i="16"/>
  <c r="C84" i="16"/>
  <c r="C81" i="16"/>
  <c r="C78" i="16"/>
  <c r="R69" i="16"/>
  <c r="R67" i="16"/>
  <c r="R65" i="16"/>
  <c r="R61" i="16"/>
  <c r="N54" i="16"/>
  <c r="C51" i="16"/>
  <c r="C48" i="16"/>
  <c r="C45" i="16"/>
  <c r="C44" i="16"/>
  <c r="C37" i="16"/>
  <c r="C34" i="16"/>
  <c r="C24" i="16"/>
  <c r="C21" i="16"/>
  <c r="C17" i="16"/>
  <c r="C14" i="16"/>
  <c r="N9" i="16"/>
  <c r="N8" i="16"/>
  <c r="N7" i="16"/>
  <c r="N6" i="16"/>
  <c r="X9" i="16"/>
  <c r="X8" i="16"/>
  <c r="X7" i="16"/>
  <c r="X6" i="16"/>
  <c r="X5" i="16"/>
  <c r="U4" i="16"/>
  <c r="B7" i="16"/>
  <c r="B6" i="16"/>
  <c r="F59" i="14"/>
  <c r="F58" i="14"/>
  <c r="F57" i="14"/>
  <c r="F56" i="14"/>
  <c r="F55" i="14"/>
  <c r="F54" i="14"/>
  <c r="F53" i="14"/>
  <c r="B59" i="14"/>
  <c r="B58" i="14"/>
  <c r="B57" i="14"/>
  <c r="B56" i="14"/>
  <c r="B55" i="14"/>
  <c r="B54" i="14"/>
  <c r="B53" i="14"/>
  <c r="H49" i="14"/>
  <c r="G49" i="14"/>
  <c r="E49" i="14"/>
  <c r="D49" i="14"/>
  <c r="B49" i="14"/>
  <c r="H48" i="14"/>
  <c r="G48" i="14"/>
  <c r="E48" i="14"/>
  <c r="D48" i="14"/>
  <c r="B48" i="14"/>
  <c r="H47" i="14"/>
  <c r="G47" i="14"/>
  <c r="E47" i="14"/>
  <c r="D47" i="14"/>
  <c r="B47" i="14"/>
  <c r="H46" i="14"/>
  <c r="G46" i="14"/>
  <c r="E46" i="14"/>
  <c r="D46" i="14"/>
  <c r="B46" i="14"/>
  <c r="H45" i="14"/>
  <c r="G45" i="14"/>
  <c r="E45" i="14"/>
  <c r="D45" i="14"/>
  <c r="B45" i="14"/>
  <c r="H35" i="14"/>
  <c r="G35" i="14"/>
  <c r="E35" i="14"/>
  <c r="D35" i="14"/>
  <c r="B35" i="14"/>
  <c r="H34" i="14"/>
  <c r="G34" i="14"/>
  <c r="E34" i="14"/>
  <c r="D34" i="14"/>
  <c r="B34" i="14"/>
  <c r="H33" i="14"/>
  <c r="G33" i="14"/>
  <c r="E33" i="14"/>
  <c r="D33" i="14"/>
  <c r="B33" i="14"/>
  <c r="H32" i="14"/>
  <c r="G32" i="14"/>
  <c r="E32" i="14"/>
  <c r="D32" i="14"/>
  <c r="B32" i="14"/>
  <c r="H31" i="14"/>
  <c r="G31" i="14"/>
  <c r="E31" i="14"/>
  <c r="D31" i="14"/>
  <c r="B31" i="14"/>
  <c r="H26" i="14"/>
  <c r="G26" i="14"/>
  <c r="E26" i="14"/>
  <c r="D26" i="14"/>
  <c r="B26" i="14"/>
  <c r="H25" i="14"/>
  <c r="G25" i="14"/>
  <c r="E25" i="14"/>
  <c r="D25" i="14"/>
  <c r="B25" i="14"/>
  <c r="H24" i="14"/>
  <c r="G24" i="14"/>
  <c r="E24" i="14"/>
  <c r="D24" i="14"/>
  <c r="B24" i="14"/>
  <c r="H23" i="14"/>
  <c r="G23" i="14"/>
  <c r="E23" i="14"/>
  <c r="D23" i="14"/>
  <c r="B23" i="14"/>
  <c r="H22" i="14"/>
  <c r="G22" i="14"/>
  <c r="E22" i="14"/>
  <c r="D22" i="14"/>
  <c r="B22" i="14"/>
  <c r="B21" i="14"/>
  <c r="H12" i="14"/>
  <c r="G12" i="14"/>
  <c r="E12" i="14"/>
  <c r="D12" i="14"/>
  <c r="B12" i="14"/>
  <c r="H11" i="14"/>
  <c r="G11" i="14"/>
  <c r="E11" i="14"/>
  <c r="D11" i="14"/>
  <c r="B11" i="14"/>
  <c r="H10" i="14"/>
  <c r="G10" i="14"/>
  <c r="E10" i="14"/>
  <c r="D10" i="14"/>
  <c r="B10" i="14"/>
  <c r="H9" i="14"/>
  <c r="G9" i="14"/>
  <c r="E9" i="14"/>
  <c r="D9" i="14"/>
  <c r="B9" i="14"/>
  <c r="H8" i="14"/>
  <c r="G8" i="14"/>
  <c r="E8" i="14"/>
  <c r="D8" i="14"/>
  <c r="B8" i="14"/>
  <c r="H7" i="14"/>
  <c r="G7" i="14"/>
  <c r="E7" i="14"/>
  <c r="D7" i="14"/>
  <c r="B7" i="14"/>
  <c r="H6" i="14"/>
  <c r="G6" i="14"/>
  <c r="E6" i="14"/>
  <c r="D6" i="14"/>
  <c r="B6" i="14"/>
  <c r="B5" i="14"/>
  <c r="D17" i="13"/>
  <c r="C17" i="13"/>
  <c r="D16" i="13"/>
  <c r="C16" i="13"/>
  <c r="D15" i="13"/>
  <c r="C15" i="13"/>
  <c r="D14" i="13"/>
  <c r="C14" i="13"/>
  <c r="D13" i="13"/>
  <c r="C13" i="13"/>
  <c r="D12" i="13"/>
  <c r="C12" i="13"/>
  <c r="D11" i="13"/>
  <c r="C11" i="13"/>
  <c r="C10" i="13"/>
  <c r="C9" i="13"/>
  <c r="C8" i="13"/>
  <c r="C7" i="13"/>
  <c r="D6" i="13"/>
  <c r="C6" i="13"/>
  <c r="D5" i="13"/>
  <c r="C5" i="13"/>
  <c r="D4" i="13"/>
  <c r="C4" i="13"/>
  <c r="F46" i="12"/>
  <c r="E46" i="12"/>
  <c r="B46" i="12"/>
  <c r="F44" i="12"/>
  <c r="E44" i="12"/>
  <c r="B44" i="12"/>
  <c r="F39" i="12"/>
  <c r="E39" i="12"/>
  <c r="B39" i="12"/>
  <c r="F38" i="12"/>
  <c r="E38" i="12"/>
  <c r="B38" i="12"/>
  <c r="F37" i="12"/>
  <c r="E37" i="12"/>
  <c r="B37" i="12"/>
  <c r="F33" i="12"/>
  <c r="E33" i="12"/>
  <c r="B33" i="12"/>
  <c r="F32" i="12"/>
  <c r="E32" i="12"/>
  <c r="B32" i="12"/>
  <c r="F28" i="12"/>
  <c r="E28" i="12"/>
  <c r="D28" i="12"/>
  <c r="B28" i="12"/>
  <c r="F27" i="12"/>
  <c r="E27" i="12"/>
  <c r="D27" i="12"/>
  <c r="B27" i="12"/>
  <c r="F26" i="12"/>
  <c r="E26" i="12"/>
  <c r="D26" i="12"/>
  <c r="B26" i="12"/>
  <c r="F25" i="12"/>
  <c r="E25" i="12"/>
  <c r="D25" i="12"/>
  <c r="B25" i="12"/>
  <c r="F24" i="12"/>
  <c r="E24" i="12"/>
  <c r="D24" i="12"/>
  <c r="B24" i="12"/>
  <c r="F23" i="12"/>
  <c r="E23" i="12"/>
  <c r="D23" i="12"/>
  <c r="B23" i="12"/>
  <c r="F22" i="12"/>
  <c r="E22" i="12"/>
  <c r="D22" i="12"/>
  <c r="B22" i="12"/>
  <c r="F21" i="12"/>
  <c r="E21" i="12"/>
  <c r="B21" i="12"/>
  <c r="F20" i="12"/>
  <c r="E20" i="12"/>
  <c r="B20" i="12"/>
  <c r="F16" i="12"/>
  <c r="E16" i="12"/>
  <c r="B16" i="12"/>
  <c r="B9" i="12"/>
  <c r="B7" i="12"/>
  <c r="B6" i="12"/>
  <c r="H9" i="12"/>
  <c r="F7" i="12"/>
  <c r="H6" i="12"/>
  <c r="H5" i="12"/>
  <c r="F5" i="12"/>
  <c r="C3" i="12"/>
  <c r="E56" i="7"/>
  <c r="B56" i="7"/>
  <c r="E55" i="7"/>
  <c r="B55" i="7"/>
  <c r="E54" i="7"/>
  <c r="B54" i="7"/>
  <c r="E50" i="7"/>
  <c r="B50" i="7"/>
  <c r="E49" i="7"/>
  <c r="B49" i="7"/>
  <c r="E48" i="7"/>
  <c r="B48" i="7"/>
  <c r="E44" i="7"/>
  <c r="B44" i="7"/>
  <c r="E39" i="7"/>
  <c r="B39" i="7"/>
  <c r="E38" i="7"/>
  <c r="B38" i="7"/>
  <c r="E37" i="7"/>
  <c r="B37" i="7"/>
  <c r="E36" i="7"/>
  <c r="B36" i="7"/>
  <c r="E35" i="7"/>
  <c r="B35" i="7"/>
  <c r="B34" i="7"/>
  <c r="E33" i="7"/>
  <c r="B33" i="7"/>
  <c r="E32" i="7"/>
  <c r="B32" i="7"/>
  <c r="E31" i="7"/>
  <c r="D31" i="7"/>
  <c r="B31" i="7"/>
  <c r="E30" i="7"/>
  <c r="D30" i="7"/>
  <c r="B30" i="7"/>
  <c r="H19" i="7"/>
  <c r="E19" i="7"/>
  <c r="D19" i="7"/>
  <c r="C19" i="7"/>
  <c r="B19" i="7"/>
  <c r="H18" i="7"/>
  <c r="E18" i="7"/>
  <c r="D18" i="7"/>
  <c r="C18" i="7"/>
  <c r="B18" i="7"/>
  <c r="H15" i="7"/>
  <c r="E14" i="7"/>
  <c r="D14" i="7"/>
  <c r="C14" i="7"/>
  <c r="E13" i="7"/>
  <c r="D13" i="7"/>
  <c r="C13" i="7"/>
  <c r="B13" i="7"/>
  <c r="E12" i="7"/>
  <c r="B12" i="7"/>
  <c r="I11" i="7"/>
  <c r="H11" i="7"/>
  <c r="F11" i="7"/>
  <c r="H10" i="7"/>
  <c r="F10" i="7"/>
  <c r="H9" i="7"/>
  <c r="F9" i="7"/>
  <c r="D9" i="7"/>
  <c r="B9" i="7"/>
  <c r="J8" i="7"/>
  <c r="I8" i="7"/>
  <c r="H8" i="7"/>
  <c r="D5" i="7" s="1"/>
  <c r="F8" i="7"/>
  <c r="J7" i="7"/>
  <c r="I7" i="7"/>
  <c r="H7" i="7"/>
  <c r="F7" i="7"/>
  <c r="J6" i="7"/>
  <c r="I6" i="7"/>
  <c r="H6" i="7"/>
  <c r="F6" i="7"/>
  <c r="B6" i="7"/>
  <c r="J5" i="7"/>
  <c r="I5" i="7"/>
  <c r="H5" i="7"/>
  <c r="D6" i="7" s="1"/>
  <c r="F5" i="7"/>
  <c r="B5" i="7"/>
  <c r="E92" i="6"/>
  <c r="G87" i="6"/>
  <c r="B87" i="6"/>
  <c r="G86" i="6"/>
  <c r="B86" i="6"/>
  <c r="G85" i="6"/>
  <c r="B85" i="6"/>
  <c r="E82" i="6"/>
  <c r="C82" i="6"/>
  <c r="B82" i="6"/>
  <c r="E81" i="6"/>
  <c r="C81" i="6"/>
  <c r="B81" i="6"/>
  <c r="E80" i="6"/>
  <c r="C80" i="6"/>
  <c r="B80" i="6"/>
  <c r="D72" i="6"/>
  <c r="B72" i="6"/>
  <c r="D71" i="6"/>
  <c r="B71" i="6"/>
  <c r="D70" i="6"/>
  <c r="B70" i="6"/>
  <c r="G69" i="6"/>
  <c r="D69" i="6"/>
  <c r="B69" i="6"/>
  <c r="E68" i="6"/>
  <c r="D68" i="6"/>
  <c r="B68" i="6"/>
  <c r="D67" i="6"/>
  <c r="B67" i="6"/>
  <c r="D66" i="6"/>
  <c r="B66" i="6"/>
  <c r="D65" i="6"/>
  <c r="B65" i="6"/>
  <c r="D64" i="6"/>
  <c r="B64" i="6"/>
  <c r="D63" i="6"/>
  <c r="B63" i="6"/>
  <c r="D62" i="6"/>
  <c r="B62" i="6"/>
  <c r="E61" i="6"/>
  <c r="D61" i="6"/>
  <c r="B61" i="6"/>
  <c r="E60" i="6"/>
  <c r="D60" i="6"/>
  <c r="B60" i="6"/>
  <c r="D59" i="6"/>
  <c r="B59" i="6"/>
  <c r="D51" i="6"/>
  <c r="B51" i="6"/>
  <c r="D50" i="6"/>
  <c r="B50" i="6"/>
  <c r="D49" i="6"/>
  <c r="B49" i="6"/>
  <c r="D48" i="6"/>
  <c r="B48" i="6"/>
  <c r="D47" i="6"/>
  <c r="B47" i="6"/>
  <c r="D46" i="6"/>
  <c r="B46" i="6"/>
  <c r="D45" i="6"/>
  <c r="B45" i="6"/>
  <c r="D44" i="6"/>
  <c r="B44" i="6"/>
  <c r="D43" i="6"/>
  <c r="B43" i="6"/>
  <c r="D42" i="6"/>
  <c r="B42" i="6"/>
  <c r="D39" i="6"/>
  <c r="B39" i="6"/>
  <c r="D38" i="6"/>
  <c r="B38" i="6"/>
  <c r="F37" i="6"/>
  <c r="E37" i="6"/>
  <c r="D37" i="6"/>
  <c r="B37" i="6"/>
  <c r="D36" i="6"/>
  <c r="B36" i="6"/>
  <c r="G30" i="6"/>
  <c r="F30" i="6"/>
  <c r="E30" i="6"/>
  <c r="B30" i="6"/>
  <c r="D30" i="6" s="1"/>
  <c r="G29" i="6"/>
  <c r="F29" i="6"/>
  <c r="E29" i="6"/>
  <c r="B29" i="6"/>
  <c r="D29" i="6" s="1"/>
  <c r="G28" i="6"/>
  <c r="F28" i="6"/>
  <c r="E28" i="6"/>
  <c r="B28" i="6"/>
  <c r="D28" i="6" s="1"/>
  <c r="G27" i="6"/>
  <c r="F27" i="6"/>
  <c r="E27" i="6"/>
  <c r="D27" i="6"/>
  <c r="B27" i="6"/>
  <c r="G26" i="6"/>
  <c r="F26" i="6"/>
  <c r="E26" i="6"/>
  <c r="D26" i="6"/>
  <c r="B26" i="6"/>
  <c r="G25" i="6"/>
  <c r="F25" i="6"/>
  <c r="E25" i="6"/>
  <c r="D25" i="6"/>
  <c r="B25" i="6"/>
  <c r="C21" i="6"/>
  <c r="B21" i="6"/>
  <c r="C20" i="6"/>
  <c r="B20" i="6"/>
  <c r="D16" i="6"/>
  <c r="B16" i="6"/>
  <c r="H15" i="6"/>
  <c r="E15" i="6"/>
  <c r="D15" i="6"/>
  <c r="B15" i="6"/>
  <c r="H11" i="6"/>
  <c r="G11" i="6"/>
  <c r="C11" i="6"/>
  <c r="B11" i="6"/>
  <c r="H10" i="6"/>
  <c r="G10" i="6"/>
  <c r="C10" i="6"/>
  <c r="B10" i="6"/>
  <c r="H9" i="6"/>
  <c r="E9" i="6"/>
  <c r="C9" i="6"/>
  <c r="B9" i="6"/>
  <c r="D7" i="6"/>
  <c r="B7" i="6"/>
  <c r="D6" i="6"/>
  <c r="B6" i="6"/>
  <c r="D5" i="6"/>
  <c r="B5" i="6"/>
  <c r="D4" i="6"/>
  <c r="B4" i="6"/>
  <c r="E60" i="22"/>
  <c r="E59" i="22"/>
  <c r="E49" i="22"/>
  <c r="B49" i="22"/>
  <c r="E48" i="22"/>
  <c r="B48" i="22"/>
  <c r="E47" i="22"/>
  <c r="B47" i="22"/>
  <c r="E46" i="22"/>
  <c r="B46" i="22"/>
  <c r="E45" i="22"/>
  <c r="B45" i="22"/>
  <c r="E44" i="22"/>
  <c r="B44" i="22"/>
  <c r="E40" i="22"/>
  <c r="B40" i="22"/>
  <c r="E39" i="22"/>
  <c r="B39" i="22"/>
  <c r="E38" i="22"/>
  <c r="B38" i="22"/>
  <c r="F34" i="22"/>
  <c r="D34" i="22"/>
  <c r="C34" i="22"/>
  <c r="B34" i="22"/>
  <c r="H33" i="22"/>
  <c r="F33" i="22"/>
  <c r="D33" i="22"/>
  <c r="C33" i="22"/>
  <c r="B33" i="22"/>
  <c r="H32" i="22"/>
  <c r="F32" i="22"/>
  <c r="D32" i="22"/>
  <c r="C32" i="22"/>
  <c r="B32" i="22"/>
  <c r="H31" i="22"/>
  <c r="F31" i="22"/>
  <c r="D31" i="22"/>
  <c r="C31" i="22"/>
  <c r="B31" i="22"/>
  <c r="C30" i="22"/>
  <c r="B30" i="22"/>
  <c r="C29" i="22"/>
  <c r="B29" i="22"/>
  <c r="C28" i="22"/>
  <c r="B28" i="22"/>
  <c r="H27" i="22"/>
  <c r="F27" i="22"/>
  <c r="D27" i="22"/>
  <c r="C27" i="22"/>
  <c r="B27" i="22"/>
  <c r="H26" i="22"/>
  <c r="F26" i="22"/>
  <c r="D26" i="22"/>
  <c r="C26" i="22"/>
  <c r="B26" i="22"/>
  <c r="H25" i="22"/>
  <c r="F25" i="22"/>
  <c r="D25" i="22"/>
  <c r="C25" i="22"/>
  <c r="B25" i="22"/>
  <c r="H24" i="22"/>
  <c r="F24" i="22"/>
  <c r="D24" i="22"/>
  <c r="C24" i="22"/>
  <c r="B24" i="22"/>
  <c r="F23" i="22"/>
  <c r="C23" i="22"/>
  <c r="B23" i="22"/>
  <c r="F22" i="22"/>
  <c r="C22" i="22"/>
  <c r="B22" i="22"/>
  <c r="F21" i="22"/>
  <c r="C21" i="22"/>
  <c r="B21" i="22"/>
  <c r="G16" i="22"/>
  <c r="F30" i="22" s="1"/>
  <c r="D16" i="22"/>
  <c r="D29" i="22" s="1"/>
  <c r="G15" i="22"/>
  <c r="H29" i="22" s="1"/>
  <c r="D15" i="22"/>
  <c r="D23" i="22" s="1"/>
  <c r="B14" i="22"/>
  <c r="C11" i="22"/>
  <c r="B11" i="22"/>
  <c r="I9" i="22"/>
  <c r="H9" i="22"/>
  <c r="D9" i="22"/>
  <c r="C9" i="22"/>
  <c r="B9" i="22"/>
  <c r="I8" i="22"/>
  <c r="H8" i="22"/>
  <c r="G8" i="22"/>
  <c r="F8" i="22"/>
  <c r="D8" i="22"/>
  <c r="C8" i="22"/>
  <c r="B8" i="22"/>
  <c r="I7" i="22"/>
  <c r="H7" i="22"/>
  <c r="G7" i="22"/>
  <c r="F7" i="22"/>
  <c r="D7" i="22"/>
  <c r="C7" i="22"/>
  <c r="B7" i="22"/>
  <c r="I6" i="22"/>
  <c r="H6" i="22"/>
  <c r="G6" i="22"/>
  <c r="F6" i="22"/>
  <c r="D6" i="22"/>
  <c r="C6" i="22"/>
  <c r="B6" i="22"/>
  <c r="I5" i="22"/>
  <c r="H5" i="22"/>
  <c r="G5" i="22"/>
  <c r="F5" i="22"/>
  <c r="D5" i="22"/>
  <c r="C5" i="22"/>
  <c r="B5" i="22"/>
  <c r="Z7" i="18"/>
  <c r="Z6" i="18"/>
  <c r="Z5" i="18"/>
  <c r="Z4" i="18"/>
  <c r="E60" i="24"/>
  <c r="E59" i="24"/>
  <c r="E49" i="24"/>
  <c r="B49" i="24"/>
  <c r="E48" i="24"/>
  <c r="B48" i="24"/>
  <c r="E47" i="24"/>
  <c r="B47" i="24"/>
  <c r="E46" i="24"/>
  <c r="B46" i="24"/>
  <c r="E45" i="24"/>
  <c r="B45" i="24"/>
  <c r="E44" i="24"/>
  <c r="B44" i="24"/>
  <c r="E40" i="24"/>
  <c r="B40" i="24"/>
  <c r="E39" i="24"/>
  <c r="B39" i="24"/>
  <c r="E38" i="24"/>
  <c r="B38" i="24"/>
  <c r="F34" i="24"/>
  <c r="D34" i="24"/>
  <c r="C34" i="24"/>
  <c r="B34" i="24"/>
  <c r="H33" i="24"/>
  <c r="F33" i="24"/>
  <c r="D33" i="24"/>
  <c r="C33" i="24"/>
  <c r="B33" i="24"/>
  <c r="H32" i="24"/>
  <c r="F32" i="24"/>
  <c r="D32" i="24"/>
  <c r="C32" i="24"/>
  <c r="B32" i="24"/>
  <c r="H31" i="24"/>
  <c r="F31" i="24"/>
  <c r="D31" i="24"/>
  <c r="C31" i="24"/>
  <c r="B31" i="24"/>
  <c r="C30" i="24"/>
  <c r="B30" i="24"/>
  <c r="C29" i="24"/>
  <c r="B29" i="24"/>
  <c r="H28" i="24"/>
  <c r="C28" i="24"/>
  <c r="B28" i="24"/>
  <c r="H27" i="24"/>
  <c r="F27" i="24"/>
  <c r="D27" i="24"/>
  <c r="C27" i="24"/>
  <c r="B27" i="24"/>
  <c r="H26" i="24"/>
  <c r="F26" i="24"/>
  <c r="D26" i="24"/>
  <c r="C26" i="24"/>
  <c r="B26" i="24"/>
  <c r="H25" i="24"/>
  <c r="F25" i="24"/>
  <c r="D25" i="24"/>
  <c r="C25" i="24"/>
  <c r="B25" i="24"/>
  <c r="H24" i="24"/>
  <c r="F24" i="24"/>
  <c r="D24" i="24"/>
  <c r="C24" i="24"/>
  <c r="B24" i="24"/>
  <c r="H23" i="24"/>
  <c r="F23" i="24"/>
  <c r="D23" i="24"/>
  <c r="C23" i="24"/>
  <c r="B23" i="24"/>
  <c r="F22" i="24"/>
  <c r="C22" i="24"/>
  <c r="B22" i="24"/>
  <c r="H21" i="24"/>
  <c r="F21" i="24"/>
  <c r="C21" i="24"/>
  <c r="B21" i="24"/>
  <c r="G16" i="24"/>
  <c r="F28" i="24" s="1"/>
  <c r="D16" i="24"/>
  <c r="D29" i="24" s="1"/>
  <c r="G15" i="24"/>
  <c r="H34" i="24" s="1"/>
  <c r="D15" i="24"/>
  <c r="D21" i="24" s="1"/>
  <c r="B14" i="24"/>
  <c r="C11" i="24"/>
  <c r="B11" i="24"/>
  <c r="I9" i="24"/>
  <c r="H9" i="24"/>
  <c r="D9" i="24"/>
  <c r="C9" i="24"/>
  <c r="B9" i="24"/>
  <c r="I8" i="24"/>
  <c r="H8" i="24"/>
  <c r="G8" i="24"/>
  <c r="F8" i="24"/>
  <c r="D8" i="24"/>
  <c r="C8" i="24"/>
  <c r="B8" i="24"/>
  <c r="I7" i="24"/>
  <c r="H7" i="24"/>
  <c r="G7" i="24"/>
  <c r="F7" i="24"/>
  <c r="D7" i="24"/>
  <c r="C7" i="24"/>
  <c r="B7" i="24"/>
  <c r="I6" i="24"/>
  <c r="H6" i="24"/>
  <c r="G6" i="24"/>
  <c r="F6" i="24"/>
  <c r="D6" i="24"/>
  <c r="C6" i="24"/>
  <c r="B6" i="24"/>
  <c r="I5" i="24"/>
  <c r="H5" i="24"/>
  <c r="G5" i="24"/>
  <c r="F5" i="24"/>
  <c r="D5" i="24"/>
  <c r="C5" i="24"/>
  <c r="B5" i="24"/>
  <c r="H274" i="20"/>
  <c r="H273" i="20"/>
  <c r="H272" i="20"/>
  <c r="D893" i="19"/>
  <c r="D892" i="19"/>
  <c r="D891" i="19"/>
  <c r="D889" i="19"/>
  <c r="D888" i="19"/>
  <c r="D887" i="19"/>
  <c r="D883" i="19"/>
  <c r="D882" i="19"/>
  <c r="D881" i="19"/>
  <c r="D880" i="19"/>
  <c r="D879" i="19"/>
  <c r="D878" i="19"/>
  <c r="D877" i="19"/>
  <c r="D876" i="19"/>
  <c r="D875" i="19"/>
  <c r="D874" i="19"/>
  <c r="D873" i="19"/>
  <c r="D872" i="19"/>
  <c r="D871" i="19"/>
  <c r="D870" i="19"/>
  <c r="D869" i="19"/>
  <c r="D868" i="19"/>
  <c r="D867" i="19"/>
  <c r="D866" i="19"/>
  <c r="D865" i="19"/>
  <c r="D864" i="19"/>
  <c r="D863" i="19"/>
  <c r="D862" i="19"/>
  <c r="D861" i="19"/>
  <c r="D860" i="19"/>
  <c r="D859" i="19"/>
  <c r="D858" i="19"/>
  <c r="D857" i="19"/>
  <c r="D856" i="19"/>
  <c r="D855" i="19"/>
  <c r="D851" i="19"/>
  <c r="D850" i="19"/>
  <c r="D849" i="19"/>
  <c r="D848" i="19"/>
  <c r="D847" i="19"/>
  <c r="D846" i="19"/>
  <c r="D845" i="19"/>
  <c r="D844" i="19"/>
  <c r="D843" i="19"/>
  <c r="D842" i="19"/>
  <c r="D841" i="19"/>
  <c r="D840" i="19"/>
  <c r="D839" i="19"/>
  <c r="D838" i="19"/>
  <c r="D837" i="19"/>
  <c r="D836" i="19"/>
  <c r="D835" i="19"/>
  <c r="D834" i="19"/>
  <c r="D833" i="19"/>
  <c r="D832" i="19"/>
  <c r="D831" i="19"/>
  <c r="D830" i="19"/>
  <c r="D829" i="19"/>
  <c r="D828" i="19"/>
  <c r="D827" i="19"/>
  <c r="D826" i="19"/>
  <c r="D825" i="19"/>
  <c r="D824" i="19"/>
  <c r="D823" i="19"/>
  <c r="D819" i="19"/>
  <c r="D818" i="19"/>
  <c r="D817" i="19"/>
  <c r="D816" i="19"/>
  <c r="D815" i="19"/>
  <c r="D814" i="19"/>
  <c r="D813" i="19"/>
  <c r="D812" i="19"/>
  <c r="D811" i="19"/>
  <c r="D810" i="19"/>
  <c r="D809" i="19"/>
  <c r="D808" i="19"/>
  <c r="D807" i="19"/>
  <c r="D806" i="19"/>
  <c r="D805" i="19"/>
  <c r="D804" i="19"/>
  <c r="D803" i="19"/>
  <c r="D802" i="19"/>
  <c r="D801" i="19"/>
  <c r="D800" i="19"/>
  <c r="D799" i="19"/>
  <c r="D798" i="19"/>
  <c r="D797" i="19"/>
  <c r="D796" i="19"/>
  <c r="D795" i="19"/>
  <c r="D794" i="19"/>
  <c r="D793" i="19"/>
  <c r="D792" i="19"/>
  <c r="D791" i="19"/>
  <c r="D958" i="19"/>
  <c r="C958" i="19"/>
  <c r="B958" i="19"/>
  <c r="D957" i="19"/>
  <c r="C957" i="19"/>
  <c r="B957" i="19"/>
  <c r="D956" i="19"/>
  <c r="C956" i="19"/>
  <c r="B956" i="19"/>
  <c r="D955" i="19"/>
  <c r="C955" i="19"/>
  <c r="B955" i="19"/>
  <c r="B954" i="19"/>
  <c r="D952" i="19"/>
  <c r="C952" i="19"/>
  <c r="B952" i="19"/>
  <c r="D951" i="19"/>
  <c r="C951" i="19"/>
  <c r="D950" i="19"/>
  <c r="C950" i="19"/>
  <c r="D949" i="19"/>
  <c r="C949" i="19"/>
  <c r="B948" i="19"/>
  <c r="D947" i="19"/>
  <c r="C947" i="19"/>
  <c r="B947" i="19"/>
  <c r="D946" i="19"/>
  <c r="C946" i="19"/>
  <c r="D945" i="19"/>
  <c r="C945" i="19"/>
  <c r="D944" i="19"/>
  <c r="C944" i="19"/>
  <c r="B943" i="19"/>
  <c r="D942" i="19"/>
  <c r="C942" i="19"/>
  <c r="B942" i="19"/>
  <c r="D941" i="19"/>
  <c r="C941" i="19"/>
  <c r="D940" i="19"/>
  <c r="C940" i="19"/>
  <c r="D939" i="19"/>
  <c r="C939" i="19"/>
  <c r="B938" i="19"/>
  <c r="D937" i="19"/>
  <c r="C937" i="19"/>
  <c r="B937" i="19"/>
  <c r="D936" i="19"/>
  <c r="C936" i="19"/>
  <c r="D935" i="19"/>
  <c r="C935" i="19"/>
  <c r="B934" i="19"/>
  <c r="B933" i="19"/>
  <c r="D931" i="19"/>
  <c r="C931" i="19"/>
  <c r="B931" i="19"/>
  <c r="D930" i="19"/>
  <c r="C930" i="19"/>
  <c r="D929" i="19"/>
  <c r="C929" i="19"/>
  <c r="B929" i="19"/>
  <c r="B928" i="19"/>
  <c r="D926" i="19"/>
  <c r="C926" i="19"/>
  <c r="B926" i="19"/>
  <c r="D925" i="19"/>
  <c r="C925" i="19"/>
  <c r="D924" i="19"/>
  <c r="C924" i="19"/>
  <c r="D923" i="19"/>
  <c r="C923" i="19"/>
  <c r="B922" i="19"/>
  <c r="D921" i="19"/>
  <c r="C921" i="19"/>
  <c r="D920" i="19"/>
  <c r="C920" i="19"/>
  <c r="B920" i="19"/>
  <c r="D919" i="19"/>
  <c r="C919" i="19"/>
  <c r="B919" i="19"/>
  <c r="D918" i="19"/>
  <c r="C918" i="19"/>
  <c r="B918" i="19"/>
  <c r="B917" i="19"/>
  <c r="D916" i="19"/>
  <c r="C916" i="19"/>
  <c r="B916" i="19"/>
  <c r="D915" i="19"/>
  <c r="C915" i="19"/>
  <c r="B915" i="19"/>
  <c r="B914" i="19"/>
  <c r="D912" i="19"/>
  <c r="C912" i="19"/>
  <c r="B912" i="19"/>
  <c r="D911" i="19"/>
  <c r="C911" i="19"/>
  <c r="B911" i="19"/>
  <c r="D910" i="19"/>
  <c r="C910" i="19"/>
  <c r="B910" i="19"/>
  <c r="B909" i="19"/>
  <c r="D908" i="19"/>
  <c r="C908" i="19"/>
  <c r="B908" i="19"/>
  <c r="D907" i="19"/>
  <c r="C907" i="19"/>
  <c r="D906" i="19"/>
  <c r="C906" i="19"/>
  <c r="D905" i="19"/>
  <c r="C905" i="19"/>
  <c r="B904" i="19"/>
  <c r="D903" i="19"/>
  <c r="C903" i="19"/>
  <c r="B903" i="19"/>
  <c r="D902" i="19"/>
  <c r="C902" i="19"/>
  <c r="D901" i="19"/>
  <c r="C901" i="19"/>
  <c r="D900" i="19"/>
  <c r="C900" i="19"/>
  <c r="D899" i="19"/>
  <c r="C899" i="19"/>
  <c r="D898" i="19"/>
  <c r="C898" i="19"/>
  <c r="B897" i="19"/>
  <c r="B896" i="19"/>
  <c r="D854" i="19"/>
  <c r="D822" i="19"/>
  <c r="D790" i="19"/>
  <c r="D640" i="19"/>
  <c r="D786" i="19"/>
  <c r="B786" i="19"/>
  <c r="D785" i="19"/>
  <c r="B785" i="19"/>
  <c r="D784" i="19"/>
  <c r="B784" i="19"/>
  <c r="D783" i="19"/>
  <c r="B783" i="19"/>
  <c r="D782" i="19"/>
  <c r="B782" i="19"/>
  <c r="D781" i="19"/>
  <c r="B781" i="19"/>
  <c r="D780" i="19"/>
  <c r="B780" i="19"/>
  <c r="D779" i="19"/>
  <c r="B779" i="19"/>
  <c r="D778" i="19"/>
  <c r="B778" i="19"/>
  <c r="D777" i="19"/>
  <c r="B777" i="19"/>
  <c r="D776" i="19"/>
  <c r="B776" i="19"/>
  <c r="D775" i="19"/>
  <c r="B775" i="19"/>
  <c r="D774" i="19"/>
  <c r="B774" i="19"/>
  <c r="D773" i="19"/>
  <c r="B773" i="19"/>
  <c r="D772" i="19"/>
  <c r="B772" i="19"/>
  <c r="D771" i="19"/>
  <c r="B771" i="19"/>
  <c r="D770" i="19"/>
  <c r="B770" i="19"/>
  <c r="D769" i="19"/>
  <c r="B769" i="19"/>
  <c r="D768" i="19"/>
  <c r="B768" i="19"/>
  <c r="D767" i="19"/>
  <c r="B767" i="19"/>
  <c r="D766" i="19"/>
  <c r="B766" i="19"/>
  <c r="B765" i="19"/>
  <c r="D764" i="19"/>
  <c r="B764" i="19"/>
  <c r="D763" i="19"/>
  <c r="B763" i="19"/>
  <c r="D762" i="19"/>
  <c r="B762" i="19"/>
  <c r="D761" i="19"/>
  <c r="B761" i="19"/>
  <c r="D760" i="19"/>
  <c r="B760" i="19"/>
  <c r="D759" i="19"/>
  <c r="B759" i="19"/>
  <c r="D758" i="19"/>
  <c r="B758" i="19"/>
  <c r="D757" i="19"/>
  <c r="B757" i="19"/>
  <c r="D756" i="19"/>
  <c r="B756" i="19"/>
  <c r="B755" i="19"/>
  <c r="D754" i="19"/>
  <c r="B754" i="19"/>
  <c r="D753" i="19"/>
  <c r="B753" i="19"/>
  <c r="D752" i="19"/>
  <c r="B752" i="19"/>
  <c r="B751" i="19"/>
  <c r="D750" i="19"/>
  <c r="D748" i="19"/>
  <c r="B748" i="19"/>
  <c r="D747" i="19"/>
  <c r="B747" i="19"/>
  <c r="D746" i="19"/>
  <c r="B746" i="19"/>
  <c r="D745" i="19"/>
  <c r="B745" i="19"/>
  <c r="D744" i="19"/>
  <c r="B744" i="19"/>
  <c r="D743" i="19"/>
  <c r="B743" i="19"/>
  <c r="D742" i="19"/>
  <c r="B742" i="19"/>
  <c r="D741" i="19"/>
  <c r="B741" i="19"/>
  <c r="D740" i="19"/>
  <c r="B740" i="19"/>
  <c r="D739" i="19"/>
  <c r="B739" i="19"/>
  <c r="D738" i="19"/>
  <c r="B738" i="19"/>
  <c r="D737" i="19"/>
  <c r="B737" i="19"/>
  <c r="D736" i="19"/>
  <c r="B736" i="19"/>
  <c r="D735" i="19"/>
  <c r="B735" i="19"/>
  <c r="D734" i="19"/>
  <c r="B734" i="19"/>
  <c r="D733" i="19"/>
  <c r="B733" i="19"/>
  <c r="D732" i="19"/>
  <c r="B732" i="19"/>
  <c r="D731" i="19"/>
  <c r="B731" i="19"/>
  <c r="D730" i="19"/>
  <c r="B730" i="19"/>
  <c r="D729" i="19"/>
  <c r="B729" i="19"/>
  <c r="D728" i="19"/>
  <c r="B728" i="19"/>
  <c r="B727" i="19"/>
  <c r="D726" i="19"/>
  <c r="B726" i="19"/>
  <c r="D725" i="19"/>
  <c r="B725" i="19"/>
  <c r="D724" i="19"/>
  <c r="B724" i="19"/>
  <c r="D723" i="19"/>
  <c r="B723" i="19"/>
  <c r="D722" i="19"/>
  <c r="B722" i="19"/>
  <c r="D721" i="19"/>
  <c r="B721" i="19"/>
  <c r="D720" i="19"/>
  <c r="B720" i="19"/>
  <c r="D719" i="19"/>
  <c r="B719" i="19"/>
  <c r="D718" i="19"/>
  <c r="B718" i="19"/>
  <c r="B717" i="19"/>
  <c r="D716" i="19"/>
  <c r="B716" i="19"/>
  <c r="D715" i="19"/>
  <c r="B715" i="19"/>
  <c r="D714" i="19"/>
  <c r="B714" i="19"/>
  <c r="B713" i="19"/>
  <c r="D712" i="19"/>
  <c r="D710" i="19"/>
  <c r="B710" i="19"/>
  <c r="D709" i="19"/>
  <c r="B709" i="19"/>
  <c r="D708" i="19"/>
  <c r="B708" i="19"/>
  <c r="D707" i="19"/>
  <c r="B707" i="19"/>
  <c r="D706" i="19"/>
  <c r="B706" i="19"/>
  <c r="D705" i="19"/>
  <c r="B705" i="19"/>
  <c r="D704" i="19"/>
  <c r="B704" i="19"/>
  <c r="D703" i="19"/>
  <c r="B703" i="19"/>
  <c r="D702" i="19"/>
  <c r="B702" i="19"/>
  <c r="D701" i="19"/>
  <c r="B701" i="19"/>
  <c r="D700" i="19"/>
  <c r="B700" i="19"/>
  <c r="D699" i="19"/>
  <c r="B699" i="19"/>
  <c r="D698" i="19"/>
  <c r="B698" i="19"/>
  <c r="D697" i="19"/>
  <c r="B697" i="19"/>
  <c r="D696" i="19"/>
  <c r="B696" i="19"/>
  <c r="D695" i="19"/>
  <c r="B695" i="19"/>
  <c r="D694" i="19"/>
  <c r="B694" i="19"/>
  <c r="D693" i="19"/>
  <c r="B693" i="19"/>
  <c r="D692" i="19"/>
  <c r="B692" i="19"/>
  <c r="D691" i="19"/>
  <c r="B691" i="19"/>
  <c r="D690" i="19"/>
  <c r="B690" i="19"/>
  <c r="B689" i="19"/>
  <c r="D688" i="19"/>
  <c r="B688" i="19"/>
  <c r="D687" i="19"/>
  <c r="B687" i="19"/>
  <c r="D686" i="19"/>
  <c r="B686" i="19"/>
  <c r="D685" i="19"/>
  <c r="B685" i="19"/>
  <c r="D684" i="19"/>
  <c r="B684" i="19"/>
  <c r="D683" i="19"/>
  <c r="B683" i="19"/>
  <c r="D682" i="19"/>
  <c r="B682" i="19"/>
  <c r="D681" i="19"/>
  <c r="B681" i="19"/>
  <c r="D680" i="19"/>
  <c r="B680" i="19"/>
  <c r="B679" i="19"/>
  <c r="D678" i="19"/>
  <c r="B678" i="19"/>
  <c r="D677" i="19"/>
  <c r="B677" i="19"/>
  <c r="D676" i="19"/>
  <c r="B676" i="19"/>
  <c r="B675" i="19"/>
  <c r="D674" i="19"/>
  <c r="D672" i="19"/>
  <c r="B672" i="19"/>
  <c r="D671" i="19"/>
  <c r="B671" i="19"/>
  <c r="D670" i="19"/>
  <c r="B670" i="19"/>
  <c r="D669" i="19"/>
  <c r="B669" i="19"/>
  <c r="D668" i="19"/>
  <c r="B668" i="19"/>
  <c r="D667" i="19"/>
  <c r="B667" i="19"/>
  <c r="D666" i="19"/>
  <c r="B666" i="19"/>
  <c r="D665" i="19"/>
  <c r="B665" i="19"/>
  <c r="D664" i="19"/>
  <c r="B664" i="19"/>
  <c r="D663" i="19"/>
  <c r="B663" i="19"/>
  <c r="D662" i="19"/>
  <c r="B662" i="19"/>
  <c r="D661" i="19"/>
  <c r="B661" i="19"/>
  <c r="D660" i="19"/>
  <c r="B660" i="19"/>
  <c r="D659" i="19"/>
  <c r="B659" i="19"/>
  <c r="D658" i="19"/>
  <c r="B658" i="19"/>
  <c r="D657" i="19"/>
  <c r="B657" i="19"/>
  <c r="D656" i="19"/>
  <c r="B656" i="19"/>
  <c r="D655" i="19"/>
  <c r="B655" i="19"/>
  <c r="D654" i="19"/>
  <c r="B654" i="19"/>
  <c r="D653" i="19"/>
  <c r="B653" i="19"/>
  <c r="D652" i="19"/>
  <c r="B652" i="19"/>
  <c r="D651" i="19"/>
  <c r="B651" i="19"/>
  <c r="D650" i="19"/>
  <c r="B650" i="19"/>
  <c r="D649" i="19"/>
  <c r="B649" i="19"/>
  <c r="D648" i="19"/>
  <c r="B648" i="19"/>
  <c r="D647" i="19"/>
  <c r="B647" i="19"/>
  <c r="D646" i="19"/>
  <c r="B646" i="19"/>
  <c r="D645" i="19"/>
  <c r="B645" i="19"/>
  <c r="D644" i="19"/>
  <c r="B644" i="19"/>
  <c r="B643" i="19"/>
  <c r="D642" i="19"/>
  <c r="B642" i="19"/>
  <c r="D641" i="19"/>
  <c r="B641" i="19"/>
  <c r="B640" i="19"/>
  <c r="D636" i="19"/>
  <c r="D633" i="19"/>
  <c r="D632" i="19"/>
  <c r="D631" i="19"/>
  <c r="D630" i="19"/>
  <c r="D629" i="19"/>
  <c r="D628" i="19"/>
  <c r="D625" i="19"/>
  <c r="D624" i="19"/>
  <c r="D623" i="19"/>
  <c r="D622" i="19"/>
  <c r="D621" i="19"/>
  <c r="D620" i="19"/>
  <c r="D619" i="19"/>
  <c r="D616" i="19"/>
  <c r="D615" i="19"/>
  <c r="D614" i="19"/>
  <c r="D611" i="19"/>
  <c r="D610" i="19"/>
  <c r="D609" i="19"/>
  <c r="D608" i="19"/>
  <c r="D607" i="19"/>
  <c r="D606" i="19"/>
  <c r="D605" i="19"/>
  <c r="D604" i="19"/>
  <c r="D603" i="19"/>
  <c r="D602" i="19"/>
  <c r="D601" i="19"/>
  <c r="D598" i="19"/>
  <c r="D597" i="19"/>
  <c r="D596" i="19"/>
  <c r="D593" i="19"/>
  <c r="D592" i="19"/>
  <c r="D591" i="19"/>
  <c r="D590" i="19"/>
  <c r="C20" i="11"/>
  <c r="D19" i="11"/>
  <c r="C15" i="11"/>
  <c r="C14" i="11"/>
  <c r="B14" i="11"/>
  <c r="C13" i="11"/>
  <c r="B13" i="11"/>
  <c r="C9" i="11"/>
  <c r="D7" i="11"/>
  <c r="D6" i="11"/>
  <c r="D5" i="11"/>
  <c r="D4" i="11"/>
  <c r="D1" i="11"/>
  <c r="B568" i="19"/>
  <c r="D586" i="19"/>
  <c r="D585" i="19"/>
  <c r="D584" i="19"/>
  <c r="D581" i="19"/>
  <c r="D580" i="19"/>
  <c r="D579" i="19"/>
  <c r="D578" i="19"/>
  <c r="D575" i="19"/>
  <c r="D574" i="19"/>
  <c r="D573" i="19"/>
  <c r="D572" i="19"/>
  <c r="D571" i="19"/>
  <c r="D568" i="19"/>
  <c r="D567" i="19"/>
  <c r="C20" i="10"/>
  <c r="D19" i="10"/>
  <c r="C15" i="10"/>
  <c r="C14" i="10"/>
  <c r="B14" i="10"/>
  <c r="C13" i="10"/>
  <c r="B13" i="10"/>
  <c r="C9" i="10"/>
  <c r="D7" i="10"/>
  <c r="D6" i="10"/>
  <c r="D5" i="10"/>
  <c r="D4" i="10"/>
  <c r="D1" i="10"/>
  <c r="B545" i="19"/>
  <c r="D540" i="19"/>
  <c r="D539" i="19"/>
  <c r="D538" i="19"/>
  <c r="D537" i="19"/>
  <c r="D536" i="19"/>
  <c r="D535" i="19"/>
  <c r="D534" i="19"/>
  <c r="D533" i="19"/>
  <c r="D532" i="19"/>
  <c r="D531" i="19"/>
  <c r="D530" i="19"/>
  <c r="D529" i="19"/>
  <c r="D528" i="19"/>
  <c r="D525" i="19"/>
  <c r="D524" i="19"/>
  <c r="D521" i="19"/>
  <c r="D520" i="19"/>
  <c r="D519" i="19"/>
  <c r="D518" i="19"/>
  <c r="D515" i="19"/>
  <c r="D514" i="19"/>
  <c r="D513" i="19"/>
  <c r="D512" i="19"/>
  <c r="D509" i="19"/>
  <c r="D508" i="19"/>
  <c r="D507" i="19"/>
  <c r="D506" i="19"/>
  <c r="D505" i="19"/>
  <c r="D503" i="19"/>
  <c r="D502" i="19"/>
  <c r="D501" i="19"/>
  <c r="D500" i="19"/>
  <c r="D499" i="19"/>
  <c r="D498" i="19"/>
  <c r="D497" i="19"/>
  <c r="D496" i="19"/>
  <c r="D495" i="19"/>
  <c r="D492" i="19"/>
  <c r="D491" i="19"/>
  <c r="D490" i="19"/>
  <c r="D489" i="19"/>
  <c r="D488" i="19"/>
  <c r="D486" i="19"/>
  <c r="D485" i="19"/>
  <c r="D484" i="19"/>
  <c r="D480" i="19"/>
  <c r="D479" i="19"/>
  <c r="D478" i="19"/>
  <c r="D475" i="19"/>
  <c r="D474" i="19"/>
  <c r="D473" i="19"/>
  <c r="D472" i="19"/>
  <c r="D471" i="19"/>
  <c r="D470" i="19"/>
  <c r="D469" i="19"/>
  <c r="D468" i="19"/>
  <c r="D467" i="19"/>
  <c r="D466" i="19"/>
  <c r="D465" i="19"/>
  <c r="D464" i="19"/>
  <c r="D461" i="19"/>
  <c r="D460" i="19"/>
  <c r="D459" i="19"/>
  <c r="D458" i="19"/>
  <c r="D457" i="19"/>
  <c r="D456" i="19"/>
  <c r="D453" i="19"/>
  <c r="D452" i="19"/>
  <c r="D451" i="19"/>
  <c r="D450" i="19"/>
  <c r="D449" i="19"/>
  <c r="D448" i="19"/>
  <c r="D445" i="19"/>
  <c r="D444" i="19"/>
  <c r="D443" i="19"/>
  <c r="D442" i="19"/>
  <c r="D441" i="19"/>
  <c r="D440" i="19"/>
  <c r="D439" i="19"/>
  <c r="D438" i="19"/>
  <c r="D437" i="19"/>
  <c r="D436" i="19"/>
  <c r="D435" i="19"/>
  <c r="D434" i="19"/>
  <c r="D431" i="19"/>
  <c r="D430" i="19"/>
  <c r="D429" i="19"/>
  <c r="D428" i="19"/>
  <c r="D427" i="19"/>
  <c r="D426" i="19"/>
  <c r="D423" i="19"/>
  <c r="D422" i="19"/>
  <c r="D421" i="19"/>
  <c r="D420" i="19"/>
  <c r="D419" i="19"/>
  <c r="D418" i="19"/>
  <c r="D414" i="19"/>
  <c r="D413" i="19"/>
  <c r="D410" i="19"/>
  <c r="D409" i="19"/>
  <c r="D408" i="19"/>
  <c r="D407" i="19"/>
  <c r="D404" i="19"/>
  <c r="D403" i="19"/>
  <c r="D400" i="19"/>
  <c r="D399" i="19"/>
  <c r="D398" i="19"/>
  <c r="D397" i="19"/>
  <c r="D396" i="19"/>
  <c r="D395" i="19"/>
  <c r="D394" i="19"/>
  <c r="D393" i="19"/>
  <c r="D392" i="19"/>
  <c r="D391" i="19"/>
  <c r="D390" i="19"/>
  <c r="D389" i="19"/>
  <c r="D388" i="19"/>
  <c r="D387" i="19"/>
  <c r="D384" i="19"/>
  <c r="D383" i="19"/>
  <c r="D382" i="19"/>
  <c r="D381" i="19"/>
  <c r="D380" i="19"/>
  <c r="D379" i="19"/>
  <c r="D378" i="19"/>
  <c r="D375" i="19"/>
  <c r="D374" i="19"/>
  <c r="D373" i="19"/>
  <c r="D369" i="19"/>
  <c r="B369" i="19"/>
  <c r="D368" i="19"/>
  <c r="B368" i="19"/>
  <c r="D367" i="19"/>
  <c r="B367" i="19"/>
  <c r="D364" i="19"/>
  <c r="B364" i="19"/>
  <c r="D363" i="19"/>
  <c r="B363" i="19"/>
  <c r="D362" i="19"/>
  <c r="B362" i="19"/>
  <c r="D361" i="19"/>
  <c r="B361" i="19"/>
  <c r="D358" i="19"/>
  <c r="B358" i="19"/>
  <c r="D357" i="19"/>
  <c r="B357" i="19"/>
  <c r="D356" i="19"/>
  <c r="B356" i="19"/>
  <c r="D355" i="19"/>
  <c r="B355" i="19"/>
  <c r="D352" i="19"/>
  <c r="B352" i="19"/>
  <c r="D351" i="19"/>
  <c r="B351" i="19"/>
  <c r="D350" i="19"/>
  <c r="B350" i="19"/>
  <c r="D349" i="19"/>
  <c r="B349" i="19"/>
  <c r="D348" i="19"/>
  <c r="B348" i="19"/>
  <c r="D347" i="19"/>
  <c r="B347" i="19"/>
  <c r="D346" i="19"/>
  <c r="B346" i="19"/>
  <c r="D345" i="19"/>
  <c r="B345" i="19"/>
  <c r="D344" i="19"/>
  <c r="B344" i="19"/>
  <c r="D343" i="19"/>
  <c r="B343" i="19"/>
  <c r="D342" i="19"/>
  <c r="B342" i="19"/>
  <c r="D341" i="19"/>
  <c r="B341" i="19"/>
  <c r="D340" i="19"/>
  <c r="B340" i="19"/>
  <c r="D339" i="19"/>
  <c r="B339" i="19"/>
  <c r="D338" i="19"/>
  <c r="B338" i="19"/>
  <c r="D335" i="19"/>
  <c r="B335" i="19"/>
  <c r="D334" i="19"/>
  <c r="B334" i="19"/>
  <c r="D333" i="19"/>
  <c r="B333" i="19"/>
  <c r="D332" i="19"/>
  <c r="B332" i="19"/>
  <c r="D331" i="19"/>
  <c r="B331" i="19"/>
  <c r="D330" i="19"/>
  <c r="B330" i="19"/>
  <c r="D329" i="19"/>
  <c r="B329" i="19"/>
  <c r="D328" i="19"/>
  <c r="B328" i="19"/>
  <c r="D327" i="19"/>
  <c r="B327" i="19"/>
  <c r="D326" i="19"/>
  <c r="B326" i="19"/>
  <c r="D325" i="19"/>
  <c r="B325" i="19"/>
  <c r="D324" i="19"/>
  <c r="B324" i="19"/>
  <c r="D323" i="19"/>
  <c r="B323" i="19"/>
  <c r="D322" i="19"/>
  <c r="B322" i="19"/>
  <c r="D319" i="19"/>
  <c r="B319" i="19"/>
  <c r="D318" i="19"/>
  <c r="B318" i="19"/>
  <c r="D317" i="19"/>
  <c r="B317" i="19"/>
  <c r="D316" i="19"/>
  <c r="B316" i="19"/>
  <c r="D315" i="19"/>
  <c r="B315" i="19"/>
  <c r="D314" i="19"/>
  <c r="B314" i="19"/>
  <c r="D311" i="19"/>
  <c r="D310" i="19"/>
  <c r="C22" i="21"/>
  <c r="C21" i="21"/>
  <c r="C20" i="21"/>
  <c r="W243" i="20"/>
  <c r="D305" i="19"/>
  <c r="D304" i="19"/>
  <c r="D303" i="19"/>
  <c r="D302" i="19"/>
  <c r="D301" i="19"/>
  <c r="D298" i="19"/>
  <c r="D297" i="19"/>
  <c r="D296" i="19"/>
  <c r="D295" i="19"/>
  <c r="D294" i="19"/>
  <c r="D290" i="19"/>
  <c r="D289" i="19"/>
  <c r="D288" i="19"/>
  <c r="D287" i="19"/>
  <c r="D286" i="19"/>
  <c r="D282" i="19"/>
  <c r="D281" i="19"/>
  <c r="D278" i="19"/>
  <c r="D277" i="19"/>
  <c r="D276" i="19"/>
  <c r="D273" i="19"/>
  <c r="D272" i="19"/>
  <c r="D271" i="19"/>
  <c r="D270" i="19"/>
  <c r="D269" i="19"/>
  <c r="D268" i="19"/>
  <c r="W249" i="20"/>
  <c r="D264" i="19"/>
  <c r="D263" i="19"/>
  <c r="D260" i="19"/>
  <c r="D259" i="19"/>
  <c r="D258" i="19"/>
  <c r="D257" i="19"/>
  <c r="D254" i="19"/>
  <c r="D253" i="19"/>
  <c r="D252" i="19"/>
  <c r="D249" i="19"/>
  <c r="D248" i="19"/>
  <c r="D247" i="19"/>
  <c r="D246" i="19"/>
  <c r="D245" i="19"/>
  <c r="D244" i="19"/>
  <c r="D243" i="19"/>
  <c r="D242" i="19"/>
  <c r="D241" i="19"/>
  <c r="D240" i="19"/>
  <c r="D239" i="19"/>
  <c r="D238" i="19"/>
  <c r="D237" i="19"/>
  <c r="D236" i="19"/>
  <c r="D235" i="19"/>
  <c r="D232" i="19"/>
  <c r="D231" i="19"/>
  <c r="D230" i="19"/>
  <c r="D229" i="19"/>
  <c r="D228" i="19"/>
  <c r="D227" i="19"/>
  <c r="D226" i="19"/>
  <c r="D225" i="19"/>
  <c r="D224" i="19"/>
  <c r="D223" i="19"/>
  <c r="D222" i="19"/>
  <c r="D221" i="19"/>
  <c r="D220" i="19"/>
  <c r="D219" i="19"/>
  <c r="D218" i="19"/>
  <c r="D215" i="19"/>
  <c r="D214" i="19"/>
  <c r="D213" i="19"/>
  <c r="D212" i="19"/>
  <c r="D211" i="19"/>
  <c r="D210" i="19"/>
  <c r="D209" i="19"/>
  <c r="D208" i="19"/>
  <c r="D207" i="19"/>
  <c r="D206" i="19"/>
  <c r="D205" i="19"/>
  <c r="D204" i="19"/>
  <c r="D203" i="19"/>
  <c r="D202" i="19"/>
  <c r="D201" i="19"/>
  <c r="D198" i="19"/>
  <c r="D197" i="19"/>
  <c r="D196" i="19"/>
  <c r="D195" i="19"/>
  <c r="D194" i="19"/>
  <c r="D193" i="19"/>
  <c r="D192" i="19"/>
  <c r="D191" i="19"/>
  <c r="C22" i="23"/>
  <c r="C21" i="23"/>
  <c r="C20" i="23"/>
  <c r="W241" i="20"/>
  <c r="D187" i="19"/>
  <c r="D186" i="19"/>
  <c r="D185" i="19"/>
  <c r="D184" i="19"/>
  <c r="D183" i="19"/>
  <c r="D180" i="19"/>
  <c r="D179" i="19"/>
  <c r="D178" i="19"/>
  <c r="D177" i="19"/>
  <c r="D176" i="19"/>
  <c r="D172" i="19"/>
  <c r="D171" i="19"/>
  <c r="D170" i="19"/>
  <c r="D169" i="19"/>
  <c r="D168" i="19"/>
  <c r="D164" i="19"/>
  <c r="D163" i="19"/>
  <c r="D160" i="19"/>
  <c r="D159" i="19"/>
  <c r="D158" i="19"/>
  <c r="D155" i="19"/>
  <c r="D154" i="19"/>
  <c r="D153" i="19"/>
  <c r="D152" i="19"/>
  <c r="D151" i="19"/>
  <c r="D150" i="19"/>
  <c r="W247" i="20"/>
  <c r="D146" i="19"/>
  <c r="D145" i="19"/>
  <c r="D142" i="19"/>
  <c r="D141" i="19"/>
  <c r="D140" i="19"/>
  <c r="D139" i="19"/>
  <c r="D136" i="19"/>
  <c r="D135" i="19"/>
  <c r="D134" i="19"/>
  <c r="D131" i="19"/>
  <c r="D130" i="19"/>
  <c r="D129" i="19"/>
  <c r="D128" i="19"/>
  <c r="D127" i="19"/>
  <c r="D126" i="19"/>
  <c r="D125" i="19"/>
  <c r="D124" i="19"/>
  <c r="D123" i="19"/>
  <c r="D122" i="19"/>
  <c r="D121" i="19"/>
  <c r="D120" i="19"/>
  <c r="D119" i="19"/>
  <c r="D118" i="19"/>
  <c r="D117" i="19"/>
  <c r="D114" i="19"/>
  <c r="D113" i="19"/>
  <c r="D112" i="19"/>
  <c r="D111" i="19"/>
  <c r="D110" i="19"/>
  <c r="D109" i="19"/>
  <c r="D108" i="19"/>
  <c r="D107" i="19"/>
  <c r="D106" i="19"/>
  <c r="D105" i="19"/>
  <c r="D104" i="19"/>
  <c r="D103" i="19"/>
  <c r="D102" i="19"/>
  <c r="D101" i="19"/>
  <c r="D100" i="19"/>
  <c r="D97" i="19"/>
  <c r="D96" i="19"/>
  <c r="D95" i="19"/>
  <c r="D94" i="19"/>
  <c r="D93" i="19"/>
  <c r="D92" i="19"/>
  <c r="D91" i="19"/>
  <c r="D90" i="19"/>
  <c r="D89" i="19"/>
  <c r="D88" i="19"/>
  <c r="D87" i="19"/>
  <c r="D86" i="19"/>
  <c r="D85" i="19"/>
  <c r="D84" i="19"/>
  <c r="D83" i="19"/>
  <c r="D80" i="19"/>
  <c r="D79" i="19"/>
  <c r="D78" i="19"/>
  <c r="D77" i="19"/>
  <c r="D76" i="19"/>
  <c r="D75" i="19"/>
  <c r="D74" i="19"/>
  <c r="D73" i="19"/>
  <c r="P9" i="19"/>
  <c r="D69" i="19"/>
  <c r="D68" i="19"/>
  <c r="D65" i="19"/>
  <c r="D64" i="19"/>
  <c r="D63" i="19"/>
  <c r="D62" i="19"/>
  <c r="D61" i="19"/>
  <c r="D60" i="19"/>
  <c r="D57" i="19"/>
  <c r="D56" i="19"/>
  <c r="D55" i="19"/>
  <c r="D54" i="19"/>
  <c r="D53" i="19"/>
  <c r="D52" i="19"/>
  <c r="D51" i="19"/>
  <c r="D50" i="19"/>
  <c r="D49" i="19"/>
  <c r="D48" i="19"/>
  <c r="D47" i="19"/>
  <c r="D46" i="19"/>
  <c r="D45" i="19"/>
  <c r="D44" i="19"/>
  <c r="D43" i="19"/>
  <c r="D40" i="19"/>
  <c r="D39" i="19"/>
  <c r="D38" i="19"/>
  <c r="D37" i="19"/>
  <c r="D36" i="19"/>
  <c r="D35" i="19"/>
  <c r="D34" i="19"/>
  <c r="D33" i="19"/>
  <c r="D32" i="19"/>
  <c r="D31" i="19"/>
  <c r="D30" i="19"/>
  <c r="D29" i="19"/>
  <c r="D28" i="19"/>
  <c r="D27" i="19"/>
  <c r="D26" i="19"/>
  <c r="D23" i="19"/>
  <c r="D22" i="19"/>
  <c r="D21" i="19"/>
  <c r="D20" i="19"/>
  <c r="D19" i="19"/>
  <c r="D18" i="19"/>
  <c r="D17" i="19"/>
  <c r="D16" i="19"/>
  <c r="D15" i="19"/>
  <c r="D14" i="19"/>
  <c r="D13" i="19"/>
  <c r="D12" i="19"/>
  <c r="D11" i="19"/>
  <c r="D10" i="19"/>
  <c r="D9" i="19"/>
  <c r="D65" i="9"/>
  <c r="G65" i="9"/>
  <c r="G64" i="9"/>
  <c r="E60" i="9"/>
  <c r="B60" i="9"/>
  <c r="E59" i="9"/>
  <c r="B59" i="9"/>
  <c r="E58" i="9"/>
  <c r="B58" i="9"/>
  <c r="D55" i="9"/>
  <c r="C55" i="9"/>
  <c r="D54" i="9"/>
  <c r="C54" i="9"/>
  <c r="B54" i="9"/>
  <c r="D53" i="9"/>
  <c r="C53" i="9"/>
  <c r="B53" i="9"/>
  <c r="D52" i="9"/>
  <c r="C52" i="9"/>
  <c r="B52" i="9"/>
  <c r="D51" i="9"/>
  <c r="C51" i="9"/>
  <c r="D48" i="9"/>
  <c r="C48" i="9"/>
  <c r="B48" i="9"/>
  <c r="D47" i="9"/>
  <c r="C47" i="9"/>
  <c r="B47" i="9"/>
  <c r="D44" i="9"/>
  <c r="C41" i="9"/>
  <c r="H40" i="9"/>
  <c r="C40" i="9"/>
  <c r="C37" i="9"/>
  <c r="H34" i="9"/>
  <c r="B34" i="9"/>
  <c r="H31" i="9"/>
  <c r="H30" i="9"/>
  <c r="H29" i="9"/>
  <c r="H26" i="9"/>
  <c r="F26" i="9"/>
  <c r="E26" i="9"/>
  <c r="D26" i="9"/>
  <c r="C26" i="9"/>
  <c r="B26" i="9"/>
  <c r="H25" i="9"/>
  <c r="F25" i="9"/>
  <c r="E25" i="9"/>
  <c r="D25" i="9"/>
  <c r="C25" i="9"/>
  <c r="B25" i="9"/>
  <c r="H24" i="9"/>
  <c r="F24" i="9"/>
  <c r="E24" i="9"/>
  <c r="D24" i="9"/>
  <c r="C24" i="9"/>
  <c r="B24" i="9"/>
  <c r="H23" i="9"/>
  <c r="F23" i="9"/>
  <c r="E23" i="9"/>
  <c r="D23" i="9"/>
  <c r="C23" i="9"/>
  <c r="B23" i="9"/>
  <c r="H22" i="9"/>
  <c r="F22" i="9"/>
  <c r="E22" i="9"/>
  <c r="C22" i="9"/>
  <c r="D22" i="9" s="1"/>
  <c r="B22" i="9"/>
  <c r="H21" i="9"/>
  <c r="F21" i="9"/>
  <c r="E21" i="9"/>
  <c r="D21" i="9"/>
  <c r="C21" i="9"/>
  <c r="B21" i="9"/>
  <c r="H20" i="9"/>
  <c r="F20" i="9"/>
  <c r="E20" i="9"/>
  <c r="C20" i="9"/>
  <c r="D20" i="9" s="1"/>
  <c r="B20" i="9"/>
  <c r="H19" i="9"/>
  <c r="F19" i="9"/>
  <c r="E19" i="9"/>
  <c r="C19" i="9"/>
  <c r="D19" i="9" s="1"/>
  <c r="B19" i="9"/>
  <c r="H18" i="9"/>
  <c r="F18" i="9"/>
  <c r="E18" i="9"/>
  <c r="C18" i="9"/>
  <c r="D18" i="9" s="1"/>
  <c r="B18" i="9"/>
  <c r="H17" i="9"/>
  <c r="C17" i="9"/>
  <c r="H15" i="9"/>
  <c r="F15" i="9"/>
  <c r="E15" i="9"/>
  <c r="D15" i="9"/>
  <c r="C15" i="9"/>
  <c r="B15" i="9"/>
  <c r="H14" i="9"/>
  <c r="F14" i="9"/>
  <c r="E14" i="9"/>
  <c r="D14" i="9"/>
  <c r="C14" i="9"/>
  <c r="B14" i="9"/>
  <c r="H13" i="9"/>
  <c r="F13" i="9"/>
  <c r="E13" i="9"/>
  <c r="C13" i="9"/>
  <c r="D13" i="9" s="1"/>
  <c r="B13" i="9"/>
  <c r="F12" i="9"/>
  <c r="E12" i="9"/>
  <c r="D12" i="9"/>
  <c r="C12" i="9"/>
  <c r="B12" i="9"/>
  <c r="F11" i="9"/>
  <c r="E11" i="9"/>
  <c r="D11" i="9"/>
  <c r="C11" i="9"/>
  <c r="B11" i="9"/>
  <c r="F9" i="9"/>
  <c r="E9" i="9"/>
  <c r="D9" i="9"/>
  <c r="C5" i="9"/>
  <c r="C4" i="9"/>
  <c r="B2" i="9"/>
  <c r="V534" i="20"/>
  <c r="U534" i="20"/>
  <c r="T534" i="20"/>
  <c r="S534" i="20"/>
  <c r="O534" i="20"/>
  <c r="F532" i="20"/>
  <c r="F530" i="20"/>
  <c r="F528" i="20"/>
  <c r="F526" i="20"/>
  <c r="X513" i="20"/>
  <c r="X512" i="20"/>
  <c r="X511" i="20"/>
  <c r="X510" i="20"/>
  <c r="X509" i="20"/>
  <c r="X508" i="20"/>
  <c r="X507" i="20"/>
  <c r="X506" i="20"/>
  <c r="S522" i="20"/>
  <c r="S521" i="20"/>
  <c r="S520" i="20"/>
  <c r="S519" i="20"/>
  <c r="S518" i="20"/>
  <c r="S517" i="20"/>
  <c r="S516" i="20"/>
  <c r="S515" i="20"/>
  <c r="S514" i="20"/>
  <c r="S513" i="20"/>
  <c r="S512" i="20"/>
  <c r="S511" i="20"/>
  <c r="S510" i="20"/>
  <c r="S509" i="20"/>
  <c r="S508" i="20"/>
  <c r="S507" i="20"/>
  <c r="S506" i="20"/>
  <c r="O526" i="20"/>
  <c r="O523" i="20"/>
  <c r="O521" i="20"/>
  <c r="O518" i="20"/>
  <c r="O516" i="20"/>
  <c r="O513" i="20"/>
  <c r="O511" i="20"/>
  <c r="O508" i="20"/>
  <c r="O506" i="20"/>
  <c r="O500" i="20"/>
  <c r="O496" i="20"/>
  <c r="O494" i="20"/>
  <c r="O489" i="20"/>
  <c r="O485" i="20"/>
  <c r="O483" i="20"/>
  <c r="S485" i="20"/>
  <c r="S484" i="20"/>
  <c r="S483" i="20"/>
  <c r="S482" i="20"/>
  <c r="S481" i="20"/>
  <c r="S480" i="20"/>
  <c r="O479" i="20"/>
  <c r="O477" i="20"/>
  <c r="O474" i="20"/>
  <c r="O472" i="20"/>
  <c r="O470" i="20"/>
  <c r="S475" i="20"/>
  <c r="S474" i="20"/>
  <c r="S473" i="20"/>
  <c r="S472" i="20"/>
  <c r="S471" i="20"/>
  <c r="S470" i="20"/>
  <c r="S469" i="20"/>
  <c r="O466" i="20"/>
  <c r="O464" i="20"/>
  <c r="O461" i="20"/>
  <c r="O459" i="20"/>
  <c r="O456" i="20"/>
  <c r="O453" i="20"/>
  <c r="O450" i="20"/>
  <c r="O448" i="20"/>
  <c r="F445" i="20"/>
  <c r="F443" i="20"/>
  <c r="F441" i="20"/>
  <c r="F439" i="20"/>
  <c r="F437" i="20"/>
  <c r="O437" i="20"/>
  <c r="O434" i="20"/>
  <c r="O431" i="20"/>
  <c r="S427" i="20"/>
  <c r="S425" i="20"/>
  <c r="S423" i="20"/>
  <c r="S421" i="20"/>
  <c r="O421" i="20"/>
  <c r="Y412" i="20"/>
  <c r="X412" i="20"/>
  <c r="Y410" i="20"/>
  <c r="X410" i="20"/>
  <c r="Y408" i="20"/>
  <c r="X408" i="20"/>
  <c r="Y406" i="20"/>
  <c r="X406" i="20"/>
  <c r="Y404" i="20"/>
  <c r="X404" i="20"/>
  <c r="Y400" i="20"/>
  <c r="X400" i="20"/>
  <c r="Y398" i="20"/>
  <c r="X398" i="20"/>
  <c r="AA396" i="20"/>
  <c r="Z396" i="20"/>
  <c r="Y396" i="20"/>
  <c r="X396" i="20"/>
  <c r="AA394" i="20"/>
  <c r="Z394" i="20"/>
  <c r="Y394" i="20"/>
  <c r="X394" i="20"/>
  <c r="V225" i="20"/>
  <c r="U225" i="20"/>
  <c r="T225" i="20"/>
  <c r="V224" i="20"/>
  <c r="U224" i="20"/>
  <c r="T224" i="20"/>
  <c r="V223" i="20"/>
  <c r="U223" i="20"/>
  <c r="T223" i="20"/>
  <c r="V222" i="20"/>
  <c r="U222" i="20"/>
  <c r="T222" i="20"/>
  <c r="V221" i="20"/>
  <c r="U221" i="20"/>
  <c r="T221" i="20"/>
  <c r="V220" i="20"/>
  <c r="U220" i="20"/>
  <c r="T220" i="20"/>
  <c r="V219" i="20"/>
  <c r="U219" i="20"/>
  <c r="T219" i="20"/>
  <c r="V218" i="20"/>
  <c r="U218" i="20"/>
  <c r="T218" i="20"/>
  <c r="V217" i="20"/>
  <c r="U217" i="20"/>
  <c r="T217" i="20"/>
  <c r="O215" i="20"/>
  <c r="O213" i="20"/>
  <c r="O210" i="20"/>
  <c r="O206" i="20"/>
  <c r="O198" i="20"/>
  <c r="O196" i="20"/>
  <c r="O193" i="20"/>
  <c r="O191" i="20"/>
  <c r="O189" i="20"/>
  <c r="O187" i="20"/>
  <c r="O177" i="20"/>
  <c r="U175" i="20"/>
  <c r="O172" i="20"/>
  <c r="O170" i="20"/>
  <c r="O166" i="20"/>
  <c r="O157" i="20"/>
  <c r="U155" i="20"/>
  <c r="O152" i="20"/>
  <c r="O150" i="20"/>
  <c r="O148" i="20"/>
  <c r="O144" i="20"/>
  <c r="O138" i="20"/>
  <c r="O135" i="20"/>
  <c r="M134" i="20"/>
  <c r="M133" i="20"/>
  <c r="O128" i="20"/>
  <c r="O125" i="20"/>
  <c r="M124" i="20"/>
  <c r="M123" i="20"/>
  <c r="E120" i="20"/>
  <c r="V119" i="20"/>
  <c r="U119" i="20"/>
  <c r="T119" i="20"/>
  <c r="V118" i="20"/>
  <c r="U118" i="20"/>
  <c r="T118" i="20"/>
  <c r="V117" i="20"/>
  <c r="U117" i="20"/>
  <c r="T117" i="20"/>
  <c r="V116" i="20"/>
  <c r="U116" i="20"/>
  <c r="T116" i="20"/>
  <c r="V115" i="20"/>
  <c r="U115" i="20"/>
  <c r="T115" i="20"/>
  <c r="V114" i="20"/>
  <c r="U114" i="20"/>
  <c r="T114" i="20"/>
  <c r="V113" i="20"/>
  <c r="U113" i="20"/>
  <c r="T113" i="20"/>
  <c r="V112" i="20"/>
  <c r="U112" i="20"/>
  <c r="T112" i="20"/>
  <c r="V111" i="20"/>
  <c r="U111" i="20"/>
  <c r="T111" i="20"/>
  <c r="O109" i="20"/>
  <c r="O107" i="20"/>
  <c r="O104" i="20"/>
  <c r="O100" i="20"/>
  <c r="O92" i="20"/>
  <c r="O90" i="20"/>
  <c r="O87" i="20"/>
  <c r="O85" i="20"/>
  <c r="O83" i="20"/>
  <c r="O81" i="20"/>
  <c r="O71" i="20"/>
  <c r="U69" i="20"/>
  <c r="O66" i="20"/>
  <c r="O64" i="20"/>
  <c r="O60" i="20"/>
  <c r="O51" i="20"/>
  <c r="U49" i="20"/>
  <c r="O46" i="20"/>
  <c r="O44" i="20"/>
  <c r="O42" i="20"/>
  <c r="O38" i="20"/>
  <c r="O27" i="20"/>
  <c r="U25" i="20"/>
  <c r="O16" i="20"/>
  <c r="U14" i="20"/>
  <c r="O11" i="20"/>
  <c r="O9" i="20"/>
  <c r="O7" i="20"/>
  <c r="O5" i="20"/>
  <c r="B5" i="16"/>
  <c r="A1" i="16"/>
  <c r="I3" i="14"/>
  <c r="F3" i="14"/>
  <c r="B1" i="13"/>
  <c r="E42" i="3"/>
  <c r="E41" i="3"/>
  <c r="I33" i="3"/>
  <c r="I31" i="3"/>
  <c r="I30" i="3"/>
  <c r="E34" i="3"/>
  <c r="B34" i="3"/>
  <c r="E33" i="3"/>
  <c r="B33" i="3"/>
  <c r="E32" i="3"/>
  <c r="B32" i="3"/>
  <c r="E31" i="3"/>
  <c r="B31" i="3"/>
  <c r="E30" i="3"/>
  <c r="B30" i="3"/>
  <c r="E29" i="3"/>
  <c r="B29" i="3"/>
  <c r="E25" i="3"/>
  <c r="B25" i="3"/>
  <c r="E24" i="3"/>
  <c r="B24" i="3"/>
  <c r="E23" i="3"/>
  <c r="B23" i="3"/>
  <c r="H19" i="3"/>
  <c r="F19" i="3"/>
  <c r="D19" i="3"/>
  <c r="C19" i="3"/>
  <c r="B19" i="3"/>
  <c r="H18" i="3"/>
  <c r="F18" i="3"/>
  <c r="D18" i="3"/>
  <c r="C18" i="3"/>
  <c r="B18" i="3"/>
  <c r="H17" i="3"/>
  <c r="F17" i="3"/>
  <c r="D17" i="3"/>
  <c r="C17" i="3"/>
  <c r="B17" i="3"/>
  <c r="H16" i="3"/>
  <c r="F16" i="3"/>
  <c r="D16" i="3"/>
  <c r="C16" i="3"/>
  <c r="B16" i="3"/>
  <c r="H15" i="3"/>
  <c r="F15" i="3"/>
  <c r="D15" i="3"/>
  <c r="C15" i="3"/>
  <c r="B15" i="3"/>
  <c r="H14" i="3"/>
  <c r="F14" i="3"/>
  <c r="D14" i="3"/>
  <c r="C14" i="3"/>
  <c r="B14" i="3"/>
  <c r="H13" i="3"/>
  <c r="F13" i="3"/>
  <c r="D13" i="3"/>
  <c r="C13" i="3"/>
  <c r="B13" i="3"/>
  <c r="H12" i="3"/>
  <c r="F12" i="3"/>
  <c r="D12" i="3"/>
  <c r="C12" i="3"/>
  <c r="B12" i="3"/>
  <c r="H11" i="3"/>
  <c r="F11" i="3"/>
  <c r="D11" i="3"/>
  <c r="C11" i="3"/>
  <c r="B11" i="3"/>
  <c r="B10" i="3"/>
  <c r="B9" i="3"/>
  <c r="H8" i="3"/>
  <c r="F8" i="3"/>
  <c r="D8" i="3"/>
  <c r="C8" i="3"/>
  <c r="B8" i="3"/>
  <c r="H7" i="3"/>
  <c r="F7" i="3"/>
  <c r="D7" i="3"/>
  <c r="C7" i="3"/>
  <c r="B7" i="3"/>
  <c r="H6" i="3"/>
  <c r="F6" i="3"/>
  <c r="D6" i="3"/>
  <c r="C6" i="3"/>
  <c r="B6" i="3"/>
  <c r="J5" i="15"/>
  <c r="H5" i="15"/>
  <c r="F40" i="15"/>
  <c r="E40" i="15"/>
  <c r="D40" i="15"/>
  <c r="C40" i="15"/>
  <c r="B40" i="15"/>
  <c r="F39" i="15"/>
  <c r="E39" i="15"/>
  <c r="D39" i="15"/>
  <c r="C39" i="15"/>
  <c r="B39" i="15"/>
  <c r="F38" i="15"/>
  <c r="E38" i="15"/>
  <c r="D38" i="15"/>
  <c r="C38" i="15"/>
  <c r="B38" i="15"/>
  <c r="F37" i="15"/>
  <c r="E37" i="15"/>
  <c r="D37" i="15"/>
  <c r="C37" i="15"/>
  <c r="B37" i="15"/>
  <c r="F36" i="15"/>
  <c r="E36" i="15"/>
  <c r="D36" i="15"/>
  <c r="C36" i="15"/>
  <c r="B36" i="15"/>
  <c r="F35" i="15"/>
  <c r="E35" i="15"/>
  <c r="D35" i="15"/>
  <c r="C35" i="15"/>
  <c r="B35" i="15"/>
  <c r="F34" i="15"/>
  <c r="E34" i="15"/>
  <c r="D34" i="15"/>
  <c r="C34" i="15"/>
  <c r="B34" i="15"/>
  <c r="F33" i="15"/>
  <c r="E33" i="15"/>
  <c r="D33" i="15"/>
  <c r="C33" i="15"/>
  <c r="B33" i="15"/>
  <c r="F32" i="15"/>
  <c r="E32" i="15"/>
  <c r="D32" i="15"/>
  <c r="C32" i="15"/>
  <c r="B32" i="15"/>
  <c r="F31" i="15"/>
  <c r="E31" i="15"/>
  <c r="D31" i="15"/>
  <c r="C31" i="15"/>
  <c r="B31" i="15"/>
  <c r="F30" i="15"/>
  <c r="E30" i="15"/>
  <c r="D30" i="15"/>
  <c r="C30" i="15"/>
  <c r="B30" i="15"/>
  <c r="F29" i="15"/>
  <c r="E29" i="15"/>
  <c r="D29" i="15"/>
  <c r="C29" i="15"/>
  <c r="B29" i="15"/>
  <c r="F28" i="15"/>
  <c r="E28" i="15"/>
  <c r="D28" i="15"/>
  <c r="C28" i="15"/>
  <c r="B28" i="15"/>
  <c r="F27" i="15"/>
  <c r="E27" i="15"/>
  <c r="D27" i="15"/>
  <c r="C27" i="15"/>
  <c r="B27" i="15"/>
  <c r="F26" i="15"/>
  <c r="E26" i="15"/>
  <c r="D26" i="15"/>
  <c r="C26" i="15"/>
  <c r="B26" i="15"/>
  <c r="F25" i="15"/>
  <c r="E25" i="15"/>
  <c r="D25" i="15"/>
  <c r="C25" i="15"/>
  <c r="B25" i="15"/>
  <c r="F24" i="15"/>
  <c r="E24" i="15"/>
  <c r="D24" i="15"/>
  <c r="C24" i="15"/>
  <c r="B24" i="15"/>
  <c r="F23" i="15"/>
  <c r="E23" i="15"/>
  <c r="D23" i="15"/>
  <c r="C23" i="15"/>
  <c r="B23" i="15"/>
  <c r="F22" i="15"/>
  <c r="E22" i="15"/>
  <c r="D22" i="15"/>
  <c r="C22" i="15"/>
  <c r="B22" i="15"/>
  <c r="F21" i="15"/>
  <c r="E21" i="15"/>
  <c r="D21" i="15"/>
  <c r="C21" i="15"/>
  <c r="B21" i="15"/>
  <c r="B20" i="15"/>
  <c r="F18" i="15"/>
  <c r="E18" i="15"/>
  <c r="D18" i="15"/>
  <c r="C18" i="15"/>
  <c r="B18" i="15"/>
  <c r="F17" i="15"/>
  <c r="E17" i="15"/>
  <c r="D17" i="15"/>
  <c r="C17" i="15"/>
  <c r="B17" i="15"/>
  <c r="F16" i="15"/>
  <c r="E16" i="15"/>
  <c r="D16" i="15"/>
  <c r="C16" i="15"/>
  <c r="B16" i="15"/>
  <c r="F15" i="15"/>
  <c r="E15" i="15"/>
  <c r="D15" i="15"/>
  <c r="C15" i="15"/>
  <c r="B15" i="15"/>
  <c r="F14" i="15"/>
  <c r="E14" i="15"/>
  <c r="D14" i="15"/>
  <c r="C14" i="15"/>
  <c r="B14" i="15"/>
  <c r="F13" i="15"/>
  <c r="E13" i="15"/>
  <c r="D13" i="15"/>
  <c r="C13" i="15"/>
  <c r="B13" i="15"/>
  <c r="B12" i="15"/>
  <c r="B11" i="15"/>
  <c r="B10" i="15"/>
  <c r="F8" i="15"/>
  <c r="E8" i="15"/>
  <c r="D8" i="15"/>
  <c r="C8" i="15"/>
  <c r="B8" i="15"/>
  <c r="F7" i="15"/>
  <c r="E7" i="15"/>
  <c r="D7" i="15"/>
  <c r="C7" i="15"/>
  <c r="B7" i="15"/>
  <c r="B6" i="15"/>
  <c r="B3" i="15"/>
  <c r="B1" i="15"/>
  <c r="G55" i="8"/>
  <c r="E49" i="8"/>
  <c r="D49" i="8"/>
  <c r="C49" i="8"/>
  <c r="B49" i="8"/>
  <c r="H45" i="8"/>
  <c r="H44" i="8"/>
  <c r="H42" i="8"/>
  <c r="D42" i="8"/>
  <c r="C42" i="8"/>
  <c r="H41" i="8"/>
  <c r="E41" i="8"/>
  <c r="D41" i="8"/>
  <c r="C41" i="8"/>
  <c r="H39" i="8"/>
  <c r="D39" i="8"/>
  <c r="C39" i="8"/>
  <c r="H38" i="8"/>
  <c r="E38" i="8"/>
  <c r="D38" i="8"/>
  <c r="C38" i="8"/>
  <c r="H36" i="8"/>
  <c r="D36" i="8"/>
  <c r="C36" i="8"/>
  <c r="H35" i="8"/>
  <c r="E35" i="8"/>
  <c r="D35" i="8"/>
  <c r="C35" i="8"/>
  <c r="G30" i="8"/>
  <c r="F30" i="8"/>
  <c r="C30" i="8"/>
  <c r="E24" i="8"/>
  <c r="D24" i="8"/>
  <c r="C24" i="8"/>
  <c r="B24" i="8"/>
  <c r="H20" i="8"/>
  <c r="H19" i="8"/>
  <c r="H17" i="8"/>
  <c r="D17" i="8"/>
  <c r="C17" i="8"/>
  <c r="H16" i="8"/>
  <c r="E16" i="8"/>
  <c r="D16" i="8"/>
  <c r="C16" i="8"/>
  <c r="H14" i="8"/>
  <c r="D14" i="8"/>
  <c r="C14" i="8"/>
  <c r="H13" i="8"/>
  <c r="E13" i="8"/>
  <c r="D13" i="8"/>
  <c r="C13" i="8"/>
  <c r="H11" i="8"/>
  <c r="D11" i="8"/>
  <c r="C11" i="8"/>
  <c r="H10" i="8"/>
  <c r="E10" i="8"/>
  <c r="D10" i="8"/>
  <c r="C10" i="8"/>
  <c r="G5" i="8"/>
  <c r="F5" i="8"/>
  <c r="C5" i="8"/>
  <c r="B2" i="8"/>
  <c r="D563" i="19"/>
  <c r="D562" i="19"/>
  <c r="D561" i="19"/>
  <c r="D558" i="19"/>
  <c r="D557" i="19"/>
  <c r="D556" i="19"/>
  <c r="D555" i="19"/>
  <c r="D552" i="19"/>
  <c r="D551" i="19"/>
  <c r="D550" i="19"/>
  <c r="D549" i="19"/>
  <c r="D548" i="19"/>
  <c r="D545" i="19"/>
  <c r="D544" i="19"/>
  <c r="D21" i="22" l="1"/>
  <c r="D30" i="24"/>
  <c r="D28" i="22"/>
  <c r="D22" i="24"/>
  <c r="H29" i="24"/>
  <c r="F28" i="22"/>
  <c r="H22" i="22"/>
  <c r="H30" i="22"/>
  <c r="H23" i="22"/>
  <c r="H22" i="24"/>
  <c r="D28" i="24"/>
  <c r="H30" i="24"/>
  <c r="D22" i="22"/>
  <c r="H28" i="22"/>
  <c r="F29" i="22"/>
  <c r="D30" i="22"/>
  <c r="F29" i="24"/>
  <c r="H34" i="22"/>
  <c r="F30" i="24"/>
  <c r="H21" i="22"/>
  <c r="T954" i="19" l="1"/>
  <c r="T953" i="19"/>
  <c r="T948" i="19"/>
  <c r="T943" i="19"/>
  <c r="T938" i="19"/>
  <c r="T934" i="19"/>
  <c r="T933" i="19"/>
  <c r="T932" i="19"/>
  <c r="T928" i="19"/>
  <c r="T927" i="19"/>
  <c r="T922" i="19"/>
  <c r="T917" i="19"/>
  <c r="T914" i="19"/>
  <c r="T913" i="19"/>
  <c r="T909" i="19"/>
  <c r="T904" i="19"/>
  <c r="T897" i="19"/>
  <c r="T896" i="19"/>
  <c r="T895" i="19"/>
  <c r="T894" i="19"/>
  <c r="T890" i="19"/>
  <c r="T886" i="19"/>
  <c r="T885" i="19"/>
  <c r="L885" i="19" s="1"/>
  <c r="K885" i="19" s="1"/>
  <c r="T884" i="19"/>
  <c r="T853" i="19"/>
  <c r="T852" i="19"/>
  <c r="T821" i="19"/>
  <c r="T820" i="19"/>
  <c r="T789" i="19"/>
  <c r="T788" i="19"/>
  <c r="T787" i="19"/>
  <c r="T765" i="19"/>
  <c r="T755" i="19"/>
  <c r="T751" i="19"/>
  <c r="T749" i="19"/>
  <c r="L749" i="19" s="1"/>
  <c r="T727" i="19"/>
  <c r="T717" i="19"/>
  <c r="T713" i="19"/>
  <c r="T711" i="19"/>
  <c r="T689" i="19"/>
  <c r="T679" i="19"/>
  <c r="T675" i="19"/>
  <c r="T673" i="19"/>
  <c r="T643" i="19"/>
  <c r="T639" i="19"/>
  <c r="T638" i="19"/>
  <c r="T637" i="19"/>
  <c r="T635" i="19"/>
  <c r="T634" i="19"/>
  <c r="T627" i="19"/>
  <c r="T626" i="19"/>
  <c r="T618" i="19"/>
  <c r="T617" i="19"/>
  <c r="T613" i="19"/>
  <c r="T612" i="19"/>
  <c r="T600" i="19"/>
  <c r="T599" i="19"/>
  <c r="T595" i="19"/>
  <c r="T594" i="19"/>
  <c r="T589" i="19"/>
  <c r="T588" i="19"/>
  <c r="T587" i="19"/>
  <c r="T583" i="19"/>
  <c r="T582" i="19"/>
  <c r="T577" i="19"/>
  <c r="T576" i="19"/>
  <c r="T570" i="19"/>
  <c r="T569" i="19"/>
  <c r="T566" i="19"/>
  <c r="T565" i="19"/>
  <c r="T564" i="19"/>
  <c r="T560" i="19"/>
  <c r="T559" i="19"/>
  <c r="T554" i="19"/>
  <c r="T553" i="19"/>
  <c r="T547" i="19"/>
  <c r="T546" i="19"/>
  <c r="T543" i="19"/>
  <c r="T542" i="19"/>
  <c r="T541" i="19"/>
  <c r="T527" i="19"/>
  <c r="T526" i="19"/>
  <c r="T523" i="19"/>
  <c r="I523" i="19" s="1"/>
  <c r="T522" i="19"/>
  <c r="T517" i="19"/>
  <c r="T516" i="19"/>
  <c r="T511" i="19"/>
  <c r="T510" i="19"/>
  <c r="T504" i="19"/>
  <c r="T494" i="19"/>
  <c r="T493" i="19"/>
  <c r="T487" i="19"/>
  <c r="T483" i="19"/>
  <c r="T482" i="19"/>
  <c r="T481" i="19"/>
  <c r="T477" i="19"/>
  <c r="T476" i="19"/>
  <c r="T463" i="19"/>
  <c r="T462" i="19"/>
  <c r="T455" i="19"/>
  <c r="T454" i="19"/>
  <c r="T447" i="19"/>
  <c r="T446" i="19"/>
  <c r="T433" i="19"/>
  <c r="T432" i="19"/>
  <c r="T425" i="19"/>
  <c r="T424" i="19"/>
  <c r="T417" i="19"/>
  <c r="T416" i="19"/>
  <c r="T415" i="19"/>
  <c r="T412" i="19"/>
  <c r="T411" i="19"/>
  <c r="T406" i="19"/>
  <c r="T405" i="19"/>
  <c r="T402" i="19"/>
  <c r="T401" i="19"/>
  <c r="T386" i="19"/>
  <c r="T385" i="19"/>
  <c r="T377" i="19"/>
  <c r="T376" i="19"/>
  <c r="T372" i="19"/>
  <c r="T371" i="19"/>
  <c r="T370" i="19"/>
  <c r="T366" i="19"/>
  <c r="T365" i="19"/>
  <c r="T360" i="19"/>
  <c r="T359" i="19"/>
  <c r="T354" i="19"/>
  <c r="T353" i="19"/>
  <c r="T337" i="19"/>
  <c r="T336" i="19"/>
  <c r="T321" i="19"/>
  <c r="T320" i="19"/>
  <c r="T313" i="19"/>
  <c r="T312" i="19"/>
  <c r="T309" i="19"/>
  <c r="T308" i="19"/>
  <c r="T307" i="19"/>
  <c r="T306" i="19"/>
  <c r="T300" i="19"/>
  <c r="T299" i="19"/>
  <c r="T293" i="19"/>
  <c r="T292" i="19"/>
  <c r="T291" i="19"/>
  <c r="T285" i="19"/>
  <c r="T284" i="19"/>
  <c r="T283" i="19"/>
  <c r="T280" i="19"/>
  <c r="T279" i="19"/>
  <c r="T275" i="19"/>
  <c r="T274" i="19"/>
  <c r="T267" i="19"/>
  <c r="T266" i="19"/>
  <c r="T265" i="19"/>
  <c r="T262" i="19"/>
  <c r="T261" i="19"/>
  <c r="T256" i="19"/>
  <c r="T255" i="19"/>
  <c r="T251" i="19"/>
  <c r="T250" i="19"/>
  <c r="T234" i="19"/>
  <c r="T233" i="19"/>
  <c r="T217" i="19"/>
  <c r="T216" i="19"/>
  <c r="T200" i="19"/>
  <c r="T199" i="19"/>
  <c r="T190" i="19"/>
  <c r="T189" i="19"/>
  <c r="T188" i="19"/>
  <c r="T182" i="19"/>
  <c r="T181" i="19"/>
  <c r="T175" i="19"/>
  <c r="T174" i="19"/>
  <c r="T173" i="19"/>
  <c r="T167" i="19"/>
  <c r="T166" i="19"/>
  <c r="T165" i="19"/>
  <c r="T162" i="19"/>
  <c r="T161" i="19"/>
  <c r="T157" i="19"/>
  <c r="T156" i="19"/>
  <c r="T149" i="19"/>
  <c r="T148" i="19"/>
  <c r="T147" i="19"/>
  <c r="T144" i="19"/>
  <c r="T143" i="19"/>
  <c r="T138" i="19"/>
  <c r="T137" i="19"/>
  <c r="T133" i="19"/>
  <c r="T132" i="19"/>
  <c r="T116" i="19"/>
  <c r="T115" i="19"/>
  <c r="T99" i="19"/>
  <c r="T98" i="19"/>
  <c r="T82" i="19"/>
  <c r="T81" i="19"/>
  <c r="T72" i="19"/>
  <c r="T71" i="19"/>
  <c r="T70" i="19"/>
  <c r="T67" i="19"/>
  <c r="T66" i="19"/>
  <c r="T59" i="19"/>
  <c r="T58" i="19"/>
  <c r="T42" i="19"/>
  <c r="T41" i="19"/>
  <c r="T25" i="19"/>
  <c r="T24" i="19"/>
  <c r="R954" i="19"/>
  <c r="R953" i="19"/>
  <c r="R951" i="19"/>
  <c r="R950" i="19"/>
  <c r="R949" i="19"/>
  <c r="R948" i="19"/>
  <c r="R946" i="19"/>
  <c r="R945" i="19"/>
  <c r="R944" i="19"/>
  <c r="R943" i="19"/>
  <c r="R941" i="19"/>
  <c r="R940" i="19"/>
  <c r="R939" i="19"/>
  <c r="R938" i="19"/>
  <c r="R936" i="19"/>
  <c r="R935" i="19"/>
  <c r="R934" i="19"/>
  <c r="R933" i="19"/>
  <c r="R932" i="19"/>
  <c r="R929" i="19"/>
  <c r="R928" i="19"/>
  <c r="R927" i="19"/>
  <c r="R925" i="19"/>
  <c r="R924" i="19"/>
  <c r="R923" i="19"/>
  <c r="R922" i="19"/>
  <c r="R917" i="19"/>
  <c r="R916" i="19"/>
  <c r="R915" i="19"/>
  <c r="R914" i="19"/>
  <c r="R913" i="19"/>
  <c r="R909" i="19"/>
  <c r="R908" i="19"/>
  <c r="R907" i="19"/>
  <c r="R906" i="19"/>
  <c r="R905" i="19"/>
  <c r="R904" i="19"/>
  <c r="R903" i="19"/>
  <c r="R902" i="19"/>
  <c r="R901" i="19"/>
  <c r="R900" i="19"/>
  <c r="R899" i="19"/>
  <c r="R898" i="19"/>
  <c r="R897" i="19"/>
  <c r="R896" i="19"/>
  <c r="R895" i="19"/>
  <c r="R894" i="19"/>
  <c r="R890" i="19"/>
  <c r="R886" i="19"/>
  <c r="R885" i="19"/>
  <c r="R884" i="19"/>
  <c r="R877" i="19"/>
  <c r="R870" i="19"/>
  <c r="R863" i="19"/>
  <c r="R854" i="19"/>
  <c r="R853" i="19"/>
  <c r="R852" i="19"/>
  <c r="R850" i="19"/>
  <c r="R849" i="19"/>
  <c r="R848" i="19"/>
  <c r="R847" i="19"/>
  <c r="R846" i="19"/>
  <c r="R845" i="19"/>
  <c r="R843" i="19"/>
  <c r="R842" i="19"/>
  <c r="R841" i="19"/>
  <c r="R840" i="19"/>
  <c r="R839" i="19"/>
  <c r="R838" i="19"/>
  <c r="R836" i="19"/>
  <c r="R835" i="19"/>
  <c r="R834" i="19"/>
  <c r="R833" i="19"/>
  <c r="R832" i="19"/>
  <c r="R831" i="19"/>
  <c r="R829" i="19"/>
  <c r="R828" i="19"/>
  <c r="R827" i="19"/>
  <c r="R826" i="19"/>
  <c r="R825" i="19"/>
  <c r="R824" i="19"/>
  <c r="R823" i="19"/>
  <c r="R822" i="19"/>
  <c r="R821" i="19"/>
  <c r="R820" i="19"/>
  <c r="R818" i="19"/>
  <c r="R817" i="19"/>
  <c r="R816" i="19"/>
  <c r="R815" i="19"/>
  <c r="R814" i="19"/>
  <c r="R813" i="19"/>
  <c r="R811" i="19"/>
  <c r="R810" i="19"/>
  <c r="R809" i="19"/>
  <c r="R808" i="19"/>
  <c r="R807" i="19"/>
  <c r="R806" i="19"/>
  <c r="R804" i="19"/>
  <c r="R803" i="19"/>
  <c r="R802" i="19"/>
  <c r="R801" i="19"/>
  <c r="R800" i="19"/>
  <c r="R799" i="19"/>
  <c r="R797" i="19"/>
  <c r="R796" i="19"/>
  <c r="R795" i="19"/>
  <c r="R794" i="19"/>
  <c r="R793" i="19"/>
  <c r="R792" i="19"/>
  <c r="R791" i="19"/>
  <c r="R790" i="19"/>
  <c r="R789" i="19"/>
  <c r="R788" i="19"/>
  <c r="R787" i="19"/>
  <c r="R765" i="19"/>
  <c r="R755" i="19"/>
  <c r="R751" i="19"/>
  <c r="R750" i="19"/>
  <c r="R749" i="19"/>
  <c r="R747" i="19"/>
  <c r="R746" i="19"/>
  <c r="R745" i="19"/>
  <c r="R744" i="19"/>
  <c r="R743" i="19"/>
  <c r="R742" i="19"/>
  <c r="R741" i="19"/>
  <c r="R740" i="19"/>
  <c r="R739" i="19"/>
  <c r="R738" i="19"/>
  <c r="R737" i="19"/>
  <c r="R736" i="19"/>
  <c r="R735" i="19"/>
  <c r="R734" i="19"/>
  <c r="R733" i="19"/>
  <c r="R732" i="19"/>
  <c r="R731" i="19"/>
  <c r="R730" i="19"/>
  <c r="R729" i="19"/>
  <c r="R728" i="19"/>
  <c r="R727" i="19"/>
  <c r="R725" i="19"/>
  <c r="R724" i="19"/>
  <c r="R723" i="19"/>
  <c r="R722" i="19"/>
  <c r="R721" i="19"/>
  <c r="R720" i="19"/>
  <c r="R719" i="19"/>
  <c r="R718" i="19"/>
  <c r="R717" i="19"/>
  <c r="R715" i="19"/>
  <c r="R714" i="19"/>
  <c r="R713" i="19"/>
  <c r="R712" i="19"/>
  <c r="R711" i="19"/>
  <c r="R689" i="19"/>
  <c r="R679" i="19"/>
  <c r="R675" i="19"/>
  <c r="R674" i="19"/>
  <c r="R673" i="19"/>
  <c r="R672" i="19"/>
  <c r="R671" i="19"/>
  <c r="R670" i="19"/>
  <c r="R669" i="19"/>
  <c r="R668" i="19"/>
  <c r="R667" i="19"/>
  <c r="R666" i="19"/>
  <c r="R665" i="19"/>
  <c r="R664" i="19"/>
  <c r="R663" i="19"/>
  <c r="R662" i="19"/>
  <c r="R661" i="19"/>
  <c r="R660" i="19"/>
  <c r="R659" i="19"/>
  <c r="R658" i="19"/>
  <c r="R657" i="19"/>
  <c r="R656" i="19"/>
  <c r="R655" i="19"/>
  <c r="R654" i="19"/>
  <c r="R653" i="19"/>
  <c r="R652" i="19"/>
  <c r="R651" i="19"/>
  <c r="R650" i="19"/>
  <c r="R649" i="19"/>
  <c r="R648" i="19"/>
  <c r="R647" i="19"/>
  <c r="R646" i="19"/>
  <c r="R645" i="19"/>
  <c r="R644" i="19"/>
  <c r="R643" i="19"/>
  <c r="R642" i="19"/>
  <c r="R641" i="19"/>
  <c r="R640" i="19"/>
  <c r="R639" i="19"/>
  <c r="R638" i="19"/>
  <c r="R637" i="19"/>
  <c r="R635" i="19"/>
  <c r="R634" i="19"/>
  <c r="R627" i="19"/>
  <c r="R626" i="19"/>
  <c r="R621" i="19"/>
  <c r="R620" i="19"/>
  <c r="R619" i="19"/>
  <c r="R618" i="19"/>
  <c r="R617" i="19"/>
  <c r="R614" i="19"/>
  <c r="R613" i="19"/>
  <c r="R612" i="19"/>
  <c r="R609" i="19"/>
  <c r="R608" i="19"/>
  <c r="R607" i="19"/>
  <c r="R606" i="19"/>
  <c r="R605" i="19"/>
  <c r="R604" i="19"/>
  <c r="R603" i="19"/>
  <c r="R602" i="19"/>
  <c r="R601" i="19"/>
  <c r="R600" i="19"/>
  <c r="R599" i="19"/>
  <c r="R596" i="19"/>
  <c r="R595" i="19"/>
  <c r="R594" i="19"/>
  <c r="R591" i="19"/>
  <c r="R590" i="19"/>
  <c r="R589" i="19"/>
  <c r="R588" i="19"/>
  <c r="R587" i="19"/>
  <c r="R583" i="19"/>
  <c r="R582" i="19"/>
  <c r="R579" i="19"/>
  <c r="R578" i="19"/>
  <c r="R577" i="19"/>
  <c r="R576" i="19"/>
  <c r="R574" i="19"/>
  <c r="R573" i="19"/>
  <c r="R572" i="19"/>
  <c r="R571" i="19"/>
  <c r="R570" i="19"/>
  <c r="R569" i="19"/>
  <c r="R568" i="19"/>
  <c r="R567" i="19"/>
  <c r="R566" i="19"/>
  <c r="R565" i="19"/>
  <c r="R564" i="19"/>
  <c r="R560" i="19"/>
  <c r="R559" i="19"/>
  <c r="R556" i="19"/>
  <c r="R555" i="19"/>
  <c r="R554" i="19"/>
  <c r="R553" i="19"/>
  <c r="R551" i="19"/>
  <c r="R550" i="19"/>
  <c r="R549" i="19"/>
  <c r="R548" i="19"/>
  <c r="R547" i="19"/>
  <c r="R546" i="19"/>
  <c r="R545" i="19"/>
  <c r="R544" i="19"/>
  <c r="R543" i="19"/>
  <c r="R542" i="19"/>
  <c r="R541" i="19"/>
  <c r="R536" i="19"/>
  <c r="R534" i="19"/>
  <c r="R533" i="19"/>
  <c r="R532" i="19"/>
  <c r="R530" i="19"/>
  <c r="R529" i="19"/>
  <c r="R527" i="19"/>
  <c r="R526" i="19"/>
  <c r="R525" i="19"/>
  <c r="R524" i="19"/>
  <c r="R523" i="19"/>
  <c r="R522" i="19"/>
  <c r="R518" i="19"/>
  <c r="R517" i="19"/>
  <c r="R516" i="19"/>
  <c r="R511" i="19"/>
  <c r="R510" i="19"/>
  <c r="R508" i="19"/>
  <c r="R507" i="19"/>
  <c r="R506" i="19"/>
  <c r="R505" i="19"/>
  <c r="R504" i="19"/>
  <c r="R503" i="19"/>
  <c r="R502" i="19"/>
  <c r="R501" i="19"/>
  <c r="R500" i="19"/>
  <c r="R499" i="19"/>
  <c r="R498" i="19"/>
  <c r="R497" i="19"/>
  <c r="R496" i="19"/>
  <c r="R495" i="19"/>
  <c r="R494" i="19"/>
  <c r="R493" i="19"/>
  <c r="R491" i="19"/>
  <c r="R490" i="19"/>
  <c r="R489" i="19"/>
  <c r="R488" i="19"/>
  <c r="R487" i="19"/>
  <c r="R486" i="19"/>
  <c r="R485" i="19"/>
  <c r="R484" i="19"/>
  <c r="R483" i="19"/>
  <c r="R482" i="19"/>
  <c r="R481" i="19"/>
  <c r="R479" i="19"/>
  <c r="R478" i="19"/>
  <c r="R477" i="19"/>
  <c r="R476" i="19"/>
  <c r="R463" i="19"/>
  <c r="R462" i="19"/>
  <c r="R455" i="19"/>
  <c r="R454" i="19"/>
  <c r="R453" i="19"/>
  <c r="R452" i="19"/>
  <c r="R451" i="19"/>
  <c r="R450" i="19"/>
  <c r="R449" i="19"/>
  <c r="R448" i="19"/>
  <c r="R447" i="19"/>
  <c r="R446" i="19"/>
  <c r="R433" i="19"/>
  <c r="R432" i="19"/>
  <c r="R425" i="19"/>
  <c r="R424" i="19"/>
  <c r="R423" i="19"/>
  <c r="R422" i="19"/>
  <c r="R421" i="19"/>
  <c r="R420" i="19"/>
  <c r="R419" i="19"/>
  <c r="R418" i="19"/>
  <c r="R417" i="19"/>
  <c r="R416" i="19"/>
  <c r="R415" i="19"/>
  <c r="R413" i="19"/>
  <c r="R412" i="19"/>
  <c r="R411" i="19"/>
  <c r="R409" i="19"/>
  <c r="R408" i="19"/>
  <c r="R407" i="19"/>
  <c r="R406" i="19"/>
  <c r="R405" i="19"/>
  <c r="R402" i="19"/>
  <c r="R401" i="19"/>
  <c r="R398" i="19"/>
  <c r="R397" i="19"/>
  <c r="R396" i="19"/>
  <c r="R395" i="19"/>
  <c r="R394" i="19"/>
  <c r="R392" i="19"/>
  <c r="R391" i="19"/>
  <c r="R390" i="19"/>
  <c r="R389" i="19"/>
  <c r="R387" i="19"/>
  <c r="R386" i="19"/>
  <c r="R385" i="19"/>
  <c r="R380" i="19"/>
  <c r="R379" i="19"/>
  <c r="R378" i="19"/>
  <c r="R377" i="19"/>
  <c r="R376" i="19"/>
  <c r="R374" i="19"/>
  <c r="R373" i="19"/>
  <c r="R372" i="19"/>
  <c r="R371" i="19"/>
  <c r="R370" i="19"/>
  <c r="R367" i="19"/>
  <c r="R366" i="19"/>
  <c r="R365" i="19"/>
  <c r="R363" i="19"/>
  <c r="R360" i="19"/>
  <c r="R359" i="19"/>
  <c r="R357" i="19"/>
  <c r="R356" i="19"/>
  <c r="R355" i="19"/>
  <c r="R354" i="19"/>
  <c r="R353" i="19"/>
  <c r="R351" i="19"/>
  <c r="R350" i="19"/>
  <c r="R349" i="19"/>
  <c r="R348" i="19"/>
  <c r="R347" i="19"/>
  <c r="R346" i="19"/>
  <c r="R345" i="19"/>
  <c r="R344" i="19"/>
  <c r="R343" i="19"/>
  <c r="R342" i="19"/>
  <c r="R341" i="19"/>
  <c r="R340" i="19"/>
  <c r="R339" i="19"/>
  <c r="R338" i="19"/>
  <c r="R337" i="19"/>
  <c r="R336" i="19"/>
  <c r="R334" i="19"/>
  <c r="R333" i="19"/>
  <c r="R331" i="19"/>
  <c r="R330" i="19"/>
  <c r="R329" i="19"/>
  <c r="R328" i="19"/>
  <c r="R327" i="19"/>
  <c r="R326" i="19"/>
  <c r="R325" i="19"/>
  <c r="R324" i="19"/>
  <c r="R323" i="19"/>
  <c r="R322" i="19"/>
  <c r="R321" i="19"/>
  <c r="R320" i="19"/>
  <c r="R319" i="19"/>
  <c r="R318" i="19"/>
  <c r="R317" i="19"/>
  <c r="R316" i="19"/>
  <c r="R315" i="19"/>
  <c r="R314" i="19"/>
  <c r="R313" i="19"/>
  <c r="R312" i="19"/>
  <c r="R311" i="19"/>
  <c r="R309" i="19"/>
  <c r="R308" i="19"/>
  <c r="R307" i="19"/>
  <c r="R306" i="19"/>
  <c r="R304" i="19"/>
  <c r="R303" i="19"/>
  <c r="R302" i="19"/>
  <c r="R301" i="19"/>
  <c r="R300" i="19"/>
  <c r="R299" i="19"/>
  <c r="R297" i="19"/>
  <c r="R296" i="19"/>
  <c r="R295" i="19"/>
  <c r="R294" i="19"/>
  <c r="R293" i="19"/>
  <c r="R292" i="19"/>
  <c r="R291" i="19"/>
  <c r="R289" i="19"/>
  <c r="R288" i="19"/>
  <c r="R287" i="19"/>
  <c r="R286" i="19"/>
  <c r="R285" i="19"/>
  <c r="R284" i="19"/>
  <c r="R283" i="19"/>
  <c r="R280" i="19"/>
  <c r="R279" i="19"/>
  <c r="R275" i="19"/>
  <c r="R274" i="19"/>
  <c r="R272" i="19"/>
  <c r="R271" i="19"/>
  <c r="R270" i="19"/>
  <c r="R269" i="19"/>
  <c r="R268" i="19"/>
  <c r="R267" i="19"/>
  <c r="R266" i="19"/>
  <c r="R265" i="19"/>
  <c r="R264" i="19"/>
  <c r="R262" i="19"/>
  <c r="R261" i="19"/>
  <c r="R256" i="19"/>
  <c r="R255" i="19"/>
  <c r="R253" i="19"/>
  <c r="R252" i="19"/>
  <c r="R251" i="19"/>
  <c r="R250" i="19"/>
  <c r="R234" i="19"/>
  <c r="R233" i="19"/>
  <c r="R217" i="19"/>
  <c r="R216" i="19"/>
  <c r="R200" i="19"/>
  <c r="R199" i="19"/>
  <c r="R198" i="19"/>
  <c r="R197" i="19"/>
  <c r="R195" i="19"/>
  <c r="R194" i="19"/>
  <c r="R193" i="19"/>
  <c r="R192" i="19"/>
  <c r="R191" i="19"/>
  <c r="R190" i="19"/>
  <c r="R189" i="19"/>
  <c r="R188" i="19"/>
  <c r="R186" i="19"/>
  <c r="R185" i="19"/>
  <c r="R184" i="19"/>
  <c r="R183" i="19"/>
  <c r="R182" i="19"/>
  <c r="R181" i="19"/>
  <c r="R179" i="19"/>
  <c r="R178" i="19"/>
  <c r="R177" i="19"/>
  <c r="R176" i="19"/>
  <c r="R175" i="19"/>
  <c r="R174" i="19"/>
  <c r="R173" i="19"/>
  <c r="R171" i="19"/>
  <c r="R170" i="19"/>
  <c r="R169" i="19"/>
  <c r="R168" i="19"/>
  <c r="R167" i="19"/>
  <c r="R166" i="19"/>
  <c r="R165" i="19"/>
  <c r="R162" i="19"/>
  <c r="R161" i="19"/>
  <c r="R157" i="19"/>
  <c r="R156" i="19"/>
  <c r="R154" i="19"/>
  <c r="R153" i="19"/>
  <c r="R152" i="19"/>
  <c r="R151" i="19"/>
  <c r="R150" i="19"/>
  <c r="R149" i="19"/>
  <c r="R148" i="19"/>
  <c r="R147" i="19"/>
  <c r="R146" i="19"/>
  <c r="R144" i="19"/>
  <c r="R143" i="19"/>
  <c r="R138" i="19"/>
  <c r="R137" i="19"/>
  <c r="R135" i="19"/>
  <c r="R134" i="19"/>
  <c r="R133" i="19"/>
  <c r="R132" i="19"/>
  <c r="R116" i="19"/>
  <c r="R115" i="19"/>
  <c r="R99" i="19"/>
  <c r="R98" i="19"/>
  <c r="R82" i="19"/>
  <c r="R81" i="19"/>
  <c r="R80" i="19"/>
  <c r="R79" i="19"/>
  <c r="R77" i="19"/>
  <c r="R76" i="19"/>
  <c r="R75" i="19"/>
  <c r="R74" i="19"/>
  <c r="R73" i="19"/>
  <c r="R72" i="19"/>
  <c r="R71" i="19"/>
  <c r="R70" i="19"/>
  <c r="R67" i="19"/>
  <c r="R66" i="19"/>
  <c r="R61" i="19"/>
  <c r="R60" i="19"/>
  <c r="R59" i="19"/>
  <c r="R58" i="19"/>
  <c r="R56" i="19"/>
  <c r="R55" i="19"/>
  <c r="R54" i="19"/>
  <c r="R53" i="19"/>
  <c r="R52" i="19"/>
  <c r="R51" i="19"/>
  <c r="R50" i="19"/>
  <c r="R49" i="19"/>
  <c r="R48" i="19"/>
  <c r="R47" i="19"/>
  <c r="R46" i="19"/>
  <c r="R45" i="19"/>
  <c r="R44" i="19"/>
  <c r="R43" i="19"/>
  <c r="R42" i="19"/>
  <c r="R41" i="19"/>
  <c r="R39" i="19"/>
  <c r="R38" i="19"/>
  <c r="R37" i="19"/>
  <c r="R36" i="19"/>
  <c r="R35" i="19"/>
  <c r="R34" i="19"/>
  <c r="R33" i="19"/>
  <c r="R32" i="19"/>
  <c r="R31" i="19"/>
  <c r="R30" i="19"/>
  <c r="R29" i="19"/>
  <c r="R28" i="19"/>
  <c r="R27" i="19"/>
  <c r="R26" i="19"/>
  <c r="R25" i="19"/>
  <c r="R24" i="19"/>
  <c r="R22" i="19"/>
  <c r="R21" i="19"/>
  <c r="R20" i="19"/>
  <c r="R19" i="19"/>
  <c r="R18" i="19"/>
  <c r="R17" i="19"/>
  <c r="R16" i="19"/>
  <c r="R15" i="19"/>
  <c r="R14" i="19"/>
  <c r="R13" i="19"/>
  <c r="R12" i="19"/>
  <c r="R11" i="19"/>
  <c r="R10" i="19"/>
  <c r="P954" i="19"/>
  <c r="P953" i="19"/>
  <c r="P948" i="19"/>
  <c r="P943" i="19"/>
  <c r="P938" i="19"/>
  <c r="P934" i="19"/>
  <c r="P933" i="19"/>
  <c r="P932" i="19"/>
  <c r="P928" i="19"/>
  <c r="P927" i="19"/>
  <c r="P922" i="19"/>
  <c r="P917" i="19"/>
  <c r="P914" i="19"/>
  <c r="P913" i="19"/>
  <c r="P909" i="19"/>
  <c r="P904" i="19"/>
  <c r="P897" i="19"/>
  <c r="P896" i="19"/>
  <c r="P895" i="19"/>
  <c r="P894" i="19"/>
  <c r="P890" i="19"/>
  <c r="P886" i="19"/>
  <c r="P885" i="19"/>
  <c r="P884" i="19"/>
  <c r="P853" i="19"/>
  <c r="P852" i="19"/>
  <c r="P821" i="19"/>
  <c r="P820" i="19"/>
  <c r="P789" i="19"/>
  <c r="P788" i="19"/>
  <c r="P787" i="19"/>
  <c r="P765" i="19"/>
  <c r="P755" i="19"/>
  <c r="P751" i="19"/>
  <c r="P749" i="19"/>
  <c r="P727" i="19"/>
  <c r="P717" i="19"/>
  <c r="P713" i="19"/>
  <c r="P711" i="19"/>
  <c r="P689" i="19"/>
  <c r="P679" i="19"/>
  <c r="P675" i="19"/>
  <c r="P673" i="19"/>
  <c r="P643" i="19"/>
  <c r="P639" i="19"/>
  <c r="P638" i="19"/>
  <c r="P637" i="19"/>
  <c r="P635" i="19"/>
  <c r="P634" i="19"/>
  <c r="P627" i="19"/>
  <c r="P626" i="19"/>
  <c r="P618" i="19"/>
  <c r="P617" i="19"/>
  <c r="P613" i="19"/>
  <c r="P612" i="19"/>
  <c r="P600" i="19"/>
  <c r="P599" i="19"/>
  <c r="P595" i="19"/>
  <c r="P594" i="19"/>
  <c r="P589" i="19"/>
  <c r="P588" i="19"/>
  <c r="P587" i="19"/>
  <c r="P583" i="19"/>
  <c r="P582" i="19"/>
  <c r="P577" i="19"/>
  <c r="P576" i="19"/>
  <c r="P570" i="19"/>
  <c r="P569" i="19"/>
  <c r="P566" i="19"/>
  <c r="P565" i="19"/>
  <c r="P564" i="19"/>
  <c r="P560" i="19"/>
  <c r="P559" i="19"/>
  <c r="P554" i="19"/>
  <c r="P553" i="19"/>
  <c r="P547" i="19"/>
  <c r="P546" i="19"/>
  <c r="P543" i="19"/>
  <c r="P542" i="19"/>
  <c r="P541" i="19"/>
  <c r="P527" i="19"/>
  <c r="P526" i="19"/>
  <c r="P523" i="19"/>
  <c r="P522" i="19"/>
  <c r="I522" i="19" s="1"/>
  <c r="P517" i="19"/>
  <c r="P516" i="19"/>
  <c r="P511" i="19"/>
  <c r="P510" i="19"/>
  <c r="P504" i="19"/>
  <c r="I504" i="19" s="1"/>
  <c r="P494" i="19"/>
  <c r="P493" i="19"/>
  <c r="P487" i="19"/>
  <c r="P483" i="19"/>
  <c r="P482" i="19"/>
  <c r="P481" i="19"/>
  <c r="P477" i="19"/>
  <c r="P476" i="19"/>
  <c r="P463" i="19"/>
  <c r="P462" i="19"/>
  <c r="P455" i="19"/>
  <c r="P454" i="19"/>
  <c r="P447" i="19"/>
  <c r="P446" i="19"/>
  <c r="P433" i="19"/>
  <c r="P432" i="19"/>
  <c r="P425" i="19"/>
  <c r="P424" i="19"/>
  <c r="P417" i="19"/>
  <c r="P416" i="19"/>
  <c r="P415" i="19"/>
  <c r="P412" i="19"/>
  <c r="P411" i="19"/>
  <c r="P406" i="19"/>
  <c r="P405" i="19"/>
  <c r="P402" i="19"/>
  <c r="P401" i="19"/>
  <c r="P386" i="19"/>
  <c r="P385" i="19"/>
  <c r="P377" i="19"/>
  <c r="P376" i="19"/>
  <c r="L376" i="19" s="1"/>
  <c r="K376" i="19" s="1"/>
  <c r="P372" i="19"/>
  <c r="P371" i="19"/>
  <c r="P370" i="19"/>
  <c r="P366" i="19"/>
  <c r="P365" i="19"/>
  <c r="P360" i="19"/>
  <c r="P359" i="19"/>
  <c r="P354" i="19"/>
  <c r="P353" i="19"/>
  <c r="P337" i="19"/>
  <c r="P336" i="19"/>
  <c r="P321" i="19"/>
  <c r="P320" i="19"/>
  <c r="P313" i="19"/>
  <c r="P312" i="19"/>
  <c r="P309" i="19"/>
  <c r="P308" i="19"/>
  <c r="P307" i="19"/>
  <c r="P306" i="19"/>
  <c r="P300" i="19"/>
  <c r="P299" i="19"/>
  <c r="P293" i="19"/>
  <c r="P292" i="19"/>
  <c r="P291" i="19"/>
  <c r="P285" i="19"/>
  <c r="P284" i="19"/>
  <c r="P283" i="19"/>
  <c r="P280" i="19"/>
  <c r="P279" i="19"/>
  <c r="P275" i="19"/>
  <c r="P274" i="19"/>
  <c r="P267" i="19"/>
  <c r="P266" i="19"/>
  <c r="P265" i="19"/>
  <c r="P262" i="19"/>
  <c r="P261" i="19"/>
  <c r="L261" i="19" s="1"/>
  <c r="K261" i="19" s="1"/>
  <c r="P256" i="19"/>
  <c r="P255" i="19"/>
  <c r="P251" i="19"/>
  <c r="P250" i="19"/>
  <c r="P234" i="19"/>
  <c r="P233" i="19"/>
  <c r="P217" i="19"/>
  <c r="P216" i="19"/>
  <c r="P200" i="19"/>
  <c r="P199" i="19"/>
  <c r="P190" i="19"/>
  <c r="P189" i="19"/>
  <c r="P188" i="19"/>
  <c r="P182" i="19"/>
  <c r="P181" i="19"/>
  <c r="P175" i="19"/>
  <c r="P174" i="19"/>
  <c r="P173" i="19"/>
  <c r="P167" i="19"/>
  <c r="P166" i="19"/>
  <c r="P165" i="19"/>
  <c r="P162" i="19"/>
  <c r="P161" i="19"/>
  <c r="P157" i="19"/>
  <c r="P156" i="19"/>
  <c r="P149" i="19"/>
  <c r="P148" i="19"/>
  <c r="P147" i="19"/>
  <c r="P144" i="19"/>
  <c r="P143" i="19"/>
  <c r="P138" i="19"/>
  <c r="P137" i="19"/>
  <c r="P133" i="19"/>
  <c r="P132" i="19"/>
  <c r="P116" i="19"/>
  <c r="P115" i="19"/>
  <c r="P99" i="19"/>
  <c r="P98" i="19"/>
  <c r="P82" i="19"/>
  <c r="P81" i="19"/>
  <c r="P72" i="19"/>
  <c r="P71" i="19"/>
  <c r="P70" i="19"/>
  <c r="P67" i="19"/>
  <c r="P66" i="19"/>
  <c r="P59" i="19"/>
  <c r="P58" i="19"/>
  <c r="P42" i="19"/>
  <c r="P41" i="19"/>
  <c r="P25" i="19"/>
  <c r="P24" i="19"/>
  <c r="N963" i="19"/>
  <c r="N964" i="19" s="1"/>
  <c r="N962" i="19"/>
  <c r="N961" i="19"/>
  <c r="N960" i="19"/>
  <c r="N959" i="19"/>
  <c r="N958" i="19"/>
  <c r="N957" i="19"/>
  <c r="N956" i="19"/>
  <c r="N955" i="19"/>
  <c r="N954" i="19"/>
  <c r="L954" i="19"/>
  <c r="J954" i="19"/>
  <c r="N953" i="19"/>
  <c r="J953" i="19"/>
  <c r="I953" i="19"/>
  <c r="N952" i="19"/>
  <c r="N951" i="19"/>
  <c r="N950" i="19"/>
  <c r="N949" i="19"/>
  <c r="N948" i="19"/>
  <c r="N947" i="19"/>
  <c r="N946" i="19"/>
  <c r="N945" i="19"/>
  <c r="N944" i="19"/>
  <c r="N943" i="19"/>
  <c r="N942" i="19"/>
  <c r="N941" i="19"/>
  <c r="N940" i="19"/>
  <c r="N939" i="19"/>
  <c r="N938" i="19"/>
  <c r="N937" i="19"/>
  <c r="N936" i="19"/>
  <c r="N935" i="19"/>
  <c r="N934" i="19"/>
  <c r="N933" i="19"/>
  <c r="L933" i="19"/>
  <c r="N932" i="19"/>
  <c r="L932" i="19"/>
  <c r="I932" i="19"/>
  <c r="J932" i="19" s="1"/>
  <c r="N931" i="19"/>
  <c r="N930" i="19"/>
  <c r="N929" i="19"/>
  <c r="N928" i="19"/>
  <c r="L928" i="19"/>
  <c r="N927" i="19"/>
  <c r="L927" i="19"/>
  <c r="N926" i="19"/>
  <c r="N925" i="19"/>
  <c r="N924" i="19"/>
  <c r="N923" i="19"/>
  <c r="N922" i="19"/>
  <c r="N921" i="19"/>
  <c r="N918" i="19"/>
  <c r="N917" i="19"/>
  <c r="N916" i="19"/>
  <c r="N915" i="19"/>
  <c r="N914" i="19"/>
  <c r="N913" i="19"/>
  <c r="N910" i="19"/>
  <c r="N909" i="19"/>
  <c r="L909" i="19"/>
  <c r="N908" i="19"/>
  <c r="N907" i="19"/>
  <c r="N906" i="19"/>
  <c r="N905" i="19"/>
  <c r="N904" i="19"/>
  <c r="L904" i="19"/>
  <c r="J904" i="19"/>
  <c r="I904" i="19"/>
  <c r="N903" i="19"/>
  <c r="N902" i="19"/>
  <c r="N901" i="19"/>
  <c r="N900" i="19"/>
  <c r="N899" i="19"/>
  <c r="N898" i="19"/>
  <c r="N897" i="19"/>
  <c r="I897" i="19"/>
  <c r="N896" i="19"/>
  <c r="N895" i="19"/>
  <c r="I895" i="19"/>
  <c r="N894" i="19"/>
  <c r="L894" i="19" s="1"/>
  <c r="K894" i="19" s="1"/>
  <c r="N891" i="19"/>
  <c r="N890" i="19"/>
  <c r="N887" i="19"/>
  <c r="N886" i="19"/>
  <c r="N885" i="19"/>
  <c r="N884" i="19"/>
  <c r="N876" i="19"/>
  <c r="N873" i="19"/>
  <c r="N870" i="19"/>
  <c r="N863" i="19"/>
  <c r="N862" i="19"/>
  <c r="N857" i="19"/>
  <c r="N856" i="19"/>
  <c r="N854" i="19"/>
  <c r="N853" i="19"/>
  <c r="L853" i="19" s="1"/>
  <c r="K853" i="19" s="1"/>
  <c r="N852" i="19"/>
  <c r="L852" i="19" s="1"/>
  <c r="N844" i="19"/>
  <c r="N841" i="19"/>
  <c r="N838" i="19"/>
  <c r="N831" i="19"/>
  <c r="N830" i="19"/>
  <c r="N825" i="19"/>
  <c r="N824" i="19"/>
  <c r="N822" i="19"/>
  <c r="N821" i="19"/>
  <c r="L821" i="19" s="1"/>
  <c r="K821" i="19" s="1"/>
  <c r="N820" i="19"/>
  <c r="L820" i="19" s="1"/>
  <c r="N812" i="19"/>
  <c r="N809" i="19"/>
  <c r="N806" i="19"/>
  <c r="N799" i="19"/>
  <c r="N798" i="19"/>
  <c r="N793" i="19"/>
  <c r="N792" i="19"/>
  <c r="N790" i="19"/>
  <c r="N789" i="19"/>
  <c r="L789" i="19" s="1"/>
  <c r="K789" i="19" s="1"/>
  <c r="N788" i="19"/>
  <c r="I788" i="19"/>
  <c r="N787" i="19"/>
  <c r="L787" i="19"/>
  <c r="K787" i="19" s="1"/>
  <c r="N786" i="19"/>
  <c r="N781" i="19"/>
  <c r="N774" i="19"/>
  <c r="N773" i="19"/>
  <c r="N765" i="19"/>
  <c r="N764" i="19"/>
  <c r="N757" i="19"/>
  <c r="N756" i="19"/>
  <c r="N755" i="19"/>
  <c r="N754" i="19"/>
  <c r="N751" i="19"/>
  <c r="N750" i="19"/>
  <c r="N749" i="19"/>
  <c r="N748" i="19"/>
  <c r="N743" i="19"/>
  <c r="N736" i="19"/>
  <c r="N735" i="19"/>
  <c r="N727" i="19"/>
  <c r="N726" i="19"/>
  <c r="N719" i="19"/>
  <c r="N718" i="19"/>
  <c r="N717" i="19"/>
  <c r="N716" i="19"/>
  <c r="N713" i="19"/>
  <c r="N712" i="19"/>
  <c r="N711" i="19"/>
  <c r="L711" i="19" s="1"/>
  <c r="N710" i="19"/>
  <c r="N705" i="19"/>
  <c r="N698" i="19"/>
  <c r="N697" i="19"/>
  <c r="N689" i="19"/>
  <c r="N688" i="19"/>
  <c r="N681" i="19"/>
  <c r="N680" i="19"/>
  <c r="N679" i="19"/>
  <c r="N678" i="19"/>
  <c r="N675" i="19"/>
  <c r="N674" i="19"/>
  <c r="N673" i="19"/>
  <c r="L673" i="19"/>
  <c r="L639" i="19"/>
  <c r="K639" i="19" s="1"/>
  <c r="N638" i="19"/>
  <c r="I638" i="19"/>
  <c r="N637" i="19"/>
  <c r="N636" i="19"/>
  <c r="N635" i="19"/>
  <c r="I635" i="19"/>
  <c r="N634" i="19"/>
  <c r="N633" i="19"/>
  <c r="N631" i="19"/>
  <c r="N628" i="19"/>
  <c r="N627" i="19"/>
  <c r="N626" i="19"/>
  <c r="L626" i="19" s="1"/>
  <c r="K626" i="19" s="1"/>
  <c r="N624" i="19"/>
  <c r="N622" i="19"/>
  <c r="N621" i="19"/>
  <c r="N620" i="19"/>
  <c r="N619" i="19"/>
  <c r="N618" i="19"/>
  <c r="N617" i="19"/>
  <c r="L617" i="19" s="1"/>
  <c r="K617" i="19" s="1"/>
  <c r="N614" i="19"/>
  <c r="N613" i="19"/>
  <c r="N612" i="19"/>
  <c r="L612" i="19"/>
  <c r="K612" i="19" s="1"/>
  <c r="N611" i="19"/>
  <c r="N610" i="19"/>
  <c r="N605" i="19"/>
  <c r="N604" i="19"/>
  <c r="N603" i="19"/>
  <c r="N601" i="19"/>
  <c r="N600" i="19"/>
  <c r="N599" i="19"/>
  <c r="N598" i="19"/>
  <c r="N596" i="19"/>
  <c r="N595" i="19"/>
  <c r="N594" i="19"/>
  <c r="N592" i="19"/>
  <c r="N591" i="19"/>
  <c r="N590" i="19"/>
  <c r="N589" i="19"/>
  <c r="N588" i="19"/>
  <c r="I588" i="19"/>
  <c r="N587" i="19"/>
  <c r="N586" i="19"/>
  <c r="N585" i="19"/>
  <c r="N584" i="19"/>
  <c r="N583" i="19"/>
  <c r="N582" i="19"/>
  <c r="N581" i="19"/>
  <c r="N580" i="19"/>
  <c r="N579" i="19"/>
  <c r="N577" i="19"/>
  <c r="L577" i="19" s="1"/>
  <c r="K577" i="19" s="1"/>
  <c r="N576" i="19"/>
  <c r="L576" i="19"/>
  <c r="K576" i="19" s="1"/>
  <c r="N575" i="19"/>
  <c r="N574" i="19"/>
  <c r="N573" i="19"/>
  <c r="N572" i="19"/>
  <c r="N571" i="19"/>
  <c r="N570" i="19"/>
  <c r="L570" i="19" s="1"/>
  <c r="K570" i="19" s="1"/>
  <c r="N569" i="19"/>
  <c r="L569" i="19" s="1"/>
  <c r="K569" i="19" s="1"/>
  <c r="N568" i="19"/>
  <c r="N567" i="19"/>
  <c r="N566" i="19"/>
  <c r="L566" i="19" s="1"/>
  <c r="K566" i="19" s="1"/>
  <c r="N565" i="19"/>
  <c r="I565" i="19"/>
  <c r="N564" i="19"/>
  <c r="N563" i="19"/>
  <c r="N562" i="19"/>
  <c r="N561" i="19"/>
  <c r="N560" i="19"/>
  <c r="L560" i="19" s="1"/>
  <c r="K560" i="19" s="1"/>
  <c r="N559" i="19"/>
  <c r="N558" i="19"/>
  <c r="N557" i="19"/>
  <c r="N556" i="19"/>
  <c r="N555" i="19"/>
  <c r="N554" i="19"/>
  <c r="L554" i="19" s="1"/>
  <c r="K554" i="19" s="1"/>
  <c r="N553" i="19"/>
  <c r="L553" i="19" s="1"/>
  <c r="K553" i="19" s="1"/>
  <c r="N552" i="19"/>
  <c r="N551" i="19"/>
  <c r="N550" i="19"/>
  <c r="N549" i="19"/>
  <c r="N548" i="19"/>
  <c r="N547" i="19"/>
  <c r="L547" i="19" s="1"/>
  <c r="K547" i="19" s="1"/>
  <c r="N546" i="19"/>
  <c r="L546" i="19" s="1"/>
  <c r="K546" i="19" s="1"/>
  <c r="N545" i="19"/>
  <c r="N544" i="19"/>
  <c r="N543" i="19"/>
  <c r="L543" i="19" s="1"/>
  <c r="K543" i="19" s="1"/>
  <c r="N542" i="19"/>
  <c r="I542" i="19"/>
  <c r="N541" i="19"/>
  <c r="L541" i="19" s="1"/>
  <c r="K541" i="19" s="1"/>
  <c r="N539" i="19"/>
  <c r="N538" i="19"/>
  <c r="N537" i="19"/>
  <c r="N527" i="19"/>
  <c r="N526" i="19"/>
  <c r="N525" i="19"/>
  <c r="N524" i="19"/>
  <c r="N523" i="19"/>
  <c r="L523" i="19" s="1"/>
  <c r="K523" i="19" s="1"/>
  <c r="N522" i="19"/>
  <c r="L522" i="19" s="1"/>
  <c r="K522" i="19" s="1"/>
  <c r="N521" i="19"/>
  <c r="N520" i="19"/>
  <c r="N518" i="19"/>
  <c r="N517" i="19"/>
  <c r="L517" i="19" s="1"/>
  <c r="K517" i="19" s="1"/>
  <c r="I517" i="19"/>
  <c r="N516" i="19"/>
  <c r="L516" i="19"/>
  <c r="K516" i="19" s="1"/>
  <c r="I516" i="19"/>
  <c r="N513" i="19"/>
  <c r="N512" i="19"/>
  <c r="N511" i="19"/>
  <c r="L511" i="19" s="1"/>
  <c r="K511" i="19" s="1"/>
  <c r="I511" i="19"/>
  <c r="N510" i="19"/>
  <c r="L510" i="19" s="1"/>
  <c r="K510" i="19" s="1"/>
  <c r="I510" i="19"/>
  <c r="N509" i="19"/>
  <c r="N507" i="19"/>
  <c r="N506" i="19"/>
  <c r="L504" i="19"/>
  <c r="K504" i="19" s="1"/>
  <c r="J504" i="19"/>
  <c r="N499" i="19"/>
  <c r="N498" i="19"/>
  <c r="N497" i="19"/>
  <c r="N496" i="19"/>
  <c r="N495" i="19"/>
  <c r="N494" i="19"/>
  <c r="N493" i="19"/>
  <c r="N492" i="19"/>
  <c r="N490" i="19"/>
  <c r="N489" i="19"/>
  <c r="L487" i="19"/>
  <c r="K487" i="19" s="1"/>
  <c r="J487" i="19"/>
  <c r="I487" i="19"/>
  <c r="N484" i="19"/>
  <c r="N483" i="19"/>
  <c r="L483" i="19" s="1"/>
  <c r="K483" i="19" s="1"/>
  <c r="N482" i="19"/>
  <c r="I482" i="19"/>
  <c r="N481" i="19"/>
  <c r="L481" i="19" s="1"/>
  <c r="K481" i="19" s="1"/>
  <c r="N480" i="19"/>
  <c r="N479" i="19"/>
  <c r="N478" i="19"/>
  <c r="N477" i="19"/>
  <c r="N476" i="19"/>
  <c r="L476" i="19" s="1"/>
  <c r="K476" i="19" s="1"/>
  <c r="N475" i="19"/>
  <c r="N474" i="19"/>
  <c r="N473" i="19"/>
  <c r="N472" i="19"/>
  <c r="N471" i="19"/>
  <c r="N470" i="19"/>
  <c r="N465" i="19"/>
  <c r="N464" i="19"/>
  <c r="N463" i="19"/>
  <c r="L463" i="19" s="1"/>
  <c r="K463" i="19" s="1"/>
  <c r="N462" i="19"/>
  <c r="L462" i="19" s="1"/>
  <c r="K462" i="19" s="1"/>
  <c r="N457" i="19"/>
  <c r="N456" i="19"/>
  <c r="N455" i="19"/>
  <c r="N454" i="19"/>
  <c r="L454" i="19" s="1"/>
  <c r="K454" i="19" s="1"/>
  <c r="N449" i="19"/>
  <c r="N448" i="19"/>
  <c r="N447" i="19"/>
  <c r="L447" i="19" s="1"/>
  <c r="K447" i="19" s="1"/>
  <c r="N446" i="19"/>
  <c r="L446" i="19" s="1"/>
  <c r="K446" i="19" s="1"/>
  <c r="N445" i="19"/>
  <c r="N444" i="19"/>
  <c r="N443" i="19"/>
  <c r="N442" i="19"/>
  <c r="N441" i="19"/>
  <c r="N440" i="19"/>
  <c r="N437" i="19"/>
  <c r="N436" i="19"/>
  <c r="N433" i="19"/>
  <c r="L433" i="19" s="1"/>
  <c r="K433" i="19" s="1"/>
  <c r="N432" i="19"/>
  <c r="L432" i="19" s="1"/>
  <c r="K432" i="19" s="1"/>
  <c r="N429" i="19"/>
  <c r="N428" i="19"/>
  <c r="N425" i="19"/>
  <c r="L425" i="19" s="1"/>
  <c r="K425" i="19" s="1"/>
  <c r="N424" i="19"/>
  <c r="N421" i="19"/>
  <c r="N420" i="19"/>
  <c r="N417" i="19"/>
  <c r="N416" i="19"/>
  <c r="I416" i="19"/>
  <c r="N415" i="19"/>
  <c r="L415" i="19" s="1"/>
  <c r="K415" i="19" s="1"/>
  <c r="N414" i="19"/>
  <c r="N413" i="19"/>
  <c r="N412" i="19"/>
  <c r="L412" i="19"/>
  <c r="K412" i="19" s="1"/>
  <c r="N411" i="19"/>
  <c r="L411" i="19" s="1"/>
  <c r="K411" i="19" s="1"/>
  <c r="N410" i="19"/>
  <c r="N406" i="19"/>
  <c r="L406" i="19" s="1"/>
  <c r="K406" i="19" s="1"/>
  <c r="N405" i="19"/>
  <c r="L405" i="19" s="1"/>
  <c r="K405" i="19" s="1"/>
  <c r="N404" i="19"/>
  <c r="N402" i="19"/>
  <c r="L402" i="19" s="1"/>
  <c r="K402" i="19" s="1"/>
  <c r="N401" i="19"/>
  <c r="L401" i="19" s="1"/>
  <c r="K401" i="19" s="1"/>
  <c r="N400" i="19"/>
  <c r="N399" i="19"/>
  <c r="N390" i="19"/>
  <c r="N389" i="19"/>
  <c r="N386" i="19"/>
  <c r="L386" i="19" s="1"/>
  <c r="K386" i="19" s="1"/>
  <c r="N385" i="19"/>
  <c r="L385" i="19" s="1"/>
  <c r="K385" i="19" s="1"/>
  <c r="N384" i="19"/>
  <c r="N380" i="19"/>
  <c r="N377" i="19"/>
  <c r="N376" i="19"/>
  <c r="N375" i="19"/>
  <c r="N372" i="19"/>
  <c r="L372" i="19" s="1"/>
  <c r="K372" i="19" s="1"/>
  <c r="N371" i="19"/>
  <c r="I371" i="19"/>
  <c r="N370" i="19"/>
  <c r="N369" i="19"/>
  <c r="N368" i="19"/>
  <c r="N366" i="19"/>
  <c r="L366" i="19" s="1"/>
  <c r="K366" i="19" s="1"/>
  <c r="N365" i="19"/>
  <c r="L365" i="19" s="1"/>
  <c r="K365" i="19" s="1"/>
  <c r="N364" i="19"/>
  <c r="N362" i="19"/>
  <c r="N361" i="19"/>
  <c r="N360" i="19"/>
  <c r="L360" i="19" s="1"/>
  <c r="K360" i="19" s="1"/>
  <c r="N359" i="19"/>
  <c r="N358" i="19"/>
  <c r="N356" i="19"/>
  <c r="N355" i="19"/>
  <c r="N354" i="19"/>
  <c r="L354" i="19" s="1"/>
  <c r="K354" i="19" s="1"/>
  <c r="N353" i="19"/>
  <c r="L353" i="19" s="1"/>
  <c r="K353" i="19" s="1"/>
  <c r="N352" i="19"/>
  <c r="N351" i="19"/>
  <c r="N349" i="19"/>
  <c r="N348" i="19"/>
  <c r="N347" i="19"/>
  <c r="N346" i="19"/>
  <c r="N345" i="19"/>
  <c r="N342" i="19"/>
  <c r="N341" i="19"/>
  <c r="N340" i="19"/>
  <c r="N339" i="19"/>
  <c r="N338" i="19"/>
  <c r="N337" i="19"/>
  <c r="L337" i="19"/>
  <c r="K337" i="19" s="1"/>
  <c r="N336" i="19"/>
  <c r="L336" i="19" s="1"/>
  <c r="K336" i="19" s="1"/>
  <c r="N335" i="19"/>
  <c r="N334" i="19"/>
  <c r="N333" i="19"/>
  <c r="N332" i="19"/>
  <c r="N328" i="19"/>
  <c r="N324" i="19"/>
  <c r="N323" i="19"/>
  <c r="N322" i="19"/>
  <c r="N321" i="19"/>
  <c r="L320" i="19"/>
  <c r="K320" i="19" s="1"/>
  <c r="L313" i="19"/>
  <c r="K313" i="19" s="1"/>
  <c r="N312" i="19"/>
  <c r="L312" i="19" s="1"/>
  <c r="K312" i="19" s="1"/>
  <c r="N311" i="19"/>
  <c r="N310" i="19"/>
  <c r="N309" i="19"/>
  <c r="L309" i="19"/>
  <c r="K309" i="19" s="1"/>
  <c r="N308" i="19"/>
  <c r="I308" i="19"/>
  <c r="N307" i="19"/>
  <c r="L307" i="19" s="1"/>
  <c r="K307" i="19" s="1"/>
  <c r="N306" i="19"/>
  <c r="L306" i="19" s="1"/>
  <c r="K306" i="19" s="1"/>
  <c r="N305" i="19"/>
  <c r="N304" i="19"/>
  <c r="N301" i="19"/>
  <c r="N300" i="19"/>
  <c r="L300" i="19" s="1"/>
  <c r="K300" i="19" s="1"/>
  <c r="N299" i="19"/>
  <c r="N298" i="19"/>
  <c r="N297" i="19"/>
  <c r="N294" i="19"/>
  <c r="N293" i="19"/>
  <c r="L293" i="19" s="1"/>
  <c r="K293" i="19" s="1"/>
  <c r="N292" i="19"/>
  <c r="I292" i="19"/>
  <c r="N291" i="19"/>
  <c r="N290" i="19"/>
  <c r="N289" i="19"/>
  <c r="N286" i="19"/>
  <c r="N285" i="19"/>
  <c r="N284" i="19"/>
  <c r="I284" i="19"/>
  <c r="N283" i="19"/>
  <c r="L283" i="19"/>
  <c r="K283" i="19" s="1"/>
  <c r="N282" i="19"/>
  <c r="N281" i="19"/>
  <c r="N280" i="19"/>
  <c r="L280" i="19"/>
  <c r="K280" i="19" s="1"/>
  <c r="N279" i="19"/>
  <c r="L279" i="19"/>
  <c r="K279" i="19" s="1"/>
  <c r="N277" i="19"/>
  <c r="N275" i="19"/>
  <c r="N274" i="19"/>
  <c r="N273" i="19"/>
  <c r="N272" i="19"/>
  <c r="N269" i="19"/>
  <c r="N268" i="19"/>
  <c r="N267" i="19"/>
  <c r="N266" i="19"/>
  <c r="I266" i="19"/>
  <c r="N265" i="19"/>
  <c r="L265" i="19" s="1"/>
  <c r="K265" i="19" s="1"/>
  <c r="N264" i="19"/>
  <c r="N263" i="19"/>
  <c r="N262" i="19"/>
  <c r="N261" i="19"/>
  <c r="N260" i="19"/>
  <c r="N259" i="19"/>
  <c r="N258" i="19"/>
  <c r="N257" i="19"/>
  <c r="N256" i="19"/>
  <c r="L256" i="19" s="1"/>
  <c r="K256" i="19" s="1"/>
  <c r="N255" i="19"/>
  <c r="L255" i="19"/>
  <c r="K255" i="19" s="1"/>
  <c r="N254" i="19"/>
  <c r="N253" i="19"/>
  <c r="N252" i="19"/>
  <c r="N251" i="19"/>
  <c r="N250" i="19"/>
  <c r="L250" i="19" s="1"/>
  <c r="K250" i="19" s="1"/>
  <c r="N249" i="19"/>
  <c r="N243" i="19"/>
  <c r="N236" i="19"/>
  <c r="N235" i="19"/>
  <c r="N234" i="19"/>
  <c r="N233" i="19"/>
  <c r="L233" i="19" s="1"/>
  <c r="K233" i="19" s="1"/>
  <c r="N232" i="19"/>
  <c r="N226" i="19"/>
  <c r="N219" i="19"/>
  <c r="N218" i="19"/>
  <c r="N217" i="19"/>
  <c r="N216" i="19"/>
  <c r="L216" i="19" s="1"/>
  <c r="K216" i="19" s="1"/>
  <c r="N215" i="19"/>
  <c r="N209" i="19"/>
  <c r="N202" i="19"/>
  <c r="N201" i="19"/>
  <c r="N200" i="19"/>
  <c r="N199" i="19"/>
  <c r="L199" i="19" s="1"/>
  <c r="K199" i="19" s="1"/>
  <c r="N198" i="19"/>
  <c r="N197" i="19"/>
  <c r="N196" i="19"/>
  <c r="N193" i="19"/>
  <c r="N192" i="19"/>
  <c r="N191" i="19"/>
  <c r="N190" i="19"/>
  <c r="N189" i="19"/>
  <c r="I189" i="19"/>
  <c r="N188" i="19"/>
  <c r="N187" i="19"/>
  <c r="N183" i="19"/>
  <c r="N182" i="19"/>
  <c r="L182" i="19" s="1"/>
  <c r="K182" i="19" s="1"/>
  <c r="N181" i="19"/>
  <c r="L181" i="19"/>
  <c r="K181" i="19" s="1"/>
  <c r="N180" i="19"/>
  <c r="N176" i="19"/>
  <c r="N175" i="19"/>
  <c r="L175" i="19" s="1"/>
  <c r="K175" i="19" s="1"/>
  <c r="N174" i="19"/>
  <c r="I174" i="19"/>
  <c r="N173" i="19"/>
  <c r="L173" i="19" s="1"/>
  <c r="K173" i="19" s="1"/>
  <c r="N172" i="19"/>
  <c r="N168" i="19"/>
  <c r="N167" i="19"/>
  <c r="N166" i="19"/>
  <c r="I166" i="19"/>
  <c r="N165" i="19"/>
  <c r="L165" i="19" s="1"/>
  <c r="K165" i="19" s="1"/>
  <c r="N164" i="19"/>
  <c r="N163" i="19"/>
  <c r="N162" i="19"/>
  <c r="L162" i="19" s="1"/>
  <c r="K162" i="19" s="1"/>
  <c r="N161" i="19"/>
  <c r="N159" i="19"/>
  <c r="N157" i="19"/>
  <c r="N156" i="19"/>
  <c r="N155" i="19"/>
  <c r="N151" i="19"/>
  <c r="N150" i="19"/>
  <c r="N149" i="19"/>
  <c r="N148" i="19"/>
  <c r="I148" i="19"/>
  <c r="N147" i="19"/>
  <c r="L147" i="19" s="1"/>
  <c r="K147" i="19" s="1"/>
  <c r="N146" i="19"/>
  <c r="N145" i="19"/>
  <c r="N144" i="19"/>
  <c r="N143" i="19"/>
  <c r="N142" i="19"/>
  <c r="N141" i="19"/>
  <c r="N140" i="19"/>
  <c r="N139" i="19"/>
  <c r="N138" i="19"/>
  <c r="L138" i="19" s="1"/>
  <c r="K138" i="19" s="1"/>
  <c r="N137" i="19"/>
  <c r="L137" i="19" s="1"/>
  <c r="K137" i="19" s="1"/>
  <c r="N136" i="19"/>
  <c r="N135" i="19"/>
  <c r="N134" i="19"/>
  <c r="N133" i="19"/>
  <c r="L133" i="19" s="1"/>
  <c r="K133" i="19" s="1"/>
  <c r="N132" i="19"/>
  <c r="N131" i="19"/>
  <c r="N125" i="19"/>
  <c r="N118" i="19"/>
  <c r="N117" i="19"/>
  <c r="N116" i="19"/>
  <c r="N115" i="19"/>
  <c r="N114" i="19"/>
  <c r="N108" i="19"/>
  <c r="N101" i="19"/>
  <c r="N100" i="19"/>
  <c r="N99" i="19"/>
  <c r="N98" i="19"/>
  <c r="L98" i="19" s="1"/>
  <c r="K98" i="19" s="1"/>
  <c r="N97" i="19"/>
  <c r="N91" i="19"/>
  <c r="N84" i="19"/>
  <c r="N83" i="19"/>
  <c r="N82" i="19"/>
  <c r="N81" i="19"/>
  <c r="L81" i="19"/>
  <c r="K81" i="19" s="1"/>
  <c r="N80" i="19"/>
  <c r="N79" i="19"/>
  <c r="N78" i="19"/>
  <c r="N75" i="19"/>
  <c r="N74" i="19"/>
  <c r="N73" i="19"/>
  <c r="N72" i="19"/>
  <c r="N71" i="19"/>
  <c r="I71" i="19"/>
  <c r="N70" i="19"/>
  <c r="N69" i="19"/>
  <c r="N68" i="19"/>
  <c r="N67" i="19"/>
  <c r="L67" i="19" s="1"/>
  <c r="K67" i="19" s="1"/>
  <c r="N66" i="19"/>
  <c r="L66" i="19" s="1"/>
  <c r="K66" i="19" s="1"/>
  <c r="N65" i="19"/>
  <c r="N64" i="19"/>
  <c r="N63" i="19"/>
  <c r="N62" i="19"/>
  <c r="N61" i="19"/>
  <c r="N60" i="19"/>
  <c r="N59" i="19"/>
  <c r="L59" i="19" s="1"/>
  <c r="K59" i="19" s="1"/>
  <c r="N58" i="19"/>
  <c r="N57" i="19"/>
  <c r="N52" i="19"/>
  <c r="N51" i="19"/>
  <c r="N44" i="19"/>
  <c r="N42" i="19"/>
  <c r="L42" i="19" s="1"/>
  <c r="K42" i="19" s="1"/>
  <c r="N41" i="19"/>
  <c r="L41" i="19" s="1"/>
  <c r="K41" i="19" s="1"/>
  <c r="N40" i="19"/>
  <c r="N35" i="19"/>
  <c r="N34" i="19"/>
  <c r="N25" i="19"/>
  <c r="L25" i="19" s="1"/>
  <c r="K25" i="19" s="1"/>
  <c r="N24" i="19"/>
  <c r="L24" i="19"/>
  <c r="K24" i="19" s="1"/>
  <c r="N23" i="19"/>
  <c r="N18" i="19"/>
  <c r="N17" i="19"/>
  <c r="N10" i="19"/>
  <c r="N8" i="19"/>
  <c r="N7" i="19"/>
  <c r="I7" i="19"/>
  <c r="N5" i="19"/>
  <c r="N6" i="19" s="1"/>
  <c r="N3" i="19"/>
  <c r="N2" i="19" s="1"/>
  <c r="L424" i="19" l="1"/>
  <c r="K424" i="19" s="1"/>
  <c r="L156" i="19"/>
  <c r="K156" i="19" s="1"/>
  <c r="L161" i="19"/>
  <c r="K161" i="19" s="1"/>
  <c r="L594" i="19"/>
  <c r="K594" i="19" s="1"/>
  <c r="L299" i="19"/>
  <c r="K299" i="19" s="1"/>
  <c r="L527" i="19"/>
  <c r="K527" i="19" s="1"/>
  <c r="L115" i="19"/>
  <c r="K115" i="19" s="1"/>
  <c r="L884" i="19"/>
  <c r="L564" i="19"/>
  <c r="K564" i="19" s="1"/>
  <c r="L377" i="19"/>
  <c r="K377" i="19" s="1"/>
  <c r="L291" i="19"/>
  <c r="K291" i="19" s="1"/>
  <c r="L417" i="19"/>
  <c r="K417" i="19" s="1"/>
  <c r="L953" i="19"/>
  <c r="L587" i="19"/>
  <c r="K587" i="19" s="1"/>
  <c r="L559" i="19"/>
  <c r="K559" i="19" s="1"/>
  <c r="L583" i="19"/>
  <c r="K583" i="19" s="1"/>
  <c r="L637" i="19"/>
  <c r="K637" i="19" s="1"/>
  <c r="L359" i="19"/>
  <c r="K359" i="19" s="1"/>
  <c r="L132" i="19"/>
  <c r="K132" i="19" s="1"/>
  <c r="L321" i="19"/>
  <c r="K321" i="19" s="1"/>
  <c r="N4" i="19"/>
  <c r="L582" i="19"/>
  <c r="K582" i="19" s="1"/>
  <c r="L922" i="19"/>
  <c r="L634" i="19"/>
  <c r="K634" i="19" s="1"/>
  <c r="L370" i="19"/>
  <c r="K370" i="19" s="1"/>
  <c r="L526" i="19"/>
  <c r="K526" i="19" s="1"/>
  <c r="L274" i="19"/>
  <c r="K274" i="19" s="1"/>
  <c r="L58" i="19"/>
  <c r="K58" i="19" s="1"/>
  <c r="I526" i="19"/>
  <c r="L70" i="19"/>
  <c r="K70" i="19" s="1"/>
  <c r="L143" i="19"/>
  <c r="K143" i="19" s="1"/>
  <c r="L251" i="19"/>
  <c r="K251" i="19" s="1"/>
  <c r="L599" i="19"/>
  <c r="K599" i="19" s="1"/>
  <c r="I527" i="19"/>
  <c r="L455" i="19"/>
  <c r="K455" i="19" s="1"/>
  <c r="Q391" i="20"/>
  <c r="P661" i="19" l="1"/>
  <c r="O387" i="20"/>
  <c r="O386" i="20"/>
  <c r="O385" i="20"/>
  <c r="O384" i="20"/>
  <c r="O383" i="20"/>
  <c r="O382" i="20"/>
  <c r="O381" i="20"/>
  <c r="O380" i="20"/>
  <c r="O379" i="20"/>
  <c r="O378" i="20"/>
  <c r="O377" i="20"/>
  <c r="O376" i="20"/>
  <c r="O375" i="20"/>
  <c r="O374" i="20"/>
  <c r="O373" i="20"/>
  <c r="O372" i="20"/>
  <c r="O371" i="20"/>
  <c r="O370" i="20"/>
  <c r="O369" i="20"/>
  <c r="O368" i="20"/>
  <c r="O367" i="20"/>
  <c r="O366" i="20"/>
  <c r="O365" i="20"/>
  <c r="O364" i="20"/>
  <c r="O363" i="20"/>
  <c r="O362" i="20"/>
  <c r="O361" i="20"/>
  <c r="O360" i="20"/>
  <c r="O359" i="20"/>
  <c r="O358" i="20"/>
  <c r="O357" i="20"/>
  <c r="O356" i="20"/>
  <c r="O355" i="20"/>
  <c r="O354" i="20"/>
  <c r="O353" i="20"/>
  <c r="O329" i="20"/>
  <c r="O328" i="20"/>
  <c r="O327" i="20"/>
  <c r="O326" i="20"/>
  <c r="O325" i="20"/>
  <c r="O324" i="20"/>
  <c r="O323" i="20"/>
  <c r="O322" i="20"/>
  <c r="O321" i="20"/>
  <c r="O320" i="20"/>
  <c r="O319" i="20"/>
  <c r="O318" i="20"/>
  <c r="O317" i="20"/>
  <c r="O316" i="20"/>
  <c r="O315" i="20"/>
  <c r="O314" i="20"/>
  <c r="O313" i="20"/>
  <c r="O312" i="20"/>
  <c r="O311" i="20"/>
  <c r="O310" i="20"/>
  <c r="O309" i="20"/>
  <c r="O308" i="20"/>
  <c r="O307" i="20"/>
  <c r="O306" i="20"/>
  <c r="O305" i="20"/>
  <c r="O304" i="20"/>
  <c r="O303" i="20"/>
  <c r="O302" i="20"/>
  <c r="O301" i="20"/>
  <c r="O300" i="20"/>
  <c r="O299" i="20"/>
  <c r="O298" i="20"/>
  <c r="O297" i="20"/>
  <c r="O296" i="20"/>
  <c r="O295" i="20"/>
  <c r="F13" i="21"/>
  <c r="E13" i="21"/>
  <c r="P305" i="19"/>
  <c r="P304" i="19"/>
  <c r="P303" i="19"/>
  <c r="P302" i="19"/>
  <c r="P301" i="19"/>
  <c r="P298" i="19"/>
  <c r="P297" i="19"/>
  <c r="P296" i="19"/>
  <c r="P295" i="19"/>
  <c r="P294" i="19"/>
  <c r="P290" i="19"/>
  <c r="P289" i="19"/>
  <c r="P288" i="19"/>
  <c r="P287" i="19"/>
  <c r="P286" i="19"/>
  <c r="P273" i="19"/>
  <c r="P272" i="19"/>
  <c r="P271" i="19"/>
  <c r="P270" i="19"/>
  <c r="P269" i="19"/>
  <c r="P268" i="19"/>
  <c r="P264" i="19"/>
  <c r="P252" i="19"/>
  <c r="P241" i="19"/>
  <c r="P224" i="19"/>
  <c r="P223" i="19"/>
  <c r="P207" i="19"/>
  <c r="P198" i="19"/>
  <c r="P197" i="19"/>
  <c r="P196" i="19"/>
  <c r="P195" i="19"/>
  <c r="P194" i="19"/>
  <c r="P193" i="19"/>
  <c r="P192" i="19"/>
  <c r="P191" i="19"/>
  <c r="E41" i="22"/>
  <c r="H252" i="19" s="1"/>
  <c r="T252" i="19" s="1"/>
  <c r="B246" i="19"/>
  <c r="B211" i="19"/>
  <c r="B210" i="19"/>
  <c r="B209" i="19"/>
  <c r="B240" i="19"/>
  <c r="B238" i="19"/>
  <c r="B203" i="19"/>
  <c r="B202" i="19"/>
  <c r="B201" i="19"/>
  <c r="F34" i="21"/>
  <c r="B195" i="19"/>
  <c r="F33" i="21"/>
  <c r="B194" i="19"/>
  <c r="F32" i="21"/>
  <c r="D32" i="21"/>
  <c r="B193" i="19"/>
  <c r="F31" i="21"/>
  <c r="B6" i="21"/>
  <c r="B191" i="19"/>
  <c r="P379" i="19"/>
  <c r="P378" i="19"/>
  <c r="F13" i="23"/>
  <c r="E13" i="23"/>
  <c r="B159" i="19" s="1"/>
  <c r="P170" i="19"/>
  <c r="P169" i="19"/>
  <c r="P168" i="19"/>
  <c r="P153" i="19"/>
  <c r="P152" i="19"/>
  <c r="P151" i="19"/>
  <c r="P123" i="19"/>
  <c r="P106" i="19"/>
  <c r="P105" i="19"/>
  <c r="P89" i="19"/>
  <c r="P77" i="19"/>
  <c r="P76" i="19"/>
  <c r="P877" i="19"/>
  <c r="P870" i="19"/>
  <c r="P863" i="19"/>
  <c r="P845" i="19"/>
  <c r="P838" i="19"/>
  <c r="P831" i="19"/>
  <c r="P813" i="19"/>
  <c r="P806" i="19"/>
  <c r="P799" i="19"/>
  <c r="L765" i="19"/>
  <c r="K765" i="19" s="1"/>
  <c r="L755" i="19"/>
  <c r="K755" i="19" s="1"/>
  <c r="L751" i="19"/>
  <c r="K751" i="19" s="1"/>
  <c r="P750" i="19"/>
  <c r="L727" i="19"/>
  <c r="K727" i="19" s="1"/>
  <c r="L717" i="19"/>
  <c r="K717" i="19" s="1"/>
  <c r="P712" i="19"/>
  <c r="L689" i="19"/>
  <c r="K689" i="19" s="1"/>
  <c r="L679" i="19"/>
  <c r="K679" i="19" s="1"/>
  <c r="L675" i="19"/>
  <c r="K675" i="19" s="1"/>
  <c r="P674" i="19"/>
  <c r="P652" i="19"/>
  <c r="L643" i="19"/>
  <c r="K643" i="19" s="1"/>
  <c r="I954" i="19"/>
  <c r="P951" i="19"/>
  <c r="P950" i="19"/>
  <c r="P949" i="19"/>
  <c r="P946" i="19"/>
  <c r="P945" i="19"/>
  <c r="P944" i="19"/>
  <c r="P941" i="19"/>
  <c r="P940" i="19"/>
  <c r="P939" i="19"/>
  <c r="P936" i="19"/>
  <c r="P935" i="19"/>
  <c r="I933" i="19"/>
  <c r="J933" i="19" s="1"/>
  <c r="P929" i="19"/>
  <c r="P925" i="19"/>
  <c r="P924" i="19"/>
  <c r="P923" i="19"/>
  <c r="I922" i="19"/>
  <c r="J922" i="19" s="1"/>
  <c r="P907" i="19"/>
  <c r="P906" i="19"/>
  <c r="P905" i="19"/>
  <c r="P902" i="19"/>
  <c r="P901" i="19"/>
  <c r="P900" i="19"/>
  <c r="P899" i="19"/>
  <c r="P898" i="19"/>
  <c r="L897" i="19"/>
  <c r="K897" i="19" s="1"/>
  <c r="L896" i="19"/>
  <c r="K896" i="19" s="1"/>
  <c r="P854" i="19"/>
  <c r="P822" i="19"/>
  <c r="P790" i="19"/>
  <c r="P640" i="19"/>
  <c r="P60" i="19"/>
  <c r="B409" i="19"/>
  <c r="B408" i="19"/>
  <c r="B407" i="19"/>
  <c r="B398" i="19"/>
  <c r="B397" i="19"/>
  <c r="B396" i="19"/>
  <c r="B395" i="19"/>
  <c r="B393" i="19"/>
  <c r="B392" i="19"/>
  <c r="B391" i="19"/>
  <c r="B390" i="19"/>
  <c r="B389" i="19"/>
  <c r="J11" i="7"/>
  <c r="I28" i="7"/>
  <c r="G22" i="7"/>
  <c r="B609" i="19"/>
  <c r="B608" i="19"/>
  <c r="B605" i="19"/>
  <c r="B3" i="18"/>
  <c r="B130" i="19"/>
  <c r="B95" i="19"/>
  <c r="B128" i="19"/>
  <c r="B92" i="19"/>
  <c r="B89" i="19"/>
  <c r="B88" i="19"/>
  <c r="B103" i="19"/>
  <c r="B85" i="19"/>
  <c r="B100" i="19"/>
  <c r="B77" i="19"/>
  <c r="F33" i="23"/>
  <c r="D33" i="23"/>
  <c r="B76" i="19"/>
  <c r="F32" i="23"/>
  <c r="D8" i="23"/>
  <c r="C32" i="23"/>
  <c r="B75" i="19"/>
  <c r="F31" i="23"/>
  <c r="E6" i="24"/>
  <c r="H74" i="19" s="1"/>
  <c r="T74" i="19" s="1"/>
  <c r="B74" i="19"/>
  <c r="D6" i="23"/>
  <c r="B6" i="23"/>
  <c r="F6" i="23" s="1"/>
  <c r="B73" i="19"/>
  <c r="B534" i="19"/>
  <c r="B533" i="19"/>
  <c r="B532" i="19"/>
  <c r="B530" i="19"/>
  <c r="B529" i="19"/>
  <c r="B521" i="19"/>
  <c r="B518" i="19"/>
  <c r="B503" i="19"/>
  <c r="B502" i="19"/>
  <c r="B501" i="19"/>
  <c r="B500" i="19"/>
  <c r="B499" i="19"/>
  <c r="B498" i="19"/>
  <c r="B497" i="19"/>
  <c r="B496" i="19"/>
  <c r="B486" i="19"/>
  <c r="B485" i="19"/>
  <c r="B484" i="19"/>
  <c r="A482" i="19"/>
  <c r="B43" i="8"/>
  <c r="B470" i="19" s="1"/>
  <c r="C443" i="19"/>
  <c r="B850" i="19"/>
  <c r="B817" i="19"/>
  <c r="B880" i="19"/>
  <c r="B847" i="19"/>
  <c r="B846" i="19"/>
  <c r="B811" i="19"/>
  <c r="B810" i="19"/>
  <c r="B809" i="19"/>
  <c r="B808" i="19"/>
  <c r="B807" i="19"/>
  <c r="B836" i="19"/>
  <c r="B867" i="19"/>
  <c r="B866" i="19"/>
  <c r="I23" i="14"/>
  <c r="H833" i="19" s="1"/>
  <c r="T833" i="19" s="1"/>
  <c r="B832" i="19"/>
  <c r="B796" i="19"/>
  <c r="B795" i="19"/>
  <c r="B826" i="19"/>
  <c r="B792" i="19"/>
  <c r="B39" i="19"/>
  <c r="B21" i="19"/>
  <c r="B20" i="19"/>
  <c r="B19" i="19"/>
  <c r="B35" i="19"/>
  <c r="B15" i="19"/>
  <c r="B13" i="19"/>
  <c r="B9" i="19"/>
  <c r="A32" i="16"/>
  <c r="A11" i="16"/>
  <c r="R56" i="16" s="1"/>
  <c r="F427" i="20"/>
  <c r="F423" i="20"/>
  <c r="F421" i="20"/>
  <c r="A189" i="19"/>
  <c r="B190" i="19"/>
  <c r="L190" i="19" s="1"/>
  <c r="K190" i="19" s="1"/>
  <c r="B192" i="19"/>
  <c r="H194" i="19"/>
  <c r="T194" i="19" s="1"/>
  <c r="H195" i="19"/>
  <c r="T195" i="19" s="1"/>
  <c r="B196" i="19"/>
  <c r="B197" i="19"/>
  <c r="B198" i="19"/>
  <c r="B200" i="19"/>
  <c r="L200" i="19" s="1"/>
  <c r="K200" i="19" s="1"/>
  <c r="B206" i="19"/>
  <c r="H207" i="19"/>
  <c r="T207" i="19" s="1"/>
  <c r="B242" i="19"/>
  <c r="B229" i="19"/>
  <c r="B213" i="19"/>
  <c r="B214" i="19"/>
  <c r="B215" i="19"/>
  <c r="B217" i="19"/>
  <c r="L217" i="19" s="1"/>
  <c r="K217" i="19" s="1"/>
  <c r="H223" i="19"/>
  <c r="T223" i="19" s="1"/>
  <c r="H224" i="19"/>
  <c r="T224" i="19" s="1"/>
  <c r="B232" i="19"/>
  <c r="B234" i="19"/>
  <c r="L234" i="19" s="1"/>
  <c r="K234" i="19" s="1"/>
  <c r="H241" i="19"/>
  <c r="T241" i="19" s="1"/>
  <c r="B249" i="19"/>
  <c r="B252" i="19"/>
  <c r="B253" i="19"/>
  <c r="B254" i="19"/>
  <c r="B257" i="19"/>
  <c r="B258" i="19"/>
  <c r="B259" i="19"/>
  <c r="B260" i="19"/>
  <c r="B262" i="19"/>
  <c r="L262" i="19" s="1"/>
  <c r="K262" i="19" s="1"/>
  <c r="B263" i="19"/>
  <c r="B264" i="19"/>
  <c r="A266" i="19"/>
  <c r="B267" i="19"/>
  <c r="L267" i="19" s="1"/>
  <c r="K267" i="19" s="1"/>
  <c r="B8" i="21"/>
  <c r="B270" i="19" s="1"/>
  <c r="H270" i="19"/>
  <c r="T270" i="19" s="1"/>
  <c r="H271" i="19"/>
  <c r="T271" i="19" s="1"/>
  <c r="B273" i="19"/>
  <c r="B275" i="19"/>
  <c r="L275" i="19" s="1"/>
  <c r="K275" i="19" s="1"/>
  <c r="H276" i="19"/>
  <c r="T276" i="19" s="1"/>
  <c r="H278" i="19"/>
  <c r="T278" i="19" s="1"/>
  <c r="H282" i="19"/>
  <c r="T282" i="19" s="1"/>
  <c r="A284" i="19"/>
  <c r="B285" i="19"/>
  <c r="L285" i="19" s="1"/>
  <c r="K285" i="19" s="1"/>
  <c r="H287" i="19"/>
  <c r="T287" i="19" s="1"/>
  <c r="H288" i="19"/>
  <c r="T288" i="19" s="1"/>
  <c r="B290" i="19"/>
  <c r="A292" i="19"/>
  <c r="H295" i="19"/>
  <c r="T295" i="19" s="1"/>
  <c r="H296" i="19"/>
  <c r="T296" i="19" s="1"/>
  <c r="B298" i="19"/>
  <c r="H302" i="19"/>
  <c r="T302" i="19" s="1"/>
  <c r="H303" i="19"/>
  <c r="T303" i="19" s="1"/>
  <c r="B305" i="19"/>
  <c r="A4" i="18"/>
  <c r="A5" i="18" s="1"/>
  <c r="D6" i="21"/>
  <c r="C31" i="21"/>
  <c r="F40" i="21" s="1"/>
  <c r="H294" i="19" s="1"/>
  <c r="T294" i="19" s="1"/>
  <c r="B39" i="21"/>
  <c r="T329" i="20"/>
  <c r="H918" i="19"/>
  <c r="T918" i="19" s="1"/>
  <c r="H919" i="19"/>
  <c r="T919" i="19" s="1"/>
  <c r="H920" i="19"/>
  <c r="T920" i="19" s="1"/>
  <c r="H910" i="19"/>
  <c r="T910" i="19" s="1"/>
  <c r="H911" i="19"/>
  <c r="T911" i="19" s="1"/>
  <c r="H912" i="19"/>
  <c r="T912" i="19" s="1"/>
  <c r="H164" i="19"/>
  <c r="T164" i="19" s="1"/>
  <c r="H951" i="19"/>
  <c r="T951" i="19" s="1"/>
  <c r="H949" i="19"/>
  <c r="T949" i="19" s="1"/>
  <c r="H946" i="19"/>
  <c r="T946" i="19" s="1"/>
  <c r="H944" i="19"/>
  <c r="T944" i="19" s="1"/>
  <c r="H941" i="19"/>
  <c r="T941" i="19" s="1"/>
  <c r="H939" i="19"/>
  <c r="T939" i="19" s="1"/>
  <c r="H925" i="19"/>
  <c r="T925" i="19" s="1"/>
  <c r="H923" i="19"/>
  <c r="T923" i="19" s="1"/>
  <c r="H907" i="19"/>
  <c r="T907" i="19" s="1"/>
  <c r="H905" i="19"/>
  <c r="T905" i="19" s="1"/>
  <c r="H902" i="19"/>
  <c r="T902" i="19" s="1"/>
  <c r="H900" i="19"/>
  <c r="T900" i="19" s="1"/>
  <c r="H898" i="19"/>
  <c r="T898" i="19" s="1"/>
  <c r="B627" i="19"/>
  <c r="L627" i="19" s="1"/>
  <c r="K627" i="19" s="1"/>
  <c r="B618" i="19"/>
  <c r="L618" i="19" s="1"/>
  <c r="K618" i="19" s="1"/>
  <c r="B613" i="19"/>
  <c r="L613" i="19" s="1"/>
  <c r="K613" i="19" s="1"/>
  <c r="B600" i="19"/>
  <c r="L600" i="19" s="1"/>
  <c r="K600" i="19" s="1"/>
  <c r="B595" i="19"/>
  <c r="L595" i="19" s="1"/>
  <c r="K595" i="19" s="1"/>
  <c r="B589" i="19"/>
  <c r="L589" i="19" s="1"/>
  <c r="K589" i="19" s="1"/>
  <c r="B167" i="19"/>
  <c r="L167" i="19" s="1"/>
  <c r="K167" i="19" s="1"/>
  <c r="B157" i="19"/>
  <c r="L157" i="19" s="1"/>
  <c r="K157" i="19" s="1"/>
  <c r="B149" i="19"/>
  <c r="L149" i="19" s="1"/>
  <c r="K149" i="19" s="1"/>
  <c r="B144" i="19"/>
  <c r="L144" i="19" s="1"/>
  <c r="K144" i="19" s="1"/>
  <c r="B116" i="19"/>
  <c r="L116" i="19" s="1"/>
  <c r="K116" i="19" s="1"/>
  <c r="B99" i="19"/>
  <c r="L99" i="19" s="1"/>
  <c r="K99" i="19" s="1"/>
  <c r="B82" i="19"/>
  <c r="L82" i="19" s="1"/>
  <c r="K82" i="19" s="1"/>
  <c r="B72" i="19"/>
  <c r="L72" i="19" s="1"/>
  <c r="K72" i="19" s="1"/>
  <c r="B113" i="19"/>
  <c r="B9" i="23"/>
  <c r="B153" i="19" s="1"/>
  <c r="H950" i="19"/>
  <c r="T950" i="19" s="1"/>
  <c r="H945" i="19"/>
  <c r="T945" i="19" s="1"/>
  <c r="H940" i="19"/>
  <c r="T940" i="19" s="1"/>
  <c r="H936" i="19"/>
  <c r="T936" i="19" s="1"/>
  <c r="H935" i="19"/>
  <c r="T935" i="19" s="1"/>
  <c r="H930" i="19"/>
  <c r="T930" i="19" s="1"/>
  <c r="H929" i="19"/>
  <c r="T929" i="19" s="1"/>
  <c r="H924" i="19"/>
  <c r="T924" i="19" s="1"/>
  <c r="H921" i="19"/>
  <c r="T921" i="19" s="1"/>
  <c r="H906" i="19"/>
  <c r="T906" i="19" s="1"/>
  <c r="H901" i="19"/>
  <c r="T901" i="19" s="1"/>
  <c r="H899" i="19"/>
  <c r="T899" i="19" s="1"/>
  <c r="H893" i="19"/>
  <c r="T893" i="19" s="1"/>
  <c r="H892" i="19"/>
  <c r="T892" i="19" s="1"/>
  <c r="H891" i="19"/>
  <c r="T891" i="19" s="1"/>
  <c r="B891" i="19"/>
  <c r="L891" i="19" s="1"/>
  <c r="B892" i="19"/>
  <c r="B893" i="19"/>
  <c r="H889" i="19"/>
  <c r="T889" i="19" s="1"/>
  <c r="H888" i="19"/>
  <c r="T888" i="19" s="1"/>
  <c r="H887" i="19"/>
  <c r="T887" i="19" s="1"/>
  <c r="B887" i="19"/>
  <c r="L887" i="19" s="1"/>
  <c r="B888" i="19"/>
  <c r="B889" i="19"/>
  <c r="H882" i="19"/>
  <c r="T882" i="19" s="1"/>
  <c r="H881" i="19"/>
  <c r="T881" i="19" s="1"/>
  <c r="H877" i="19"/>
  <c r="T877" i="19" s="1"/>
  <c r="B877" i="19"/>
  <c r="L877" i="19" s="1"/>
  <c r="K877" i="19" s="1"/>
  <c r="H875" i="19"/>
  <c r="T875" i="19" s="1"/>
  <c r="H874" i="19"/>
  <c r="T874" i="19" s="1"/>
  <c r="H870" i="19"/>
  <c r="T870" i="19" s="1"/>
  <c r="B870" i="19"/>
  <c r="H868" i="19"/>
  <c r="T868" i="19" s="1"/>
  <c r="H867" i="19"/>
  <c r="T867" i="19" s="1"/>
  <c r="H866" i="19"/>
  <c r="T866" i="19" s="1"/>
  <c r="H863" i="19"/>
  <c r="T863" i="19" s="1"/>
  <c r="H861" i="19"/>
  <c r="T861" i="19" s="1"/>
  <c r="H860" i="19"/>
  <c r="T860" i="19" s="1"/>
  <c r="H854" i="19"/>
  <c r="T854" i="19" s="1"/>
  <c r="H850" i="19"/>
  <c r="H849" i="19"/>
  <c r="H845" i="19"/>
  <c r="T845" i="19" s="1"/>
  <c r="B845" i="19"/>
  <c r="H843" i="19"/>
  <c r="T843" i="19" s="1"/>
  <c r="H842" i="19"/>
  <c r="T842" i="19" s="1"/>
  <c r="H838" i="19"/>
  <c r="T838" i="19" s="1"/>
  <c r="B838" i="19"/>
  <c r="H836" i="19"/>
  <c r="T836" i="19" s="1"/>
  <c r="H835" i="19"/>
  <c r="H834" i="19"/>
  <c r="T834" i="19" s="1"/>
  <c r="H831" i="19"/>
  <c r="T831" i="19" s="1"/>
  <c r="H829" i="19"/>
  <c r="T829" i="19" s="1"/>
  <c r="H828" i="19"/>
  <c r="T828" i="19" s="1"/>
  <c r="H822" i="19"/>
  <c r="T822" i="19" s="1"/>
  <c r="H818" i="19"/>
  <c r="T818" i="19" s="1"/>
  <c r="H817" i="19"/>
  <c r="T817" i="19" s="1"/>
  <c r="H813" i="19"/>
  <c r="T813" i="19" s="1"/>
  <c r="B813" i="19"/>
  <c r="H811" i="19"/>
  <c r="T811" i="19" s="1"/>
  <c r="H810" i="19"/>
  <c r="T810" i="19" s="1"/>
  <c r="H806" i="19"/>
  <c r="T806" i="19" s="1"/>
  <c r="B806" i="19"/>
  <c r="H804" i="19"/>
  <c r="T804" i="19" s="1"/>
  <c r="H803" i="19"/>
  <c r="T803" i="19" s="1"/>
  <c r="H802" i="19"/>
  <c r="T802" i="19" s="1"/>
  <c r="H799" i="19"/>
  <c r="T799" i="19" s="1"/>
  <c r="H797" i="19"/>
  <c r="T797" i="19" s="1"/>
  <c r="H796" i="19"/>
  <c r="T796" i="19" s="1"/>
  <c r="H790" i="19"/>
  <c r="T790" i="19" s="1"/>
  <c r="H785" i="19"/>
  <c r="T785" i="19" s="1"/>
  <c r="H24" i="15"/>
  <c r="I24" i="15"/>
  <c r="H731" i="19" s="1"/>
  <c r="T731" i="19" s="1"/>
  <c r="H768" i="19"/>
  <c r="T768" i="19" s="1"/>
  <c r="H763" i="19"/>
  <c r="T763" i="19" s="1"/>
  <c r="H762" i="19"/>
  <c r="T762" i="19" s="1"/>
  <c r="H761" i="19"/>
  <c r="T761" i="19" s="1"/>
  <c r="H753" i="19"/>
  <c r="T753" i="19" s="1"/>
  <c r="H750" i="19"/>
  <c r="T750" i="19" s="1"/>
  <c r="H747" i="19"/>
  <c r="T747" i="19" s="1"/>
  <c r="H730" i="19"/>
  <c r="T730" i="19" s="1"/>
  <c r="H725" i="19"/>
  <c r="T725" i="19" s="1"/>
  <c r="H724" i="19"/>
  <c r="T724" i="19" s="1"/>
  <c r="H723" i="19"/>
  <c r="T723" i="19" s="1"/>
  <c r="H715" i="19"/>
  <c r="T715" i="19" s="1"/>
  <c r="H712" i="19"/>
  <c r="T712" i="19" s="1"/>
  <c r="H709" i="19"/>
  <c r="T709" i="19" s="1"/>
  <c r="H692" i="19"/>
  <c r="T692" i="19" s="1"/>
  <c r="H687" i="19"/>
  <c r="T687" i="19" s="1"/>
  <c r="H686" i="19"/>
  <c r="H685" i="19"/>
  <c r="T685" i="19" s="1"/>
  <c r="H677" i="19"/>
  <c r="T677" i="19" s="1"/>
  <c r="H674" i="19"/>
  <c r="T674" i="19" s="1"/>
  <c r="H672" i="19"/>
  <c r="T672" i="19" s="1"/>
  <c r="H655" i="19"/>
  <c r="T655" i="19" s="1"/>
  <c r="H652" i="19"/>
  <c r="T652" i="19" s="1"/>
  <c r="H651" i="19"/>
  <c r="T651" i="19" s="1"/>
  <c r="H650" i="19"/>
  <c r="T650" i="19" s="1"/>
  <c r="H649" i="19"/>
  <c r="T649" i="19" s="1"/>
  <c r="H642" i="19"/>
  <c r="T642" i="19" s="1"/>
  <c r="H640" i="19"/>
  <c r="T640" i="19" s="1"/>
  <c r="B630" i="19"/>
  <c r="B625" i="19"/>
  <c r="B623" i="19"/>
  <c r="B616" i="19"/>
  <c r="B614" i="19"/>
  <c r="H609" i="19"/>
  <c r="T609" i="19" s="1"/>
  <c r="H608" i="19"/>
  <c r="T608" i="19" s="1"/>
  <c r="H571" i="19"/>
  <c r="T571" i="19" s="1"/>
  <c r="H568" i="19"/>
  <c r="T568" i="19" s="1"/>
  <c r="H536" i="19"/>
  <c r="T536" i="19" s="1"/>
  <c r="H535" i="19"/>
  <c r="T535" i="19" s="1"/>
  <c r="H534" i="19"/>
  <c r="T534" i="19" s="1"/>
  <c r="H533" i="19"/>
  <c r="T533" i="19" s="1"/>
  <c r="H532" i="19"/>
  <c r="T532" i="19" s="1"/>
  <c r="H531" i="19"/>
  <c r="T531" i="19" s="1"/>
  <c r="H530" i="19"/>
  <c r="T530" i="19" s="1"/>
  <c r="H529" i="19"/>
  <c r="T529" i="19" s="1"/>
  <c r="H514" i="19"/>
  <c r="T514" i="19" s="1"/>
  <c r="H513" i="19"/>
  <c r="T513" i="19" s="1"/>
  <c r="H508" i="19"/>
  <c r="T508" i="19" s="1"/>
  <c r="H507" i="19"/>
  <c r="T507" i="19" s="1"/>
  <c r="H503" i="19"/>
  <c r="T503" i="19" s="1"/>
  <c r="H502" i="19"/>
  <c r="T502" i="19" s="1"/>
  <c r="H501" i="19"/>
  <c r="T501" i="19" s="1"/>
  <c r="H500" i="19"/>
  <c r="T500" i="19" s="1"/>
  <c r="H491" i="19"/>
  <c r="T491" i="19" s="1"/>
  <c r="H490" i="19"/>
  <c r="T490" i="19" s="1"/>
  <c r="H486" i="19"/>
  <c r="T486" i="19" s="1"/>
  <c r="H485" i="19"/>
  <c r="T485" i="19" s="1"/>
  <c r="H330" i="19"/>
  <c r="T330" i="19" s="1"/>
  <c r="H329" i="19"/>
  <c r="T329" i="19" s="1"/>
  <c r="H327" i="19"/>
  <c r="T327" i="19" s="1"/>
  <c r="H185" i="19"/>
  <c r="T185" i="19" s="1"/>
  <c r="H184" i="19"/>
  <c r="T184" i="19" s="1"/>
  <c r="H178" i="19"/>
  <c r="T178" i="19" s="1"/>
  <c r="H177" i="19"/>
  <c r="T177" i="19" s="1"/>
  <c r="H170" i="19"/>
  <c r="T170" i="19" s="1"/>
  <c r="H169" i="19"/>
  <c r="T169" i="19" s="1"/>
  <c r="H160" i="19"/>
  <c r="T160" i="19" s="1"/>
  <c r="H158" i="19"/>
  <c r="T158" i="19" s="1"/>
  <c r="H153" i="19"/>
  <c r="T153" i="19" s="1"/>
  <c r="H152" i="19"/>
  <c r="T152" i="19" s="1"/>
  <c r="B145" i="19"/>
  <c r="H123" i="19"/>
  <c r="T123" i="19" s="1"/>
  <c r="H106" i="19"/>
  <c r="T106" i="19" s="1"/>
  <c r="H105" i="19"/>
  <c r="T105" i="19" s="1"/>
  <c r="H89" i="19"/>
  <c r="T89" i="19" s="1"/>
  <c r="H77" i="19"/>
  <c r="T77" i="19" s="1"/>
  <c r="H76" i="19"/>
  <c r="T76" i="19" s="1"/>
  <c r="H54" i="19"/>
  <c r="T54" i="19" s="1"/>
  <c r="H53" i="19"/>
  <c r="T53" i="19" s="1"/>
  <c r="H49" i="19"/>
  <c r="T49" i="19" s="1"/>
  <c r="H48" i="19"/>
  <c r="T48" i="19" s="1"/>
  <c r="H39" i="19"/>
  <c r="T39" i="19" s="1"/>
  <c r="H38" i="19"/>
  <c r="T38" i="19" s="1"/>
  <c r="H37" i="19"/>
  <c r="T37" i="19" s="1"/>
  <c r="H36" i="19"/>
  <c r="T36" i="19" s="1"/>
  <c r="H32" i="19"/>
  <c r="T32" i="19" s="1"/>
  <c r="H31" i="19"/>
  <c r="T31" i="19" s="1"/>
  <c r="H22" i="19"/>
  <c r="T22" i="19" s="1"/>
  <c r="H21" i="19"/>
  <c r="T21" i="19" s="1"/>
  <c r="H20" i="19"/>
  <c r="T20" i="19" s="1"/>
  <c r="H19" i="19"/>
  <c r="T19" i="19" s="1"/>
  <c r="H15" i="19"/>
  <c r="T15" i="19" s="1"/>
  <c r="H14" i="19"/>
  <c r="T14" i="19" s="1"/>
  <c r="B60" i="19"/>
  <c r="B61" i="19"/>
  <c r="B78" i="19"/>
  <c r="B79" i="19"/>
  <c r="B80" i="19"/>
  <c r="B131" i="19"/>
  <c r="B134" i="19"/>
  <c r="B135" i="19"/>
  <c r="B146" i="19"/>
  <c r="B155" i="19"/>
  <c r="B172" i="19"/>
  <c r="B180" i="19"/>
  <c r="B187" i="19"/>
  <c r="B375" i="19"/>
  <c r="B380" i="19"/>
  <c r="B384" i="19"/>
  <c r="B399" i="19"/>
  <c r="B400" i="19"/>
  <c r="B404" i="19"/>
  <c r="B410" i="19"/>
  <c r="B413" i="19"/>
  <c r="B441" i="19"/>
  <c r="B442" i="19"/>
  <c r="B445" i="19"/>
  <c r="B471" i="19"/>
  <c r="B472" i="19"/>
  <c r="B475" i="19"/>
  <c r="B492" i="19"/>
  <c r="B509" i="19"/>
  <c r="B538" i="19"/>
  <c r="B598" i="19"/>
  <c r="B611" i="19"/>
  <c r="B633" i="19"/>
  <c r="B636" i="19"/>
  <c r="B812" i="19"/>
  <c r="B844" i="19"/>
  <c r="B876" i="19"/>
  <c r="B94" i="19"/>
  <c r="B107" i="19"/>
  <c r="B488" i="19"/>
  <c r="B495" i="19"/>
  <c r="B373" i="19"/>
  <c r="B374" i="19"/>
  <c r="B378" i="19"/>
  <c r="B379" i="19"/>
  <c r="B381" i="19"/>
  <c r="B382" i="19"/>
  <c r="B383" i="19"/>
  <c r="B387" i="19"/>
  <c r="B388" i="19"/>
  <c r="B394" i="19"/>
  <c r="B403" i="19"/>
  <c r="B505" i="19"/>
  <c r="B531" i="19"/>
  <c r="B535" i="19"/>
  <c r="B536" i="19"/>
  <c r="B819" i="19"/>
  <c r="B851" i="19"/>
  <c r="B883" i="19"/>
  <c r="B23" i="19"/>
  <c r="B40" i="19"/>
  <c r="B62" i="19"/>
  <c r="B63" i="19"/>
  <c r="B64" i="19"/>
  <c r="B65" i="19"/>
  <c r="B68" i="19"/>
  <c r="B69" i="19"/>
  <c r="B97" i="19"/>
  <c r="B114" i="19"/>
  <c r="B136" i="19"/>
  <c r="B139" i="19"/>
  <c r="B140" i="19"/>
  <c r="B141" i="19"/>
  <c r="B142" i="19"/>
  <c r="B519" i="19"/>
  <c r="B528" i="19"/>
  <c r="B537" i="19"/>
  <c r="B539" i="19"/>
  <c r="N1" i="20"/>
  <c r="F535" i="19"/>
  <c r="R535" i="19" s="1"/>
  <c r="F531" i="19"/>
  <c r="R531" i="19" s="1"/>
  <c r="F709" i="19"/>
  <c r="R709" i="19" s="1"/>
  <c r="A71" i="19"/>
  <c r="A148" i="19"/>
  <c r="A166" i="19"/>
  <c r="A174" i="19"/>
  <c r="B39" i="23"/>
  <c r="C641" i="19"/>
  <c r="C642" i="19"/>
  <c r="C644" i="19"/>
  <c r="C645" i="19"/>
  <c r="C646" i="19"/>
  <c r="C647" i="19"/>
  <c r="C648" i="19"/>
  <c r="C649" i="19"/>
  <c r="C650" i="19"/>
  <c r="C651" i="19"/>
  <c r="C653" i="19"/>
  <c r="C654" i="19"/>
  <c r="C655" i="19"/>
  <c r="C656" i="19"/>
  <c r="C657" i="19"/>
  <c r="C658" i="19"/>
  <c r="C659" i="19"/>
  <c r="C660" i="19"/>
  <c r="C661" i="19"/>
  <c r="C662" i="19"/>
  <c r="C663" i="19"/>
  <c r="C664" i="19"/>
  <c r="C665" i="19"/>
  <c r="C666" i="19"/>
  <c r="C667" i="19"/>
  <c r="C668" i="19"/>
  <c r="C669" i="19"/>
  <c r="C670" i="19"/>
  <c r="C671" i="19"/>
  <c r="C672" i="19"/>
  <c r="C676" i="19"/>
  <c r="C677" i="19"/>
  <c r="F677" i="19"/>
  <c r="R677" i="19" s="1"/>
  <c r="C678" i="19"/>
  <c r="C680" i="19"/>
  <c r="C681" i="19"/>
  <c r="C682" i="19"/>
  <c r="C683" i="19"/>
  <c r="C684" i="19"/>
  <c r="C685" i="19"/>
  <c r="F685" i="19"/>
  <c r="R685" i="19" s="1"/>
  <c r="C686" i="19"/>
  <c r="F686" i="19"/>
  <c r="R686" i="19" s="1"/>
  <c r="C687" i="19"/>
  <c r="F687" i="19"/>
  <c r="R687" i="19" s="1"/>
  <c r="C688" i="19"/>
  <c r="C690" i="19"/>
  <c r="C691" i="19"/>
  <c r="C692" i="19"/>
  <c r="F692" i="19"/>
  <c r="R692" i="19" s="1"/>
  <c r="C693" i="19"/>
  <c r="C694" i="19"/>
  <c r="C695" i="19"/>
  <c r="C696" i="19"/>
  <c r="C697" i="19"/>
  <c r="C698" i="19"/>
  <c r="C699" i="19"/>
  <c r="C700" i="19"/>
  <c r="C701" i="19"/>
  <c r="C702" i="19"/>
  <c r="C703" i="19"/>
  <c r="C704" i="19"/>
  <c r="C705" i="19"/>
  <c r="C706" i="19"/>
  <c r="C707" i="19"/>
  <c r="C708" i="19"/>
  <c r="C709" i="19"/>
  <c r="C710" i="19"/>
  <c r="C714" i="19"/>
  <c r="C715" i="19"/>
  <c r="C716" i="19"/>
  <c r="C718" i="19"/>
  <c r="C719" i="19"/>
  <c r="C720" i="19"/>
  <c r="C721" i="19"/>
  <c r="C722" i="19"/>
  <c r="C723" i="19"/>
  <c r="C724" i="19"/>
  <c r="C725" i="19"/>
  <c r="C726" i="19"/>
  <c r="C728" i="19"/>
  <c r="C729" i="19"/>
  <c r="C730" i="19"/>
  <c r="C731" i="19"/>
  <c r="C732" i="19"/>
  <c r="C733" i="19"/>
  <c r="C734" i="19"/>
  <c r="C735" i="19"/>
  <c r="C736" i="19"/>
  <c r="C737" i="19"/>
  <c r="C738" i="19"/>
  <c r="C739" i="19"/>
  <c r="C740" i="19"/>
  <c r="C741" i="19"/>
  <c r="C742" i="19"/>
  <c r="C743" i="19"/>
  <c r="C744" i="19"/>
  <c r="C745" i="19"/>
  <c r="C746" i="19"/>
  <c r="C747" i="19"/>
  <c r="C748" i="19"/>
  <c r="C752" i="19"/>
  <c r="C753" i="19"/>
  <c r="C754" i="19"/>
  <c r="C756" i="19"/>
  <c r="C757" i="19"/>
  <c r="C758" i="19"/>
  <c r="C759" i="19"/>
  <c r="C760" i="19"/>
  <c r="C761" i="19"/>
  <c r="C762" i="19"/>
  <c r="C763" i="19"/>
  <c r="C764" i="19"/>
  <c r="C766" i="19"/>
  <c r="C767" i="19"/>
  <c r="C768" i="19"/>
  <c r="C769" i="19"/>
  <c r="C770" i="19"/>
  <c r="C771" i="19"/>
  <c r="C772" i="19"/>
  <c r="C773" i="19"/>
  <c r="C774" i="19"/>
  <c r="C775" i="19"/>
  <c r="C776" i="19"/>
  <c r="C777" i="19"/>
  <c r="C778" i="19"/>
  <c r="C779" i="19"/>
  <c r="C780" i="19"/>
  <c r="C781" i="19"/>
  <c r="C782" i="19"/>
  <c r="C783" i="19"/>
  <c r="C784" i="19"/>
  <c r="C785" i="19"/>
  <c r="C786" i="19"/>
  <c r="C791" i="19"/>
  <c r="C792" i="19"/>
  <c r="C793" i="19"/>
  <c r="C794" i="19"/>
  <c r="C795" i="19"/>
  <c r="C796" i="19"/>
  <c r="C797" i="19"/>
  <c r="C798" i="19"/>
  <c r="C800" i="19"/>
  <c r="C801" i="19"/>
  <c r="C802" i="19"/>
  <c r="C803" i="19"/>
  <c r="C804" i="19"/>
  <c r="C805" i="19"/>
  <c r="C807" i="19"/>
  <c r="C808" i="19"/>
  <c r="C809" i="19"/>
  <c r="C810" i="19"/>
  <c r="C811" i="19"/>
  <c r="C812" i="19"/>
  <c r="C814" i="19"/>
  <c r="C815" i="19"/>
  <c r="C816" i="19"/>
  <c r="C817" i="19"/>
  <c r="C818" i="19"/>
  <c r="C819" i="19"/>
  <c r="C823" i="19"/>
  <c r="C824" i="19"/>
  <c r="C825" i="19"/>
  <c r="C826" i="19"/>
  <c r="C827" i="19"/>
  <c r="C828" i="19"/>
  <c r="C829" i="19"/>
  <c r="C830" i="19"/>
  <c r="C832" i="19"/>
  <c r="C833" i="19"/>
  <c r="C834" i="19"/>
  <c r="C835" i="19"/>
  <c r="C836" i="19"/>
  <c r="C837" i="19"/>
  <c r="C839" i="19"/>
  <c r="C840" i="19"/>
  <c r="C841" i="19"/>
  <c r="C842" i="19"/>
  <c r="C843" i="19"/>
  <c r="C844" i="19"/>
  <c r="C846" i="19"/>
  <c r="C847" i="19"/>
  <c r="C848" i="19"/>
  <c r="C849" i="19"/>
  <c r="C850" i="19"/>
  <c r="C851" i="19"/>
  <c r="C855" i="19"/>
  <c r="C856" i="19"/>
  <c r="C857" i="19"/>
  <c r="C858" i="19"/>
  <c r="C859" i="19"/>
  <c r="C860" i="19"/>
  <c r="C861" i="19"/>
  <c r="C862" i="19"/>
  <c r="C864" i="19"/>
  <c r="C865" i="19"/>
  <c r="C866" i="19"/>
  <c r="C867" i="19"/>
  <c r="C868" i="19"/>
  <c r="F868" i="19"/>
  <c r="R868" i="19" s="1"/>
  <c r="C869" i="19"/>
  <c r="C871" i="19"/>
  <c r="C872" i="19"/>
  <c r="C873" i="19"/>
  <c r="C874" i="19"/>
  <c r="C875" i="19"/>
  <c r="C876" i="19"/>
  <c r="C878" i="19"/>
  <c r="C879" i="19"/>
  <c r="C880" i="19"/>
  <c r="C881" i="19"/>
  <c r="C882" i="19"/>
  <c r="C883" i="19"/>
  <c r="F12" i="11"/>
  <c r="B1" i="12"/>
  <c r="B222" i="19"/>
  <c r="D8" i="21"/>
  <c r="B33" i="23"/>
  <c r="H55" i="19"/>
  <c r="T55" i="19" s="1"/>
  <c r="B32" i="21"/>
  <c r="B96" i="19"/>
  <c r="B225" i="19"/>
  <c r="B90" i="19"/>
  <c r="B124" i="19"/>
  <c r="B111" i="19"/>
  <c r="B38" i="19"/>
  <c r="H654" i="19"/>
  <c r="T654" i="19" s="1"/>
  <c r="H691" i="19"/>
  <c r="T691" i="19" s="1"/>
  <c r="B224" i="19"/>
  <c r="B223" i="19"/>
  <c r="H767" i="19"/>
  <c r="T767" i="19" s="1"/>
  <c r="F691" i="19"/>
  <c r="R691" i="19" s="1"/>
  <c r="B236" i="19"/>
  <c r="B219" i="19"/>
  <c r="H729" i="19"/>
  <c r="T729" i="19" s="1"/>
  <c r="B208" i="19"/>
  <c r="F785" i="19"/>
  <c r="R785" i="19" s="1"/>
  <c r="F28" i="7"/>
  <c r="F47" i="7"/>
  <c r="B791" i="19"/>
  <c r="B212" i="19"/>
  <c r="B231" i="19"/>
  <c r="B248" i="19"/>
  <c r="B277" i="19"/>
  <c r="B823" i="19"/>
  <c r="B84" i="19"/>
  <c r="B101" i="19"/>
  <c r="B118" i="19"/>
  <c r="B121" i="19"/>
  <c r="D7" i="21"/>
  <c r="D31" i="21"/>
  <c r="B9" i="21"/>
  <c r="E9" i="21" s="1"/>
  <c r="B33" i="21"/>
  <c r="B218" i="19"/>
  <c r="B235" i="19"/>
  <c r="B10" i="19"/>
  <c r="B18" i="19"/>
  <c r="B52" i="19"/>
  <c r="B228" i="19"/>
  <c r="B245" i="19"/>
  <c r="B15" i="21"/>
  <c r="B790" i="19"/>
  <c r="B879" i="19"/>
  <c r="B21" i="8"/>
  <c r="B443" i="19" s="1"/>
  <c r="C445" i="19"/>
  <c r="C444" i="19"/>
  <c r="C442" i="19"/>
  <c r="C441" i="19"/>
  <c r="C440" i="19"/>
  <c r="C437" i="19"/>
  <c r="C436" i="19"/>
  <c r="C434" i="19"/>
  <c r="C429" i="19"/>
  <c r="C428" i="19"/>
  <c r="C426" i="19"/>
  <c r="C421" i="19"/>
  <c r="C420" i="19"/>
  <c r="C418" i="19"/>
  <c r="E7" i="8"/>
  <c r="B26" i="8"/>
  <c r="B57" i="8"/>
  <c r="B478" i="19" s="1"/>
  <c r="C435" i="19"/>
  <c r="C427" i="19"/>
  <c r="C419" i="19"/>
  <c r="C479" i="19"/>
  <c r="P641" i="19"/>
  <c r="P651" i="19"/>
  <c r="P642" i="19"/>
  <c r="P663" i="19"/>
  <c r="P659" i="19"/>
  <c r="P668" i="19"/>
  <c r="P654" i="19"/>
  <c r="P647" i="19"/>
  <c r="P672" i="19"/>
  <c r="P662" i="19"/>
  <c r="P665" i="19"/>
  <c r="P664" i="19"/>
  <c r="P658" i="19"/>
  <c r="P649" i="19"/>
  <c r="P646" i="19"/>
  <c r="P666" i="19"/>
  <c r="P655" i="19"/>
  <c r="P657" i="19"/>
  <c r="P671" i="19"/>
  <c r="P648" i="19"/>
  <c r="P669" i="19"/>
  <c r="P660" i="19"/>
  <c r="P670" i="19"/>
  <c r="P650" i="19"/>
  <c r="P667" i="19"/>
  <c r="G7" i="8"/>
  <c r="C439" i="19"/>
  <c r="B18" i="8"/>
  <c r="B440" i="19" s="1"/>
  <c r="C423" i="19"/>
  <c r="B7" i="21"/>
  <c r="B269" i="19" s="1"/>
  <c r="B31" i="21"/>
  <c r="B40" i="21" s="1"/>
  <c r="B301" i="19" s="1"/>
  <c r="B105" i="19"/>
  <c r="D34" i="21"/>
  <c r="D10" i="21"/>
  <c r="B27" i="14"/>
  <c r="B869" i="19" s="1"/>
  <c r="B799" i="19"/>
  <c r="B831" i="19"/>
  <c r="B863" i="19"/>
  <c r="L863" i="19" s="1"/>
  <c r="K863" i="19" s="1"/>
  <c r="B873" i="19"/>
  <c r="B841" i="19"/>
  <c r="D13" i="23"/>
  <c r="B158" i="19" s="1"/>
  <c r="B268" i="19"/>
  <c r="B591" i="19"/>
  <c r="B601" i="19"/>
  <c r="B624" i="19"/>
  <c r="B622" i="19"/>
  <c r="B615" i="19"/>
  <c r="B603" i="19"/>
  <c r="B597" i="19"/>
  <c r="B629" i="19"/>
  <c r="B631" i="19"/>
  <c r="G14" i="12"/>
  <c r="B619" i="19"/>
  <c r="B590" i="19"/>
  <c r="B602" i="19"/>
  <c r="B610" i="19"/>
  <c r="B632" i="19"/>
  <c r="B606" i="19"/>
  <c r="B596" i="19"/>
  <c r="B628" i="19"/>
  <c r="D13" i="21"/>
  <c r="B14" i="21"/>
  <c r="B854" i="19"/>
  <c r="C3" i="18"/>
  <c r="B825" i="19"/>
  <c r="B857" i="19"/>
  <c r="B868" i="19"/>
  <c r="H58" i="8"/>
  <c r="B22" i="19"/>
  <c r="B848" i="19"/>
  <c r="B827" i="19"/>
  <c r="C474" i="19"/>
  <c r="B56" i="19"/>
  <c r="B816" i="19"/>
  <c r="B864" i="19"/>
  <c r="B874" i="19"/>
  <c r="G28" i="7"/>
  <c r="D9" i="21"/>
  <c r="D33" i="21"/>
  <c r="B244" i="19"/>
  <c r="B227" i="19"/>
  <c r="C472" i="19"/>
  <c r="B793" i="19"/>
  <c r="B47" i="19"/>
  <c r="B91" i="19"/>
  <c r="B55" i="19"/>
  <c r="B815" i="19"/>
  <c r="B205" i="19"/>
  <c r="B239" i="19"/>
  <c r="B119" i="19"/>
  <c r="B102" i="19"/>
  <c r="G47" i="7"/>
  <c r="P408" i="19"/>
  <c r="B286" i="19" l="1"/>
  <c r="L870" i="19"/>
  <c r="K870" i="19" s="1"/>
  <c r="B150" i="19"/>
  <c r="G31" i="21"/>
  <c r="H286" i="19" s="1"/>
  <c r="T286" i="19" s="1"/>
  <c r="I286" i="19" s="1"/>
  <c r="J286" i="19" s="1"/>
  <c r="L845" i="19"/>
  <c r="K845" i="19" s="1"/>
  <c r="B818" i="19"/>
  <c r="B54" i="19"/>
  <c r="B86" i="19"/>
  <c r="B834" i="19"/>
  <c r="B120" i="19"/>
  <c r="I120" i="19" s="1"/>
  <c r="B814" i="19"/>
  <c r="B878" i="19"/>
  <c r="B109" i="19"/>
  <c r="E50" i="24"/>
  <c r="H135" i="19" s="1"/>
  <c r="T135" i="19" s="1"/>
  <c r="B126" i="19"/>
  <c r="B882" i="19"/>
  <c r="B37" i="19"/>
  <c r="D32" i="23"/>
  <c r="B829" i="19"/>
  <c r="B861" i="19"/>
  <c r="I121" i="19"/>
  <c r="J223" i="19"/>
  <c r="I223" i="19"/>
  <c r="L223" i="19"/>
  <c r="K223" i="19" s="1"/>
  <c r="I224" i="19"/>
  <c r="L224" i="19"/>
  <c r="K224" i="19" s="1"/>
  <c r="J224" i="19"/>
  <c r="B27" i="19"/>
  <c r="B44" i="19"/>
  <c r="I158" i="19"/>
  <c r="B797" i="19"/>
  <c r="F867" i="19"/>
  <c r="R867" i="19" s="1"/>
  <c r="T835" i="19"/>
  <c r="I239" i="19"/>
  <c r="I103" i="19"/>
  <c r="I86" i="19"/>
  <c r="I205" i="19"/>
  <c r="L813" i="19"/>
  <c r="K813" i="19" s="1"/>
  <c r="L838" i="19"/>
  <c r="K838" i="19" s="1"/>
  <c r="I213" i="19"/>
  <c r="L649" i="19"/>
  <c r="K649" i="19" s="1"/>
  <c r="I649" i="19"/>
  <c r="J649" i="19"/>
  <c r="I674" i="19"/>
  <c r="L674" i="19"/>
  <c r="K674" i="19" s="1"/>
  <c r="L712" i="19"/>
  <c r="K712" i="19" s="1"/>
  <c r="L750" i="19"/>
  <c r="K750" i="19" s="1"/>
  <c r="L194" i="19"/>
  <c r="K194" i="19" s="1"/>
  <c r="J194" i="19"/>
  <c r="I287" i="19"/>
  <c r="L153" i="19"/>
  <c r="K153" i="19" s="1"/>
  <c r="J153" i="19"/>
  <c r="I229" i="19"/>
  <c r="B822" i="19"/>
  <c r="E5" i="24"/>
  <c r="I88" i="19"/>
  <c r="I128" i="19"/>
  <c r="I650" i="19"/>
  <c r="L650" i="19"/>
  <c r="K650" i="19" s="1"/>
  <c r="J650" i="19"/>
  <c r="L713" i="19"/>
  <c r="K713" i="19" s="1"/>
  <c r="I238" i="19"/>
  <c r="I288" i="19"/>
  <c r="I105" i="19"/>
  <c r="L105" i="19"/>
  <c r="K105" i="19" s="1"/>
  <c r="J105" i="19"/>
  <c r="L270" i="19"/>
  <c r="K270" i="19" s="1"/>
  <c r="J270" i="19"/>
  <c r="B19" i="15"/>
  <c r="L651" i="19"/>
  <c r="K651" i="19" s="1"/>
  <c r="I651" i="19"/>
  <c r="J651" i="19"/>
  <c r="C7" i="21"/>
  <c r="I89" i="19"/>
  <c r="L89" i="19"/>
  <c r="K89" i="19" s="1"/>
  <c r="J89" i="19"/>
  <c r="I95" i="19"/>
  <c r="L652" i="19"/>
  <c r="K652" i="19" s="1"/>
  <c r="E5" i="22"/>
  <c r="C12" i="22"/>
  <c r="H197" i="19" s="1"/>
  <c r="T197" i="19" s="1"/>
  <c r="I197" i="19" s="1"/>
  <c r="J197" i="19" s="1"/>
  <c r="I211" i="19"/>
  <c r="B890" i="19"/>
  <c r="I206" i="19"/>
  <c r="C6" i="23"/>
  <c r="G6" i="23" s="1"/>
  <c r="E7" i="24"/>
  <c r="H75" i="19" s="1"/>
  <c r="T75" i="19" s="1"/>
  <c r="I608" i="19"/>
  <c r="I152" i="19"/>
  <c r="F6" i="21"/>
  <c r="F861" i="19"/>
  <c r="R861" i="19" s="1"/>
  <c r="F761" i="19"/>
  <c r="R761" i="19" s="1"/>
  <c r="F762" i="19"/>
  <c r="R762" i="19" s="1"/>
  <c r="T686" i="19"/>
  <c r="F881" i="19"/>
  <c r="R881" i="19" s="1"/>
  <c r="T849" i="19"/>
  <c r="E35" i="3"/>
  <c r="H61" i="19" s="1"/>
  <c r="T61" i="19" s="1"/>
  <c r="B9" i="15"/>
  <c r="B41" i="15"/>
  <c r="L642" i="19"/>
  <c r="K642" i="19" s="1"/>
  <c r="I642" i="19"/>
  <c r="J642" i="19"/>
  <c r="J654" i="19"/>
  <c r="I654" i="19"/>
  <c r="L654" i="19"/>
  <c r="K654" i="19" s="1"/>
  <c r="I153" i="19"/>
  <c r="I240" i="19"/>
  <c r="I246" i="19"/>
  <c r="I295" i="19"/>
  <c r="F882" i="19"/>
  <c r="R882" i="19" s="1"/>
  <c r="T850" i="19"/>
  <c r="G28" i="15"/>
  <c r="L77" i="19"/>
  <c r="K77" i="19" s="1"/>
  <c r="J77" i="19"/>
  <c r="I609" i="19"/>
  <c r="L655" i="19"/>
  <c r="K655" i="19" s="1"/>
  <c r="I655" i="19"/>
  <c r="J655" i="19"/>
  <c r="C6" i="21"/>
  <c r="E7" i="22"/>
  <c r="H193" i="19" s="1"/>
  <c r="T193" i="19" s="1"/>
  <c r="L193" i="19" s="1"/>
  <c r="K193" i="19" s="1"/>
  <c r="I194" i="19"/>
  <c r="I296" i="19"/>
  <c r="I102" i="19"/>
  <c r="I111" i="19"/>
  <c r="L854" i="19"/>
  <c r="K854" i="19" s="1"/>
  <c r="I85" i="19"/>
  <c r="I169" i="19"/>
  <c r="L195" i="19"/>
  <c r="K195" i="19" s="1"/>
  <c r="J195" i="19"/>
  <c r="I195" i="19"/>
  <c r="I270" i="19"/>
  <c r="I245" i="19"/>
  <c r="I212" i="19"/>
  <c r="I222" i="19"/>
  <c r="B294" i="19"/>
  <c r="I831" i="19"/>
  <c r="L831" i="19"/>
  <c r="K831" i="19" s="1"/>
  <c r="I228" i="19"/>
  <c r="I119" i="19"/>
  <c r="I799" i="19"/>
  <c r="L799" i="19"/>
  <c r="K799" i="19" s="1"/>
  <c r="L806" i="19"/>
  <c r="K806" i="19" s="1"/>
  <c r="I170" i="19"/>
  <c r="I271" i="19"/>
  <c r="E41" i="24"/>
  <c r="H134" i="19" s="1"/>
  <c r="T134" i="19" s="1"/>
  <c r="I76" i="19"/>
  <c r="I94" i="19"/>
  <c r="J76" i="19"/>
  <c r="L76" i="19"/>
  <c r="K76" i="19" s="1"/>
  <c r="I77" i="19"/>
  <c r="E6" i="22"/>
  <c r="H192" i="19" s="1"/>
  <c r="T192" i="19" s="1"/>
  <c r="L192" i="19" s="1"/>
  <c r="K192" i="19" s="1"/>
  <c r="I302" i="19"/>
  <c r="E26" i="3"/>
  <c r="H60" i="19" s="1"/>
  <c r="T60" i="19" s="1"/>
  <c r="I60" i="19" s="1"/>
  <c r="L672" i="19"/>
  <c r="K672" i="19" s="1"/>
  <c r="J672" i="19"/>
  <c r="I672" i="19"/>
  <c r="I303" i="19"/>
  <c r="S394" i="20"/>
  <c r="L294" i="19"/>
  <c r="K294" i="19" s="1"/>
  <c r="I294" i="19"/>
  <c r="I252" i="19"/>
  <c r="J252" i="19" s="1"/>
  <c r="L252" i="19"/>
  <c r="K252" i="19" s="1"/>
  <c r="I192" i="19"/>
  <c r="J192" i="19" s="1"/>
  <c r="I193" i="19"/>
  <c r="J193" i="19" s="1"/>
  <c r="J24" i="15"/>
  <c r="H769" i="19" s="1"/>
  <c r="T769" i="19" s="1"/>
  <c r="H693" i="19"/>
  <c r="T693" i="19" s="1"/>
  <c r="I790" i="19"/>
  <c r="L790" i="19"/>
  <c r="K790" i="19" s="1"/>
  <c r="L935" i="19"/>
  <c r="I935" i="19"/>
  <c r="J935" i="19" s="1"/>
  <c r="L950" i="19"/>
  <c r="I950" i="19"/>
  <c r="J950" i="19" s="1"/>
  <c r="I923" i="19"/>
  <c r="J923" i="19" s="1"/>
  <c r="L923" i="19"/>
  <c r="I944" i="19"/>
  <c r="J944" i="19" s="1"/>
  <c r="L944" i="19"/>
  <c r="I640" i="19"/>
  <c r="L640" i="19"/>
  <c r="K640" i="19" s="1"/>
  <c r="L945" i="19"/>
  <c r="I945" i="19"/>
  <c r="J945" i="19" s="1"/>
  <c r="I951" i="19"/>
  <c r="J951" i="19" s="1"/>
  <c r="L951" i="19"/>
  <c r="I924" i="19"/>
  <c r="J924" i="19" s="1"/>
  <c r="L924" i="19"/>
  <c r="L936" i="19"/>
  <c r="I936" i="19"/>
  <c r="J936" i="19" s="1"/>
  <c r="I925" i="19"/>
  <c r="J925" i="19" s="1"/>
  <c r="L925" i="19"/>
  <c r="I946" i="19"/>
  <c r="J946" i="19" s="1"/>
  <c r="L946" i="19"/>
  <c r="L941" i="19"/>
  <c r="I941" i="19"/>
  <c r="J941" i="19" s="1"/>
  <c r="L822" i="19"/>
  <c r="K822" i="19" s="1"/>
  <c r="I822" i="19"/>
  <c r="I929" i="19"/>
  <c r="J929" i="19" s="1"/>
  <c r="L929" i="19"/>
  <c r="I940" i="19"/>
  <c r="J940" i="19" s="1"/>
  <c r="L940" i="19"/>
  <c r="I939" i="19"/>
  <c r="J939" i="19" s="1"/>
  <c r="L939" i="19"/>
  <c r="I949" i="19"/>
  <c r="J949" i="19" s="1"/>
  <c r="L949" i="19"/>
  <c r="I907" i="19"/>
  <c r="J907" i="19" s="1"/>
  <c r="L907" i="19"/>
  <c r="I906" i="19"/>
  <c r="J906" i="19" s="1"/>
  <c r="L906" i="19"/>
  <c r="I905" i="19"/>
  <c r="J905" i="19" s="1"/>
  <c r="L905" i="19"/>
  <c r="I902" i="19"/>
  <c r="J902" i="19" s="1"/>
  <c r="L902" i="19"/>
  <c r="I901" i="19"/>
  <c r="J901" i="19" s="1"/>
  <c r="L901" i="19"/>
  <c r="I900" i="19"/>
  <c r="J900" i="19" s="1"/>
  <c r="L900" i="19"/>
  <c r="I899" i="19"/>
  <c r="J899" i="19" s="1"/>
  <c r="L899" i="19"/>
  <c r="I898" i="19"/>
  <c r="J898" i="19" s="1"/>
  <c r="L898" i="19"/>
  <c r="B423" i="19"/>
  <c r="B457" i="19"/>
  <c r="B467" i="19"/>
  <c r="B437" i="19"/>
  <c r="B421" i="19"/>
  <c r="F866" i="19"/>
  <c r="R866" i="19" s="1"/>
  <c r="F763" i="19"/>
  <c r="R763" i="19" s="1"/>
  <c r="F875" i="19"/>
  <c r="R875" i="19" s="1"/>
  <c r="F930" i="19"/>
  <c r="R930" i="19" s="1"/>
  <c r="C473" i="19"/>
  <c r="G53" i="7"/>
  <c r="B58" i="8"/>
  <c r="B479" i="19" s="1"/>
  <c r="C449" i="19"/>
  <c r="G43" i="7"/>
  <c r="B59" i="8"/>
  <c r="B480" i="19" s="1"/>
  <c r="C469" i="19"/>
  <c r="B875" i="19"/>
  <c r="B843" i="19"/>
  <c r="C461" i="19"/>
  <c r="B871" i="19"/>
  <c r="C471" i="19"/>
  <c r="C448" i="19"/>
  <c r="C456" i="19"/>
  <c r="D9" i="23"/>
  <c r="E32" i="8"/>
  <c r="C468" i="19"/>
  <c r="B451" i="19"/>
  <c r="C450" i="19"/>
  <c r="C457" i="19"/>
  <c r="D31" i="8"/>
  <c r="S402" i="20"/>
  <c r="S400" i="20"/>
  <c r="C467" i="19"/>
  <c r="C459" i="19"/>
  <c r="C465" i="19"/>
  <c r="B620" i="19"/>
  <c r="F9" i="22"/>
  <c r="B10" i="21" s="1"/>
  <c r="B272" i="19" s="1"/>
  <c r="B51" i="8"/>
  <c r="C475" i="19"/>
  <c r="C478" i="19"/>
  <c r="C470" i="19"/>
  <c r="C480" i="19"/>
  <c r="C452" i="19"/>
  <c r="B46" i="8"/>
  <c r="B473" i="19" s="1"/>
  <c r="C460" i="19"/>
  <c r="C464" i="19"/>
  <c r="C453" i="19"/>
  <c r="C451" i="19"/>
  <c r="G32" i="8"/>
  <c r="C466" i="19"/>
  <c r="C458" i="19"/>
  <c r="B459" i="19"/>
  <c r="B13" i="14"/>
  <c r="B862" i="19" s="1"/>
  <c r="B800" i="19"/>
  <c r="B36" i="19"/>
  <c r="G25" i="15"/>
  <c r="F7" i="21"/>
  <c r="B860" i="19"/>
  <c r="B828" i="19"/>
  <c r="B53" i="19"/>
  <c r="B30" i="19"/>
  <c r="B122" i="19"/>
  <c r="B837" i="19"/>
  <c r="B886" i="19"/>
  <c r="L886" i="19" s="1"/>
  <c r="K886" i="19" s="1"/>
  <c r="G35" i="15"/>
  <c r="H667" i="19" s="1"/>
  <c r="T667" i="19" s="1"/>
  <c r="B271" i="19"/>
  <c r="B856" i="19"/>
  <c r="B607" i="19"/>
  <c r="B824" i="19"/>
  <c r="B802" i="19"/>
  <c r="B429" i="19"/>
  <c r="B439" i="19"/>
  <c r="B431" i="19"/>
  <c r="E24" i="7"/>
  <c r="H379" i="19" s="1"/>
  <c r="T379" i="19" s="1"/>
  <c r="B32" i="19"/>
  <c r="E31" i="21"/>
  <c r="B803" i="19"/>
  <c r="B43" i="19"/>
  <c r="B26" i="19"/>
  <c r="B49" i="19"/>
  <c r="B835" i="19"/>
  <c r="B805" i="19"/>
  <c r="B8" i="23"/>
  <c r="B152" i="19" s="1"/>
  <c r="B804" i="19"/>
  <c r="D3" i="18"/>
  <c r="E3" i="18" s="1"/>
  <c r="B840" i="19"/>
  <c r="B449" i="19"/>
  <c r="B465" i="19"/>
  <c r="B842" i="19"/>
  <c r="E23" i="7"/>
  <c r="H378" i="19" s="1"/>
  <c r="T378" i="19" s="1"/>
  <c r="B859" i="19"/>
  <c r="E8" i="21"/>
  <c r="C8" i="23"/>
  <c r="E9" i="23"/>
  <c r="B226" i="19"/>
  <c r="B32" i="23"/>
  <c r="E32" i="23" s="1"/>
  <c r="B881" i="19"/>
  <c r="B243" i="19"/>
  <c r="B117" i="19"/>
  <c r="G9" i="22"/>
  <c r="B621" i="19"/>
  <c r="I53" i="7"/>
  <c r="B237" i="19"/>
  <c r="I47" i="7"/>
  <c r="B220" i="19"/>
  <c r="B123" i="19"/>
  <c r="B160" i="19"/>
  <c r="B14" i="23"/>
  <c r="B106" i="19"/>
  <c r="I22" i="7"/>
  <c r="B15" i="23"/>
  <c r="I43" i="7"/>
  <c r="B83" i="19"/>
  <c r="B872" i="19"/>
  <c r="H660" i="19"/>
  <c r="T660" i="19" s="1"/>
  <c r="J660" i="19" s="1"/>
  <c r="B276" i="19"/>
  <c r="B278" i="19"/>
  <c r="U394" i="20"/>
  <c r="U396" i="20"/>
  <c r="B51" i="19"/>
  <c r="B17" i="19"/>
  <c r="B34" i="19"/>
  <c r="S406" i="20"/>
  <c r="F921" i="19"/>
  <c r="R921" i="19" s="1"/>
  <c r="S404" i="20"/>
  <c r="S410" i="20"/>
  <c r="S412" i="20"/>
  <c r="H657" i="19"/>
  <c r="T657" i="19" s="1"/>
  <c r="G34" i="15"/>
  <c r="G26" i="15"/>
  <c r="H658" i="19" s="1"/>
  <c r="T658" i="19" s="1"/>
  <c r="G13" i="15"/>
  <c r="G27" i="15"/>
  <c r="H659" i="19" s="1"/>
  <c r="T659" i="19" s="1"/>
  <c r="G38" i="15"/>
  <c r="G7" i="15"/>
  <c r="J7" i="15" s="1"/>
  <c r="G14" i="15"/>
  <c r="G31" i="15"/>
  <c r="H31" i="15" s="1"/>
  <c r="H700" i="19" s="1"/>
  <c r="T700" i="19" s="1"/>
  <c r="G37" i="15"/>
  <c r="H669" i="19" s="1"/>
  <c r="T669" i="19" s="1"/>
  <c r="L669" i="19" s="1"/>
  <c r="K669" i="19" s="1"/>
  <c r="G15" i="15"/>
  <c r="H648" i="19" s="1"/>
  <c r="T648" i="19" s="1"/>
  <c r="J648" i="19" s="1"/>
  <c r="G36" i="15"/>
  <c r="H668" i="19" s="1"/>
  <c r="T668" i="19" s="1"/>
  <c r="L668" i="19" s="1"/>
  <c r="K668" i="19" s="1"/>
  <c r="G39" i="15"/>
  <c r="B45" i="19"/>
  <c r="B11" i="19"/>
  <c r="A6" i="18"/>
  <c r="F43" i="7"/>
  <c r="F53" i="7"/>
  <c r="A72" i="16"/>
  <c r="F107" i="16" s="1"/>
  <c r="R58" i="16"/>
  <c r="B7" i="23"/>
  <c r="B151" i="19" s="1"/>
  <c r="B31" i="23"/>
  <c r="B469" i="19"/>
  <c r="B453" i="19"/>
  <c r="B427" i="19"/>
  <c r="B419" i="19"/>
  <c r="B435" i="19"/>
  <c r="F23" i="14"/>
  <c r="H801" i="19" s="1"/>
  <c r="B833" i="19"/>
  <c r="J23" i="14"/>
  <c r="H865" i="19" s="1"/>
  <c r="T865" i="19" s="1"/>
  <c r="B865" i="19"/>
  <c r="F860" i="19"/>
  <c r="R860" i="19" s="1"/>
  <c r="F874" i="19"/>
  <c r="R874" i="19" s="1"/>
  <c r="F753" i="19"/>
  <c r="R753" i="19" s="1"/>
  <c r="F768" i="19"/>
  <c r="R768" i="19" s="1"/>
  <c r="B12" i="19"/>
  <c r="B46" i="19"/>
  <c r="B29" i="19"/>
  <c r="B14" i="19"/>
  <c r="B31" i="19"/>
  <c r="B48" i="19"/>
  <c r="B16" i="19"/>
  <c r="B50" i="19"/>
  <c r="B33" i="19"/>
  <c r="F767" i="19"/>
  <c r="R767" i="19" s="1"/>
  <c r="N72" i="16"/>
  <c r="L107" i="16"/>
  <c r="S398" i="20"/>
  <c r="H48" i="7"/>
  <c r="H407" i="19" s="1"/>
  <c r="T407" i="19" s="1"/>
  <c r="G49" i="7"/>
  <c r="I49" i="7"/>
  <c r="F49" i="7"/>
  <c r="J49" i="7"/>
  <c r="H49" i="7"/>
  <c r="H408" i="19" s="1"/>
  <c r="T408" i="19" s="1"/>
  <c r="P409" i="19"/>
  <c r="B42" i="21"/>
  <c r="B288" i="19"/>
  <c r="S408" i="20"/>
  <c r="B170" i="19"/>
  <c r="B42" i="23"/>
  <c r="B858" i="19"/>
  <c r="B794" i="19"/>
  <c r="E33" i="21"/>
  <c r="E33" i="23"/>
  <c r="B104" i="19"/>
  <c r="B87" i="19"/>
  <c r="C7" i="23"/>
  <c r="C31" i="23"/>
  <c r="F40" i="23" s="1"/>
  <c r="C32" i="21"/>
  <c r="C8" i="21"/>
  <c r="C33" i="21"/>
  <c r="C9" i="21"/>
  <c r="B207" i="19"/>
  <c r="B241" i="19"/>
  <c r="C431" i="19"/>
  <c r="D6" i="8"/>
  <c r="H57" i="8"/>
  <c r="C422" i="19"/>
  <c r="C430" i="19"/>
  <c r="C438" i="19"/>
  <c r="B849" i="19"/>
  <c r="B839" i="19"/>
  <c r="B28" i="19"/>
  <c r="F22" i="7"/>
  <c r="B461" i="19"/>
  <c r="B801" i="19"/>
  <c r="S396" i="20"/>
  <c r="G56" i="8"/>
  <c r="I55" i="8" s="1"/>
  <c r="G30" i="15"/>
  <c r="G33" i="15"/>
  <c r="G32" i="15"/>
  <c r="B830" i="19"/>
  <c r="G29" i="15"/>
  <c r="J53" i="7"/>
  <c r="J28" i="7"/>
  <c r="J22" i="7"/>
  <c r="J47" i="7"/>
  <c r="J43" i="7"/>
  <c r="D31" i="23"/>
  <c r="D7" i="23"/>
  <c r="C33" i="23"/>
  <c r="C9" i="23"/>
  <c r="B108" i="19"/>
  <c r="B125" i="19"/>
  <c r="B127" i="19"/>
  <c r="B110" i="19"/>
  <c r="B93" i="19"/>
  <c r="B129" i="19"/>
  <c r="B112" i="19"/>
  <c r="B287" i="19"/>
  <c r="B41" i="21"/>
  <c r="E32" i="21"/>
  <c r="B855" i="19"/>
  <c r="B204" i="19"/>
  <c r="B221" i="19"/>
  <c r="B230" i="19"/>
  <c r="B247" i="19"/>
  <c r="B169" i="19" l="1"/>
  <c r="L169" i="19" s="1"/>
  <c r="K169" i="19" s="1"/>
  <c r="G6" i="21"/>
  <c r="B41" i="23"/>
  <c r="L286" i="19"/>
  <c r="K286" i="19" s="1"/>
  <c r="E6" i="23"/>
  <c r="L197" i="19"/>
  <c r="K197" i="19" s="1"/>
  <c r="G7" i="21"/>
  <c r="H269" i="19" s="1"/>
  <c r="T269" i="19" s="1"/>
  <c r="I269" i="19" s="1"/>
  <c r="J269" i="19" s="1"/>
  <c r="E8" i="23"/>
  <c r="E6" i="21"/>
  <c r="G31" i="23"/>
  <c r="J294" i="19"/>
  <c r="B798" i="19"/>
  <c r="B34" i="21"/>
  <c r="E41" i="21" s="1"/>
  <c r="F7" i="23"/>
  <c r="I93" i="19"/>
  <c r="I87" i="19"/>
  <c r="I106" i="19"/>
  <c r="J106" i="19"/>
  <c r="L106" i="19"/>
  <c r="K106" i="19" s="1"/>
  <c r="J60" i="19"/>
  <c r="H150" i="19"/>
  <c r="F865" i="19"/>
  <c r="R865" i="19" s="1"/>
  <c r="T801" i="19"/>
  <c r="I278" i="19"/>
  <c r="I160" i="19"/>
  <c r="I379" i="19"/>
  <c r="J379" i="19"/>
  <c r="L379" i="19"/>
  <c r="K379" i="19" s="1"/>
  <c r="L269" i="19"/>
  <c r="K269" i="19" s="1"/>
  <c r="J668" i="19"/>
  <c r="I127" i="19"/>
  <c r="I230" i="19"/>
  <c r="L667" i="19"/>
  <c r="K667" i="19" s="1"/>
  <c r="I667" i="19"/>
  <c r="J667" i="19"/>
  <c r="I659" i="19"/>
  <c r="J659" i="19"/>
  <c r="L659" i="19"/>
  <c r="K659" i="19" s="1"/>
  <c r="I276" i="19"/>
  <c r="J123" i="19"/>
  <c r="I123" i="19"/>
  <c r="L123" i="19"/>
  <c r="K123" i="19" s="1"/>
  <c r="I122" i="19"/>
  <c r="I668" i="19"/>
  <c r="I104" i="19"/>
  <c r="I247" i="19"/>
  <c r="I221" i="19"/>
  <c r="I241" i="19"/>
  <c r="L241" i="19"/>
  <c r="K241" i="19" s="1"/>
  <c r="J241" i="19"/>
  <c r="L152" i="19"/>
  <c r="K152" i="19" s="1"/>
  <c r="J152" i="19"/>
  <c r="H268" i="19"/>
  <c r="I204" i="19"/>
  <c r="I658" i="19"/>
  <c r="L658" i="19"/>
  <c r="K658" i="19" s="1"/>
  <c r="J658" i="19"/>
  <c r="L660" i="19"/>
  <c r="K660" i="19" s="1"/>
  <c r="I660" i="19"/>
  <c r="G7" i="23"/>
  <c r="H151" i="19" s="1"/>
  <c r="T151" i="19" s="1"/>
  <c r="I151" i="19" s="1"/>
  <c r="J151" i="19" s="1"/>
  <c r="L170" i="19"/>
  <c r="K170" i="19" s="1"/>
  <c r="J170" i="19"/>
  <c r="J408" i="19"/>
  <c r="I408" i="19"/>
  <c r="L408" i="19"/>
  <c r="K408" i="19" s="1"/>
  <c r="F10" i="21"/>
  <c r="E7" i="21"/>
  <c r="I648" i="19"/>
  <c r="L207" i="19"/>
  <c r="K207" i="19" s="1"/>
  <c r="J207" i="19"/>
  <c r="I207" i="19"/>
  <c r="L648" i="19"/>
  <c r="K648" i="19" s="1"/>
  <c r="H752" i="19"/>
  <c r="J9" i="15"/>
  <c r="H754" i="19" s="1"/>
  <c r="T754" i="19" s="1"/>
  <c r="L287" i="19"/>
  <c r="K287" i="19" s="1"/>
  <c r="J287" i="19"/>
  <c r="L657" i="19"/>
  <c r="K657" i="19" s="1"/>
  <c r="J657" i="19"/>
  <c r="I657" i="19"/>
  <c r="I378" i="19"/>
  <c r="L378" i="19"/>
  <c r="K378" i="19" s="1"/>
  <c r="J378" i="19"/>
  <c r="I110" i="19"/>
  <c r="J669" i="19"/>
  <c r="I669" i="19"/>
  <c r="I49" i="22"/>
  <c r="H264" i="19" s="1"/>
  <c r="T264" i="19" s="1"/>
  <c r="G12" i="22"/>
  <c r="H168" i="19"/>
  <c r="L288" i="19"/>
  <c r="K288" i="19" s="1"/>
  <c r="J288" i="19"/>
  <c r="I112" i="19"/>
  <c r="H176" i="19"/>
  <c r="I129" i="19"/>
  <c r="L271" i="19"/>
  <c r="K271" i="19" s="1"/>
  <c r="J271" i="19"/>
  <c r="L60" i="19"/>
  <c r="K60" i="19" s="1"/>
  <c r="E12" i="22"/>
  <c r="H191" i="19"/>
  <c r="E12" i="24"/>
  <c r="H73" i="19"/>
  <c r="F769" i="19"/>
  <c r="R769" i="19" s="1"/>
  <c r="E31" i="23"/>
  <c r="H641" i="19"/>
  <c r="T641" i="19" s="1"/>
  <c r="H7" i="15"/>
  <c r="I7" i="15"/>
  <c r="I9" i="15" s="1"/>
  <c r="C34" i="21"/>
  <c r="C10" i="21"/>
  <c r="J27" i="15"/>
  <c r="H772" i="19" s="1"/>
  <c r="T772" i="19" s="1"/>
  <c r="E7" i="23"/>
  <c r="A7" i="18"/>
  <c r="H646" i="19"/>
  <c r="T646" i="19" s="1"/>
  <c r="H670" i="19"/>
  <c r="T670" i="19" s="1"/>
  <c r="H671" i="19"/>
  <c r="T671" i="19" s="1"/>
  <c r="I34" i="15"/>
  <c r="H666" i="19"/>
  <c r="T666" i="19" s="1"/>
  <c r="H34" i="15"/>
  <c r="H703" i="19" s="1"/>
  <c r="T703" i="19" s="1"/>
  <c r="J34" i="15"/>
  <c r="H779" i="19" s="1"/>
  <c r="T779" i="19" s="1"/>
  <c r="B40" i="23"/>
  <c r="B168" i="19"/>
  <c r="J31" i="15"/>
  <c r="H776" i="19" s="1"/>
  <c r="T776" i="19" s="1"/>
  <c r="H663" i="19"/>
  <c r="T663" i="19" s="1"/>
  <c r="I31" i="15"/>
  <c r="H647" i="19"/>
  <c r="T647" i="19" s="1"/>
  <c r="A416" i="19"/>
  <c r="B54" i="8"/>
  <c r="B477" i="19" s="1"/>
  <c r="L477" i="19" s="1"/>
  <c r="K477" i="19" s="1"/>
  <c r="J48" i="7"/>
  <c r="G48" i="7"/>
  <c r="I48" i="7"/>
  <c r="F48" i="7"/>
  <c r="J50" i="7"/>
  <c r="F50" i="7"/>
  <c r="I50" i="7"/>
  <c r="H50" i="7"/>
  <c r="H409" i="19" s="1"/>
  <c r="T409" i="19" s="1"/>
  <c r="L409" i="19" s="1"/>
  <c r="K409" i="19" s="1"/>
  <c r="G50" i="7"/>
  <c r="B178" i="19"/>
  <c r="B185" i="19"/>
  <c r="B303" i="19"/>
  <c r="B296" i="19"/>
  <c r="F3" i="18"/>
  <c r="B184" i="19"/>
  <c r="B177" i="19"/>
  <c r="H665" i="19"/>
  <c r="T665" i="19" s="1"/>
  <c r="E42" i="21"/>
  <c r="B289" i="19"/>
  <c r="B295" i="19"/>
  <c r="B302" i="19"/>
  <c r="H662" i="19"/>
  <c r="T662" i="19" s="1"/>
  <c r="H661" i="19"/>
  <c r="T661" i="19" s="1"/>
  <c r="H664" i="19"/>
  <c r="T664" i="19" s="1"/>
  <c r="J169" i="19" l="1"/>
  <c r="E40" i="21"/>
  <c r="G40" i="21" s="1"/>
  <c r="B43" i="21"/>
  <c r="G10" i="21"/>
  <c r="H272" i="19" s="1"/>
  <c r="T272" i="19" s="1"/>
  <c r="I272" i="19" s="1"/>
  <c r="J272" i="19" s="1"/>
  <c r="H714" i="19"/>
  <c r="T714" i="19" s="1"/>
  <c r="F676" i="19"/>
  <c r="R676" i="19" s="1"/>
  <c r="L151" i="19"/>
  <c r="K151" i="19" s="1"/>
  <c r="H198" i="19"/>
  <c r="T198" i="19" s="1"/>
  <c r="I48" i="22"/>
  <c r="T268" i="19"/>
  <c r="F273" i="19"/>
  <c r="R273" i="19" s="1"/>
  <c r="T73" i="19"/>
  <c r="F78" i="19"/>
  <c r="R78" i="19" s="1"/>
  <c r="L264" i="19"/>
  <c r="K264" i="19" s="1"/>
  <c r="I264" i="19"/>
  <c r="J264" i="19" s="1"/>
  <c r="G11" i="21"/>
  <c r="L662" i="19"/>
  <c r="K662" i="19" s="1"/>
  <c r="I662" i="19"/>
  <c r="J662" i="19"/>
  <c r="E10" i="21"/>
  <c r="H78" i="19"/>
  <c r="T78" i="19" s="1"/>
  <c r="E54" i="24"/>
  <c r="T168" i="19"/>
  <c r="I168" i="19" s="1"/>
  <c r="J168" i="19" s="1"/>
  <c r="D7" i="13"/>
  <c r="H716" i="19"/>
  <c r="T716" i="19" s="1"/>
  <c r="L296" i="19"/>
  <c r="K296" i="19" s="1"/>
  <c r="J296" i="19"/>
  <c r="J666" i="19"/>
  <c r="L666" i="19"/>
  <c r="K666" i="19" s="1"/>
  <c r="I666" i="19"/>
  <c r="H676" i="19"/>
  <c r="H9" i="15"/>
  <c r="F754" i="19"/>
  <c r="R754" i="19" s="1"/>
  <c r="T752" i="19"/>
  <c r="L272" i="19"/>
  <c r="K272" i="19" s="1"/>
  <c r="J302" i="19"/>
  <c r="L302" i="19"/>
  <c r="K302" i="19" s="1"/>
  <c r="H301" i="19"/>
  <c r="L303" i="19"/>
  <c r="K303" i="19" s="1"/>
  <c r="J303" i="19"/>
  <c r="J641" i="19"/>
  <c r="I641" i="19"/>
  <c r="L641" i="19"/>
  <c r="K641" i="19" s="1"/>
  <c r="L664" i="19"/>
  <c r="K664" i="19" s="1"/>
  <c r="I664" i="19"/>
  <c r="J664" i="19"/>
  <c r="L661" i="19"/>
  <c r="K661" i="19" s="1"/>
  <c r="J661" i="19"/>
  <c r="I661" i="19"/>
  <c r="E34" i="21"/>
  <c r="F43" i="21"/>
  <c r="G34" i="21"/>
  <c r="J671" i="19"/>
  <c r="I671" i="19"/>
  <c r="L671" i="19"/>
  <c r="K671" i="19" s="1"/>
  <c r="H196" i="19"/>
  <c r="T196" i="19" s="1"/>
  <c r="L196" i="19" s="1"/>
  <c r="K196" i="19" s="1"/>
  <c r="E54" i="22"/>
  <c r="J665" i="19"/>
  <c r="L665" i="19"/>
  <c r="K665" i="19" s="1"/>
  <c r="I665" i="19"/>
  <c r="I670" i="19"/>
  <c r="J670" i="19"/>
  <c r="L670" i="19"/>
  <c r="K670" i="19" s="1"/>
  <c r="T176" i="19"/>
  <c r="T150" i="19"/>
  <c r="J409" i="19"/>
  <c r="L663" i="19"/>
  <c r="K663" i="19" s="1"/>
  <c r="J663" i="19"/>
  <c r="I663" i="19"/>
  <c r="I409" i="19"/>
  <c r="L295" i="19"/>
  <c r="K295" i="19" s="1"/>
  <c r="J295" i="19"/>
  <c r="J647" i="19"/>
  <c r="L647" i="19"/>
  <c r="K647" i="19" s="1"/>
  <c r="I647" i="19"/>
  <c r="I646" i="19"/>
  <c r="L646" i="19"/>
  <c r="K646" i="19" s="1"/>
  <c r="J646" i="19"/>
  <c r="T191" i="19"/>
  <c r="F196" i="19"/>
  <c r="R196" i="19" s="1"/>
  <c r="I196" i="19" s="1"/>
  <c r="J196" i="19" s="1"/>
  <c r="A8" i="18"/>
  <c r="F700" i="19"/>
  <c r="R700" i="19" s="1"/>
  <c r="H738" i="19"/>
  <c r="T738" i="19" s="1"/>
  <c r="B183" i="19"/>
  <c r="B176" i="19"/>
  <c r="H741" i="19"/>
  <c r="T741" i="19" s="1"/>
  <c r="F703" i="19"/>
  <c r="R703" i="19" s="1"/>
  <c r="P407" i="19"/>
  <c r="F716" i="19"/>
  <c r="R716" i="19" s="1"/>
  <c r="G3" i="18"/>
  <c r="B304" i="19"/>
  <c r="B297" i="19"/>
  <c r="F752" i="19" l="1"/>
  <c r="R752" i="19" s="1"/>
  <c r="J407" i="19"/>
  <c r="I407" i="19"/>
  <c r="L407" i="19"/>
  <c r="K407" i="19" s="1"/>
  <c r="H678" i="19"/>
  <c r="T678" i="19" s="1"/>
  <c r="H273" i="19"/>
  <c r="T273" i="19" s="1"/>
  <c r="L273" i="19" s="1"/>
  <c r="K273" i="19" s="1"/>
  <c r="D23" i="21"/>
  <c r="L191" i="19"/>
  <c r="K191" i="19" s="1"/>
  <c r="I191" i="19"/>
  <c r="J191" i="19" s="1"/>
  <c r="H297" i="19"/>
  <c r="F44" i="21"/>
  <c r="H298" i="19" s="1"/>
  <c r="T298" i="19" s="1"/>
  <c r="L298" i="19" s="1"/>
  <c r="K298" i="19" s="1"/>
  <c r="T301" i="19"/>
  <c r="T676" i="19"/>
  <c r="F678" i="19"/>
  <c r="R678" i="19" s="1"/>
  <c r="H289" i="19"/>
  <c r="G35" i="21"/>
  <c r="E43" i="21"/>
  <c r="L268" i="19"/>
  <c r="K268" i="19" s="1"/>
  <c r="I268" i="19"/>
  <c r="J268" i="19" s="1"/>
  <c r="L198" i="19"/>
  <c r="K198" i="19" s="1"/>
  <c r="I198" i="19"/>
  <c r="J198" i="19" s="1"/>
  <c r="L168" i="19"/>
  <c r="K168" i="19" s="1"/>
  <c r="F779" i="19"/>
  <c r="R779" i="19" s="1"/>
  <c r="F776" i="19"/>
  <c r="R776" i="19" s="1"/>
  <c r="A9" i="18"/>
  <c r="H3" i="18"/>
  <c r="G43" i="21" l="1"/>
  <c r="E44" i="21"/>
  <c r="I47" i="22"/>
  <c r="H290" i="19"/>
  <c r="T290" i="19" s="1"/>
  <c r="L290" i="19" s="1"/>
  <c r="K290" i="19" s="1"/>
  <c r="T289" i="19"/>
  <c r="F290" i="19"/>
  <c r="R290" i="19" s="1"/>
  <c r="I290" i="19" s="1"/>
  <c r="J290" i="19" s="1"/>
  <c r="T297" i="19"/>
  <c r="F298" i="19"/>
  <c r="R298" i="19" s="1"/>
  <c r="I298" i="19" s="1"/>
  <c r="J298" i="19" s="1"/>
  <c r="I273" i="19"/>
  <c r="J273" i="19" s="1"/>
  <c r="L301" i="19"/>
  <c r="K301" i="19" s="1"/>
  <c r="I301" i="19"/>
  <c r="J301" i="19" s="1"/>
  <c r="A10" i="18"/>
  <c r="I3" i="18"/>
  <c r="H304" i="19" l="1"/>
  <c r="G44" i="21"/>
  <c r="I289" i="19"/>
  <c r="J289" i="19" s="1"/>
  <c r="L289" i="19"/>
  <c r="K289" i="19" s="1"/>
  <c r="I297" i="19"/>
  <c r="J297" i="19" s="1"/>
  <c r="L297" i="19"/>
  <c r="K297" i="19" s="1"/>
  <c r="A11" i="18"/>
  <c r="J3" i="18"/>
  <c r="T304" i="19" l="1"/>
  <c r="F305" i="19"/>
  <c r="R305" i="19" s="1"/>
  <c r="I305" i="19" s="1"/>
  <c r="J305" i="19" s="1"/>
  <c r="F46" i="21"/>
  <c r="E55" i="22" s="1"/>
  <c r="H305" i="19"/>
  <c r="T305" i="19" s="1"/>
  <c r="L305" i="19" s="1"/>
  <c r="K305" i="19" s="1"/>
  <c r="A12" i="18"/>
  <c r="K3" i="18"/>
  <c r="I304" i="19" l="1"/>
  <c r="J304" i="19" s="1"/>
  <c r="L304" i="19"/>
  <c r="K304" i="19" s="1"/>
  <c r="A13" i="18"/>
  <c r="L3" i="18"/>
  <c r="A14" i="18" l="1"/>
  <c r="M3" i="18"/>
  <c r="A15" i="18" l="1"/>
  <c r="N3" i="18"/>
  <c r="A16" i="18" l="1"/>
  <c r="O3" i="18"/>
  <c r="A17" i="18" l="1"/>
  <c r="P3" i="18"/>
  <c r="A18" i="18" l="1"/>
  <c r="Q3" i="18"/>
  <c r="A19" i="18" l="1"/>
  <c r="R3" i="18"/>
  <c r="A20" i="18" l="1"/>
  <c r="S3" i="18"/>
  <c r="A21" i="18" l="1"/>
  <c r="T3" i="18"/>
  <c r="A22" i="18" l="1"/>
  <c r="U3" i="18"/>
  <c r="A23" i="18" l="1"/>
  <c r="V3" i="18"/>
  <c r="A24" i="18" l="1"/>
  <c r="A25" i="18" l="1"/>
  <c r="A26" i="18" l="1"/>
  <c r="A27" i="18" l="1"/>
  <c r="A28" i="18" l="1"/>
  <c r="A29" i="18" l="1"/>
  <c r="A30" i="18" l="1"/>
  <c r="A31" i="18" l="1"/>
  <c r="A32" i="18" l="1"/>
  <c r="A33" i="18" l="1"/>
  <c r="A34" i="18" l="1"/>
  <c r="A35" i="18" l="1"/>
  <c r="A36" i="18" l="1"/>
  <c r="A37" i="18" l="1"/>
  <c r="A38" i="18" l="1"/>
  <c r="B604" i="19" l="1"/>
  <c r="E50" i="22"/>
  <c r="H253" i="19" s="1"/>
  <c r="T253" i="19" s="1"/>
  <c r="H46" i="19"/>
  <c r="T46" i="19" s="1"/>
  <c r="H13" i="19"/>
  <c r="T13" i="19" s="1"/>
  <c r="P801" i="19"/>
  <c r="P74" i="19"/>
  <c r="P75" i="19"/>
  <c r="P804" i="19"/>
  <c r="P392" i="19"/>
  <c r="H12" i="19"/>
  <c r="T12" i="19" s="1"/>
  <c r="H30" i="19"/>
  <c r="T30" i="19" s="1"/>
  <c r="H29" i="19"/>
  <c r="T29" i="19" s="1"/>
  <c r="D8" i="11"/>
  <c r="H567" i="19" s="1"/>
  <c r="T567" i="19" s="1"/>
  <c r="P387" i="19"/>
  <c r="F33" i="14"/>
  <c r="H809" i="19" s="1"/>
  <c r="T809" i="19" s="1"/>
  <c r="F47" i="14"/>
  <c r="H816" i="19" s="1"/>
  <c r="T816" i="19" s="1"/>
  <c r="F19" i="11"/>
  <c r="I36" i="15"/>
  <c r="P687" i="19"/>
  <c r="P135" i="19"/>
  <c r="P79" i="19"/>
  <c r="P391" i="19"/>
  <c r="P150" i="19"/>
  <c r="P725" i="19"/>
  <c r="F8" i="14"/>
  <c r="H793" i="19" s="1"/>
  <c r="T793" i="19" s="1"/>
  <c r="P134" i="19"/>
  <c r="F425" i="20"/>
  <c r="P685" i="19"/>
  <c r="P730" i="19"/>
  <c r="P709" i="19"/>
  <c r="P677" i="19"/>
  <c r="P572" i="19"/>
  <c r="P692" i="19"/>
  <c r="P724" i="19"/>
  <c r="P146" i="19"/>
  <c r="P380" i="19"/>
  <c r="P761" i="19"/>
  <c r="P705" i="19"/>
  <c r="P743" i="19"/>
  <c r="P785" i="19"/>
  <c r="P781" i="19"/>
  <c r="L677" i="19" l="1"/>
  <c r="K677" i="19" s="1"/>
  <c r="I677" i="19"/>
  <c r="J677" i="19"/>
  <c r="I725" i="19"/>
  <c r="L725" i="19"/>
  <c r="K725" i="19" s="1"/>
  <c r="J725" i="19"/>
  <c r="D20" i="11"/>
  <c r="F580" i="19" s="1"/>
  <c r="D13" i="11"/>
  <c r="D15" i="11"/>
  <c r="L801" i="19"/>
  <c r="K801" i="19" s="1"/>
  <c r="I801" i="19"/>
  <c r="J801" i="19"/>
  <c r="I709" i="19"/>
  <c r="J709" i="19"/>
  <c r="L709" i="19"/>
  <c r="K709" i="19" s="1"/>
  <c r="L150" i="19"/>
  <c r="K150" i="19" s="1"/>
  <c r="I150" i="19"/>
  <c r="J150" i="19" s="1"/>
  <c r="I687" i="19"/>
  <c r="L687" i="19"/>
  <c r="K687" i="19" s="1"/>
  <c r="J687" i="19"/>
  <c r="D29" i="7"/>
  <c r="H387" i="19" s="1"/>
  <c r="T387" i="19" s="1"/>
  <c r="I387" i="19" s="1"/>
  <c r="E25" i="7"/>
  <c r="H380" i="19" s="1"/>
  <c r="T380" i="19" s="1"/>
  <c r="I380" i="19" s="1"/>
  <c r="I135" i="19"/>
  <c r="J135" i="19" s="1"/>
  <c r="L135" i="19"/>
  <c r="K135" i="19" s="1"/>
  <c r="L785" i="19"/>
  <c r="K785" i="19" s="1"/>
  <c r="I785" i="19"/>
  <c r="J785" i="19"/>
  <c r="I75" i="19"/>
  <c r="J75" i="19" s="1"/>
  <c r="L75" i="19"/>
  <c r="K75" i="19" s="1"/>
  <c r="H36" i="15"/>
  <c r="H743" i="19"/>
  <c r="T743" i="19" s="1"/>
  <c r="I743" i="19" s="1"/>
  <c r="J743" i="19" s="1"/>
  <c r="F705" i="19"/>
  <c r="R705" i="19" s="1"/>
  <c r="H578" i="19"/>
  <c r="T578" i="19" s="1"/>
  <c r="J724" i="19"/>
  <c r="L724" i="19"/>
  <c r="K724" i="19" s="1"/>
  <c r="I724" i="19"/>
  <c r="J730" i="19"/>
  <c r="L730" i="19"/>
  <c r="K730" i="19" s="1"/>
  <c r="I730" i="19"/>
  <c r="I134" i="19"/>
  <c r="J134" i="19" s="1"/>
  <c r="L134" i="19"/>
  <c r="K134" i="19" s="1"/>
  <c r="J692" i="19"/>
  <c r="L692" i="19"/>
  <c r="K692" i="19" s="1"/>
  <c r="I692" i="19"/>
  <c r="I74" i="19"/>
  <c r="J74" i="19" s="1"/>
  <c r="L74" i="19"/>
  <c r="K74" i="19" s="1"/>
  <c r="I685" i="19"/>
  <c r="L685" i="19"/>
  <c r="K685" i="19" s="1"/>
  <c r="J685" i="19"/>
  <c r="I761" i="19"/>
  <c r="J761" i="19"/>
  <c r="L761" i="19"/>
  <c r="K761" i="19" s="1"/>
  <c r="I804" i="19"/>
  <c r="J804" i="19"/>
  <c r="L804" i="19"/>
  <c r="K804" i="19" s="1"/>
  <c r="P609" i="19"/>
  <c r="B430" i="19"/>
  <c r="B438" i="19"/>
  <c r="B422" i="19"/>
  <c r="B420" i="19"/>
  <c r="B428" i="19"/>
  <c r="B436" i="19"/>
  <c r="B460" i="19"/>
  <c r="B468" i="19"/>
  <c r="B452" i="19"/>
  <c r="B450" i="19"/>
  <c r="B466" i="19"/>
  <c r="B458" i="19"/>
  <c r="B448" i="19"/>
  <c r="B456" i="19"/>
  <c r="B464" i="19"/>
  <c r="B434" i="19"/>
  <c r="B418" i="19"/>
  <c r="B426" i="19"/>
  <c r="P843" i="19"/>
  <c r="P802" i="19"/>
  <c r="C12" i="24"/>
  <c r="H79" i="19" s="1"/>
  <c r="T79" i="19" s="1"/>
  <c r="I79" i="19" s="1"/>
  <c r="J79" i="19" s="1"/>
  <c r="P80" i="19"/>
  <c r="P253" i="19"/>
  <c r="P61" i="19"/>
  <c r="P656" i="19"/>
  <c r="G24" i="15"/>
  <c r="P422" i="19"/>
  <c r="F17" i="16"/>
  <c r="B491" i="19"/>
  <c r="B508" i="19"/>
  <c r="B31" i="9"/>
  <c r="B514" i="19" s="1"/>
  <c r="G31" i="9"/>
  <c r="F514" i="19" s="1"/>
  <c r="R514" i="19" s="1"/>
  <c r="P567" i="19"/>
  <c r="L567" i="19" s="1"/>
  <c r="K567" i="19" s="1"/>
  <c r="H33" i="7"/>
  <c r="H392" i="19" s="1"/>
  <c r="T392" i="19" s="1"/>
  <c r="I392" i="19" s="1"/>
  <c r="F33" i="7"/>
  <c r="G33" i="7"/>
  <c r="J33" i="7"/>
  <c r="I33" i="7"/>
  <c r="F19" i="7"/>
  <c r="J19" i="7"/>
  <c r="I19" i="7"/>
  <c r="G19" i="7"/>
  <c r="P842" i="19"/>
  <c r="P849" i="19"/>
  <c r="I32" i="15"/>
  <c r="H32" i="15"/>
  <c r="H15" i="15"/>
  <c r="I15" i="15"/>
  <c r="H47" i="19"/>
  <c r="T47" i="19" s="1"/>
  <c r="P834" i="19"/>
  <c r="P792" i="19"/>
  <c r="F7" i="14"/>
  <c r="H792" i="19" s="1"/>
  <c r="T792" i="19" s="1"/>
  <c r="I27" i="15"/>
  <c r="H27" i="15"/>
  <c r="H696" i="19" s="1"/>
  <c r="T696" i="19" s="1"/>
  <c r="P574" i="19"/>
  <c r="J32" i="7"/>
  <c r="F32" i="7"/>
  <c r="G32" i="7"/>
  <c r="H32" i="7"/>
  <c r="H391" i="19" s="1"/>
  <c r="T391" i="19" s="1"/>
  <c r="I391" i="19" s="1"/>
  <c r="I32" i="7"/>
  <c r="I35" i="15"/>
  <c r="H35" i="15"/>
  <c r="P791" i="19"/>
  <c r="F6" i="14"/>
  <c r="P762" i="19"/>
  <c r="P686" i="19"/>
  <c r="G21" i="15"/>
  <c r="D8" i="10"/>
  <c r="H544" i="19" s="1"/>
  <c r="T544" i="19" s="1"/>
  <c r="P608" i="19"/>
  <c r="P828" i="19"/>
  <c r="P768" i="19"/>
  <c r="P715" i="19"/>
  <c r="I38" i="15"/>
  <c r="H38" i="15"/>
  <c r="H30" i="7"/>
  <c r="H389" i="19" s="1"/>
  <c r="T389" i="19" s="1"/>
  <c r="P763" i="19"/>
  <c r="H26" i="15"/>
  <c r="I26" i="15"/>
  <c r="I39" i="15"/>
  <c r="H39" i="15"/>
  <c r="P693" i="19"/>
  <c r="P753" i="19"/>
  <c r="I33" i="15"/>
  <c r="H33" i="15"/>
  <c r="H13" i="15"/>
  <c r="I13" i="15"/>
  <c r="P850" i="19"/>
  <c r="P556" i="19"/>
  <c r="H30" i="15"/>
  <c r="I30" i="15"/>
  <c r="P578" i="19"/>
  <c r="P818" i="19"/>
  <c r="C12" i="11"/>
  <c r="H14" i="15"/>
  <c r="I14" i="15"/>
  <c r="G33" i="12"/>
  <c r="H31" i="7"/>
  <c r="H390" i="19" s="1"/>
  <c r="T390" i="19" s="1"/>
  <c r="J39" i="7"/>
  <c r="G39" i="7"/>
  <c r="H39" i="7"/>
  <c r="H398" i="19" s="1"/>
  <c r="T398" i="19" s="1"/>
  <c r="I39" i="7"/>
  <c r="F39" i="7"/>
  <c r="P731" i="19"/>
  <c r="P676" i="19"/>
  <c r="P809" i="19"/>
  <c r="P747" i="19"/>
  <c r="P382" i="19"/>
  <c r="P723" i="19"/>
  <c r="P816" i="19"/>
  <c r="P793" i="19"/>
  <c r="F10" i="14"/>
  <c r="H795" i="19" s="1"/>
  <c r="T795" i="19" s="1"/>
  <c r="F46" i="14"/>
  <c r="H815" i="19" s="1"/>
  <c r="T815" i="19" s="1"/>
  <c r="F22" i="14"/>
  <c r="F45" i="14"/>
  <c r="F32" i="14"/>
  <c r="H808" i="19" s="1"/>
  <c r="T808" i="19" s="1"/>
  <c r="P653" i="19"/>
  <c r="P381" i="19"/>
  <c r="P607" i="19"/>
  <c r="P395" i="19"/>
  <c r="F31" i="14"/>
  <c r="L79" i="19" l="1"/>
  <c r="K79" i="19" s="1"/>
  <c r="L743" i="19"/>
  <c r="K743" i="19" s="1"/>
  <c r="J380" i="19"/>
  <c r="L380" i="19"/>
  <c r="K380" i="19" s="1"/>
  <c r="I828" i="19"/>
  <c r="J828" i="19"/>
  <c r="L828" i="19"/>
  <c r="K828" i="19" s="1"/>
  <c r="I816" i="19"/>
  <c r="J816" i="19"/>
  <c r="L816" i="19"/>
  <c r="K816" i="19" s="1"/>
  <c r="J578" i="19"/>
  <c r="L578" i="19"/>
  <c r="K578" i="19" s="1"/>
  <c r="I578" i="19"/>
  <c r="I834" i="19"/>
  <c r="J834" i="19"/>
  <c r="L834" i="19"/>
  <c r="K834" i="19" s="1"/>
  <c r="L608" i="19"/>
  <c r="K608" i="19" s="1"/>
  <c r="J608" i="19"/>
  <c r="L253" i="19"/>
  <c r="K253" i="19" s="1"/>
  <c r="I253" i="19"/>
  <c r="J253" i="19" s="1"/>
  <c r="I802" i="19"/>
  <c r="J802" i="19"/>
  <c r="L802" i="19"/>
  <c r="K802" i="19" s="1"/>
  <c r="F15" i="11"/>
  <c r="H574" i="19"/>
  <c r="T574" i="19" s="1"/>
  <c r="I574" i="19" s="1"/>
  <c r="J574" i="19" s="1"/>
  <c r="H614" i="19"/>
  <c r="G34" i="12"/>
  <c r="H572" i="19"/>
  <c r="T572" i="19" s="1"/>
  <c r="F13" i="11"/>
  <c r="L747" i="19"/>
  <c r="K747" i="19" s="1"/>
  <c r="J747" i="19"/>
  <c r="I747" i="19"/>
  <c r="L809" i="19"/>
  <c r="K809" i="19" s="1"/>
  <c r="I809" i="19"/>
  <c r="J809" i="19" s="1"/>
  <c r="D16" i="12"/>
  <c r="I843" i="19"/>
  <c r="J843" i="19"/>
  <c r="L843" i="19"/>
  <c r="K843" i="19" s="1"/>
  <c r="J392" i="19"/>
  <c r="J36" i="15"/>
  <c r="H781" i="19" s="1"/>
  <c r="T781" i="19" s="1"/>
  <c r="L781" i="19" s="1"/>
  <c r="K781" i="19" s="1"/>
  <c r="H705" i="19"/>
  <c r="F20" i="11"/>
  <c r="H579" i="19"/>
  <c r="T579" i="19" s="1"/>
  <c r="R580" i="19"/>
  <c r="J676" i="19"/>
  <c r="L676" i="19"/>
  <c r="K676" i="19" s="1"/>
  <c r="I676" i="19"/>
  <c r="L753" i="19"/>
  <c r="K753" i="19" s="1"/>
  <c r="I753" i="19"/>
  <c r="J753" i="19"/>
  <c r="L763" i="19"/>
  <c r="K763" i="19" s="1"/>
  <c r="J763" i="19"/>
  <c r="I763" i="19"/>
  <c r="L392" i="19"/>
  <c r="K392" i="19" s="1"/>
  <c r="J387" i="19"/>
  <c r="L731" i="19"/>
  <c r="K731" i="19" s="1"/>
  <c r="J731" i="19"/>
  <c r="I731" i="19"/>
  <c r="D20" i="10"/>
  <c r="F557" i="19" s="1"/>
  <c r="D13" i="10"/>
  <c r="D14" i="10"/>
  <c r="D12" i="10"/>
  <c r="L693" i="19"/>
  <c r="K693" i="19" s="1"/>
  <c r="J693" i="19"/>
  <c r="I29" i="15"/>
  <c r="H29" i="15" s="1"/>
  <c r="L686" i="19"/>
  <c r="K686" i="19" s="1"/>
  <c r="J686" i="19"/>
  <c r="I686" i="19"/>
  <c r="I567" i="19"/>
  <c r="J567" i="19" s="1"/>
  <c r="L387" i="19"/>
  <c r="K387" i="19" s="1"/>
  <c r="F30" i="7"/>
  <c r="L762" i="19"/>
  <c r="K762" i="19" s="1"/>
  <c r="J762" i="19"/>
  <c r="I762" i="19"/>
  <c r="J849" i="19"/>
  <c r="L849" i="19"/>
  <c r="K849" i="19" s="1"/>
  <c r="I849" i="19"/>
  <c r="I723" i="19"/>
  <c r="L723" i="19"/>
  <c r="K723" i="19" s="1"/>
  <c r="J723" i="19"/>
  <c r="H791" i="19"/>
  <c r="T791" i="19" s="1"/>
  <c r="I791" i="19" s="1"/>
  <c r="H807" i="19"/>
  <c r="T807" i="19" s="1"/>
  <c r="F36" i="14"/>
  <c r="L850" i="19"/>
  <c r="K850" i="19" s="1"/>
  <c r="I850" i="19"/>
  <c r="J850" i="19"/>
  <c r="J842" i="19"/>
  <c r="L842" i="19"/>
  <c r="K842" i="19" s="1"/>
  <c r="I842" i="19"/>
  <c r="J391" i="19"/>
  <c r="I793" i="19"/>
  <c r="J793" i="19" s="1"/>
  <c r="L793" i="19"/>
  <c r="K793" i="19" s="1"/>
  <c r="I28" i="15"/>
  <c r="L715" i="19"/>
  <c r="K715" i="19" s="1"/>
  <c r="I715" i="19"/>
  <c r="J715" i="19"/>
  <c r="L792" i="19"/>
  <c r="K792" i="19" s="1"/>
  <c r="I792" i="19"/>
  <c r="J792" i="19" s="1"/>
  <c r="L391" i="19"/>
  <c r="K391" i="19" s="1"/>
  <c r="L61" i="19"/>
  <c r="K61" i="19" s="1"/>
  <c r="I61" i="19"/>
  <c r="J61" i="19" s="1"/>
  <c r="L818" i="19"/>
  <c r="K818" i="19" s="1"/>
  <c r="I818" i="19"/>
  <c r="J818" i="19"/>
  <c r="L768" i="19"/>
  <c r="K768" i="19" s="1"/>
  <c r="J768" i="19"/>
  <c r="I768" i="19"/>
  <c r="J609" i="19"/>
  <c r="L609" i="19"/>
  <c r="K609" i="19" s="1"/>
  <c r="X56" i="16"/>
  <c r="H903" i="19"/>
  <c r="T903" i="19" s="1"/>
  <c r="AB14" i="16"/>
  <c r="AB11" i="16"/>
  <c r="I30" i="7"/>
  <c r="G30" i="7"/>
  <c r="P866" i="19"/>
  <c r="P882" i="19"/>
  <c r="P836" i="19"/>
  <c r="P868" i="19"/>
  <c r="F9" i="24"/>
  <c r="G9" i="24"/>
  <c r="P73" i="19"/>
  <c r="B4" i="18"/>
  <c r="D6" i="18"/>
  <c r="C4" i="18"/>
  <c r="D5" i="18"/>
  <c r="D4" i="18"/>
  <c r="B5" i="18"/>
  <c r="C6" i="18"/>
  <c r="C5" i="18"/>
  <c r="E6" i="18"/>
  <c r="E5" i="18"/>
  <c r="E7" i="18"/>
  <c r="B6" i="18"/>
  <c r="E4" i="18"/>
  <c r="B7" i="18"/>
  <c r="D7" i="18"/>
  <c r="F4" i="18"/>
  <c r="F6" i="18"/>
  <c r="F5" i="18"/>
  <c r="C7" i="18"/>
  <c r="F8" i="18"/>
  <c r="F7" i="18"/>
  <c r="D8" i="18"/>
  <c r="G5" i="18"/>
  <c r="E8" i="18"/>
  <c r="G6" i="18"/>
  <c r="G9" i="18"/>
  <c r="G4" i="18"/>
  <c r="G7" i="18"/>
  <c r="B8" i="18"/>
  <c r="G8" i="18"/>
  <c r="C8" i="18"/>
  <c r="D9" i="18"/>
  <c r="F9" i="18"/>
  <c r="H6" i="18"/>
  <c r="H4" i="18"/>
  <c r="H9" i="18"/>
  <c r="H5" i="18"/>
  <c r="H7" i="18"/>
  <c r="H10" i="18"/>
  <c r="H8" i="18"/>
  <c r="B9" i="18"/>
  <c r="C9" i="18"/>
  <c r="E9" i="18"/>
  <c r="I10" i="18"/>
  <c r="C10" i="18"/>
  <c r="I7" i="18"/>
  <c r="I11" i="18"/>
  <c r="I8" i="18"/>
  <c r="B10" i="18"/>
  <c r="D10" i="18"/>
  <c r="E10" i="18"/>
  <c r="F10" i="18"/>
  <c r="G10" i="18"/>
  <c r="I5" i="18"/>
  <c r="I4" i="18"/>
  <c r="I6" i="18"/>
  <c r="I9" i="18"/>
  <c r="J5" i="18"/>
  <c r="J6" i="18"/>
  <c r="C11" i="18"/>
  <c r="J12" i="18"/>
  <c r="J7" i="18"/>
  <c r="J4" i="18"/>
  <c r="B11" i="18"/>
  <c r="D11" i="18"/>
  <c r="E11" i="18"/>
  <c r="F11" i="18"/>
  <c r="G11" i="18"/>
  <c r="H11" i="18"/>
  <c r="J11" i="18"/>
  <c r="J9" i="18"/>
  <c r="J10" i="18"/>
  <c r="J8" i="18"/>
  <c r="K9" i="18"/>
  <c r="K12" i="18"/>
  <c r="C12" i="18"/>
  <c r="D12" i="18"/>
  <c r="K7" i="18"/>
  <c r="F12" i="18"/>
  <c r="K11" i="18"/>
  <c r="I12" i="18"/>
  <c r="B12" i="18"/>
  <c r="K6" i="18"/>
  <c r="E12" i="18"/>
  <c r="G12" i="18"/>
  <c r="K10" i="18"/>
  <c r="K5" i="18"/>
  <c r="K4" i="18"/>
  <c r="K8" i="18"/>
  <c r="H12" i="18"/>
  <c r="L6" i="18"/>
  <c r="L4" i="18"/>
  <c r="D13" i="18"/>
  <c r="E13" i="18"/>
  <c r="F13" i="18"/>
  <c r="G13" i="18"/>
  <c r="I13" i="18"/>
  <c r="L12" i="18"/>
  <c r="K13" i="18"/>
  <c r="L10" i="18"/>
  <c r="B13" i="18"/>
  <c r="L7" i="18"/>
  <c r="L11" i="18"/>
  <c r="L9" i="18"/>
  <c r="H13" i="18"/>
  <c r="J13" i="18"/>
  <c r="C13" i="18"/>
  <c r="L13" i="18"/>
  <c r="L5" i="18"/>
  <c r="L8" i="18"/>
  <c r="M9" i="18"/>
  <c r="M11" i="18"/>
  <c r="M15" i="18"/>
  <c r="M5" i="18"/>
  <c r="G14" i="18"/>
  <c r="M12" i="18"/>
  <c r="J14" i="18"/>
  <c r="M10" i="18"/>
  <c r="B14" i="18"/>
  <c r="L14" i="18"/>
  <c r="M6" i="18"/>
  <c r="E14" i="18"/>
  <c r="M8" i="18"/>
  <c r="H14" i="18"/>
  <c r="K14" i="18"/>
  <c r="C14" i="18"/>
  <c r="M7" i="18"/>
  <c r="F14" i="18"/>
  <c r="M14" i="18"/>
  <c r="D14" i="18"/>
  <c r="M13" i="18"/>
  <c r="I14" i="18"/>
  <c r="M4" i="18"/>
  <c r="C15" i="18"/>
  <c r="N11" i="18"/>
  <c r="N9" i="18"/>
  <c r="N6" i="18"/>
  <c r="F15" i="18"/>
  <c r="N10" i="18"/>
  <c r="J15" i="18"/>
  <c r="N13" i="18"/>
  <c r="D15" i="18"/>
  <c r="G15" i="18"/>
  <c r="H15" i="18"/>
  <c r="N4" i="18"/>
  <c r="B15" i="18"/>
  <c r="E15" i="18"/>
  <c r="N15" i="18"/>
  <c r="N12" i="18"/>
  <c r="I15" i="18"/>
  <c r="N5" i="18"/>
  <c r="N7" i="18"/>
  <c r="K15" i="18"/>
  <c r="L15" i="18"/>
  <c r="N14" i="18"/>
  <c r="N8" i="18"/>
  <c r="L16" i="18"/>
  <c r="O11" i="18"/>
  <c r="C16" i="18"/>
  <c r="O6" i="18"/>
  <c r="B16" i="18"/>
  <c r="O15" i="18"/>
  <c r="H16" i="18"/>
  <c r="K16" i="18"/>
  <c r="M16" i="18"/>
  <c r="O10" i="18"/>
  <c r="D16" i="18"/>
  <c r="E16" i="18"/>
  <c r="O16" i="18"/>
  <c r="O5" i="18"/>
  <c r="G16" i="18"/>
  <c r="O7" i="18"/>
  <c r="F16" i="18"/>
  <c r="O12" i="18"/>
  <c r="O8" i="18"/>
  <c r="O13" i="18"/>
  <c r="O9" i="18"/>
  <c r="I16" i="18"/>
  <c r="N16" i="18"/>
  <c r="O4" i="18"/>
  <c r="O17" i="18"/>
  <c r="O14" i="18"/>
  <c r="J16" i="18"/>
  <c r="J17" i="18"/>
  <c r="P9" i="18"/>
  <c r="K17" i="18"/>
  <c r="P12" i="18"/>
  <c r="P10" i="18"/>
  <c r="M17" i="18"/>
  <c r="B17" i="18"/>
  <c r="P6" i="18"/>
  <c r="D17" i="18"/>
  <c r="P16" i="18"/>
  <c r="F17" i="18"/>
  <c r="P18" i="18"/>
  <c r="P17" i="18"/>
  <c r="L17" i="18"/>
  <c r="P15" i="18"/>
  <c r="N17" i="18"/>
  <c r="C17" i="18"/>
  <c r="P13" i="18"/>
  <c r="E17" i="18"/>
  <c r="P5" i="18"/>
  <c r="P8" i="18"/>
  <c r="G17" i="18"/>
  <c r="P7" i="18"/>
  <c r="I17" i="18"/>
  <c r="P4" i="18"/>
  <c r="P11" i="18"/>
  <c r="P14" i="18"/>
  <c r="H17" i="18"/>
  <c r="M18" i="18"/>
  <c r="Q8" i="18"/>
  <c r="B18" i="18"/>
  <c r="D18" i="18"/>
  <c r="Q4" i="18"/>
  <c r="E18" i="18"/>
  <c r="Q11" i="18"/>
  <c r="Q6" i="18"/>
  <c r="Q13" i="18"/>
  <c r="Q15" i="18"/>
  <c r="Q9" i="18"/>
  <c r="Q14" i="18"/>
  <c r="L18" i="18"/>
  <c r="C18" i="18"/>
  <c r="N18" i="18"/>
  <c r="Q16" i="18"/>
  <c r="Q5" i="18"/>
  <c r="Q19" i="18"/>
  <c r="Q7" i="18"/>
  <c r="O18" i="18"/>
  <c r="Q10" i="18"/>
  <c r="F18" i="18"/>
  <c r="Q12" i="18"/>
  <c r="H18" i="18"/>
  <c r="I18" i="18"/>
  <c r="J18" i="18"/>
  <c r="K18" i="18"/>
  <c r="Q17" i="18"/>
  <c r="G18" i="18"/>
  <c r="Q18" i="18"/>
  <c r="K19" i="18"/>
  <c r="R11" i="18"/>
  <c r="O19" i="18"/>
  <c r="C19" i="18"/>
  <c r="R5" i="18"/>
  <c r="R19" i="18"/>
  <c r="H19" i="18"/>
  <c r="R17" i="18"/>
  <c r="R6" i="18"/>
  <c r="L19" i="18"/>
  <c r="R7" i="18"/>
  <c r="R12" i="18"/>
  <c r="B19" i="18"/>
  <c r="N19" i="18"/>
  <c r="R15" i="18"/>
  <c r="P19" i="18"/>
  <c r="R16" i="18"/>
  <c r="R8" i="18"/>
  <c r="M19" i="18"/>
  <c r="D19" i="18"/>
  <c r="R4" i="18"/>
  <c r="F19" i="18"/>
  <c r="R14" i="18"/>
  <c r="J19" i="18"/>
  <c r="R10" i="18"/>
  <c r="E19" i="18"/>
  <c r="G19" i="18"/>
  <c r="R9" i="18"/>
  <c r="I19" i="18"/>
  <c r="R18" i="18"/>
  <c r="R13" i="18"/>
  <c r="R20" i="18"/>
  <c r="M20" i="18"/>
  <c r="S5" i="18"/>
  <c r="S15" i="18"/>
  <c r="B20" i="18"/>
  <c r="S17" i="18"/>
  <c r="S11" i="18"/>
  <c r="D20" i="18"/>
  <c r="O20" i="18"/>
  <c r="S9" i="18"/>
  <c r="C20" i="18"/>
  <c r="P20" i="18"/>
  <c r="E20" i="18"/>
  <c r="S12" i="18"/>
  <c r="J20" i="18"/>
  <c r="K20" i="18"/>
  <c r="L20" i="18"/>
  <c r="N20" i="18"/>
  <c r="S21" i="18"/>
  <c r="Q20" i="18"/>
  <c r="G20" i="18"/>
  <c r="S6" i="18"/>
  <c r="H20" i="18"/>
  <c r="S19" i="18"/>
  <c r="S20" i="18"/>
  <c r="S7" i="18"/>
  <c r="F20" i="18"/>
  <c r="S14" i="18"/>
  <c r="S4" i="18"/>
  <c r="S10" i="18"/>
  <c r="S8" i="18"/>
  <c r="I20" i="18"/>
  <c r="S18" i="18"/>
  <c r="S13" i="18"/>
  <c r="S16" i="18"/>
  <c r="K21" i="18"/>
  <c r="T16" i="18"/>
  <c r="T11" i="18"/>
  <c r="T8" i="18"/>
  <c r="T21" i="18"/>
  <c r="B21" i="18"/>
  <c r="C21" i="18"/>
  <c r="T5" i="18"/>
  <c r="G21" i="18"/>
  <c r="H21" i="18"/>
  <c r="L21" i="18"/>
  <c r="T4" i="18"/>
  <c r="N21" i="18"/>
  <c r="T20" i="18"/>
  <c r="O21" i="18"/>
  <c r="P21" i="18"/>
  <c r="Q21" i="18"/>
  <c r="F21" i="18"/>
  <c r="T12" i="18"/>
  <c r="T17" i="18"/>
  <c r="T10" i="18"/>
  <c r="J21" i="18"/>
  <c r="T15" i="18"/>
  <c r="M21" i="18"/>
  <c r="T14" i="18"/>
  <c r="D21" i="18"/>
  <c r="T22" i="18"/>
  <c r="T19" i="18"/>
  <c r="E21" i="18"/>
  <c r="T6" i="18"/>
  <c r="T9" i="18"/>
  <c r="I21" i="18"/>
  <c r="T7" i="18"/>
  <c r="T18" i="18"/>
  <c r="R21" i="18"/>
  <c r="T13" i="18"/>
  <c r="M22" i="18"/>
  <c r="U22" i="18"/>
  <c r="U10" i="18"/>
  <c r="N22" i="18"/>
  <c r="U9" i="18"/>
  <c r="D22" i="18"/>
  <c r="U6" i="18"/>
  <c r="B22" i="18"/>
  <c r="U19" i="18"/>
  <c r="U23" i="18"/>
  <c r="E22" i="18"/>
  <c r="U4" i="18"/>
  <c r="F22" i="18"/>
  <c r="G22" i="18"/>
  <c r="U13" i="18"/>
  <c r="U20" i="18"/>
  <c r="L22" i="18"/>
  <c r="U16" i="18"/>
  <c r="C22" i="18"/>
  <c r="U21" i="18"/>
  <c r="U5" i="18"/>
  <c r="P22" i="18"/>
  <c r="Q22" i="18"/>
  <c r="R22" i="18"/>
  <c r="S22" i="18"/>
  <c r="U17" i="18"/>
  <c r="U14" i="18"/>
  <c r="J22" i="18"/>
  <c r="O22" i="18"/>
  <c r="U15" i="18"/>
  <c r="U11" i="18"/>
  <c r="U7" i="18"/>
  <c r="H22" i="18"/>
  <c r="U8" i="18"/>
  <c r="U18" i="18"/>
  <c r="U12" i="18"/>
  <c r="I22" i="18"/>
  <c r="K22" i="18"/>
  <c r="J23" i="18"/>
  <c r="V19" i="18"/>
  <c r="V4" i="18"/>
  <c r="V12" i="18"/>
  <c r="V10" i="18"/>
  <c r="L23" i="18"/>
  <c r="V24" i="18"/>
  <c r="V20" i="18"/>
  <c r="V14" i="18"/>
  <c r="B23" i="18"/>
  <c r="N23" i="18"/>
  <c r="V16" i="18"/>
  <c r="V21" i="18"/>
  <c r="V22" i="18"/>
  <c r="V15" i="18"/>
  <c r="Q23" i="18"/>
  <c r="V23" i="18"/>
  <c r="V8" i="18"/>
  <c r="V7" i="18"/>
  <c r="V9" i="18"/>
  <c r="V13" i="18"/>
  <c r="K23" i="18"/>
  <c r="V17" i="18"/>
  <c r="V6" i="18"/>
  <c r="O23" i="18"/>
  <c r="D23" i="18"/>
  <c r="F23" i="18"/>
  <c r="C23" i="18"/>
  <c r="V11" i="18"/>
  <c r="E23" i="18"/>
  <c r="R23" i="18"/>
  <c r="G23" i="18"/>
  <c r="H23" i="18"/>
  <c r="T23" i="18"/>
  <c r="I23" i="18"/>
  <c r="V5" i="18"/>
  <c r="M23" i="18"/>
  <c r="P23" i="18"/>
  <c r="V18" i="18"/>
  <c r="S23" i="18"/>
  <c r="M24" i="18"/>
  <c r="B24" i="18"/>
  <c r="D24" i="18"/>
  <c r="O24" i="18"/>
  <c r="C24" i="18"/>
  <c r="P24" i="18"/>
  <c r="Q24" i="18"/>
  <c r="F24" i="18"/>
  <c r="R24" i="18"/>
  <c r="S24" i="18"/>
  <c r="I24" i="18"/>
  <c r="U24" i="18"/>
  <c r="N24" i="18"/>
  <c r="E24" i="18"/>
  <c r="G24" i="18"/>
  <c r="T24" i="18"/>
  <c r="J24" i="18"/>
  <c r="L24" i="18"/>
  <c r="H24" i="18"/>
  <c r="K24" i="18"/>
  <c r="K25" i="18"/>
  <c r="L25" i="18"/>
  <c r="B25" i="18"/>
  <c r="C25" i="18"/>
  <c r="N25" i="18"/>
  <c r="O25" i="18"/>
  <c r="P25" i="18"/>
  <c r="E25" i="18"/>
  <c r="Q25" i="18"/>
  <c r="F25" i="18"/>
  <c r="H25" i="18"/>
  <c r="V25" i="18"/>
  <c r="D25" i="18"/>
  <c r="R25" i="18"/>
  <c r="T25" i="18"/>
  <c r="J25" i="18"/>
  <c r="M25" i="18"/>
  <c r="S25" i="18"/>
  <c r="I25" i="18"/>
  <c r="U25" i="18"/>
  <c r="G25" i="18"/>
  <c r="C26" i="18"/>
  <c r="M26" i="18"/>
  <c r="N26" i="18"/>
  <c r="E26" i="18"/>
  <c r="P26" i="18"/>
  <c r="Q26" i="18"/>
  <c r="R26" i="18"/>
  <c r="S26" i="18"/>
  <c r="H26" i="18"/>
  <c r="J26" i="18"/>
  <c r="D26" i="18"/>
  <c r="O26" i="18"/>
  <c r="B26" i="18"/>
  <c r="G26" i="18"/>
  <c r="U26" i="18"/>
  <c r="V26" i="18"/>
  <c r="L26" i="18"/>
  <c r="F26" i="18"/>
  <c r="I26" i="18"/>
  <c r="K26" i="18"/>
  <c r="T26" i="18"/>
  <c r="E27" i="18"/>
  <c r="M27" i="18"/>
  <c r="C27" i="18"/>
  <c r="F27" i="18"/>
  <c r="Q27" i="18"/>
  <c r="B27" i="18"/>
  <c r="G27" i="18"/>
  <c r="U27" i="18"/>
  <c r="K27" i="18"/>
  <c r="D27" i="18"/>
  <c r="N27" i="18"/>
  <c r="O27" i="18"/>
  <c r="R27" i="18"/>
  <c r="S27" i="18"/>
  <c r="T27" i="18"/>
  <c r="J27" i="18"/>
  <c r="P27" i="18"/>
  <c r="I27" i="18"/>
  <c r="V27" i="18"/>
  <c r="L27" i="18"/>
  <c r="H27" i="18"/>
  <c r="K28" i="18"/>
  <c r="L28" i="18"/>
  <c r="M28" i="18"/>
  <c r="N28" i="18"/>
  <c r="B28" i="18"/>
  <c r="O28" i="18"/>
  <c r="P28" i="18"/>
  <c r="Q28" i="18"/>
  <c r="S28" i="18"/>
  <c r="T28" i="18"/>
  <c r="U28" i="18"/>
  <c r="V28" i="18"/>
  <c r="E28" i="18"/>
  <c r="C28" i="18"/>
  <c r="D28" i="18"/>
  <c r="I28" i="18"/>
  <c r="F28" i="18"/>
  <c r="R28" i="18"/>
  <c r="H28" i="18"/>
  <c r="J28" i="18"/>
  <c r="G28" i="18"/>
  <c r="G29" i="18"/>
  <c r="M29" i="18"/>
  <c r="P29" i="18"/>
  <c r="Q29" i="18"/>
  <c r="R29" i="18"/>
  <c r="T29" i="18"/>
  <c r="U29" i="18"/>
  <c r="K29" i="18"/>
  <c r="E29" i="18"/>
  <c r="N29" i="18"/>
  <c r="H29" i="18"/>
  <c r="B29" i="18"/>
  <c r="F29" i="18"/>
  <c r="S29" i="18"/>
  <c r="J29" i="18"/>
  <c r="O29" i="18"/>
  <c r="C29" i="18"/>
  <c r="D29" i="18"/>
  <c r="V29" i="18"/>
  <c r="L29" i="18"/>
  <c r="I29" i="18"/>
  <c r="H30" i="18"/>
  <c r="M30" i="18"/>
  <c r="N30" i="18"/>
  <c r="B30" i="18"/>
  <c r="C30" i="18"/>
  <c r="I30" i="18"/>
  <c r="R30" i="18"/>
  <c r="E30" i="18"/>
  <c r="V30" i="18"/>
  <c r="L30" i="18"/>
  <c r="G30" i="18"/>
  <c r="P30" i="18"/>
  <c r="Q30" i="18"/>
  <c r="D30" i="18"/>
  <c r="F30" i="18"/>
  <c r="K30" i="18"/>
  <c r="O30" i="18"/>
  <c r="S30" i="18"/>
  <c r="U30" i="18"/>
  <c r="J30" i="18"/>
  <c r="T30" i="18"/>
  <c r="K31" i="18"/>
  <c r="M31" i="18"/>
  <c r="F31" i="18"/>
  <c r="G31" i="18"/>
  <c r="O31" i="18"/>
  <c r="P31" i="18"/>
  <c r="Q31" i="18"/>
  <c r="R31" i="18"/>
  <c r="S31" i="18"/>
  <c r="B31" i="18"/>
  <c r="V31" i="18"/>
  <c r="L31" i="18"/>
  <c r="N31" i="18"/>
  <c r="D31" i="18"/>
  <c r="C31" i="18"/>
  <c r="U31" i="18"/>
  <c r="I31" i="18"/>
  <c r="J31" i="18"/>
  <c r="T31" i="18"/>
  <c r="E31" i="18"/>
  <c r="H31" i="18"/>
  <c r="C32" i="18"/>
  <c r="V32" i="18"/>
  <c r="D32" i="18"/>
  <c r="L32" i="18"/>
  <c r="E32" i="18"/>
  <c r="N32" i="18"/>
  <c r="F32" i="18"/>
  <c r="K32" i="18"/>
  <c r="H32" i="18"/>
  <c r="I32" i="18"/>
  <c r="J32" i="18"/>
  <c r="O32" i="18"/>
  <c r="Q32" i="18"/>
  <c r="S32" i="18"/>
  <c r="M32" i="18"/>
  <c r="G32" i="18"/>
  <c r="R32" i="18"/>
  <c r="T32" i="18"/>
  <c r="U32" i="18"/>
  <c r="P32" i="18"/>
  <c r="B32" i="18"/>
  <c r="K33" i="18"/>
  <c r="M33" i="18"/>
  <c r="N33" i="18"/>
  <c r="E33" i="18"/>
  <c r="O33" i="18"/>
  <c r="D33" i="18"/>
  <c r="P33" i="18"/>
  <c r="Q33" i="18"/>
  <c r="B33" i="18"/>
  <c r="T33" i="18"/>
  <c r="J33" i="18"/>
  <c r="I33" i="18"/>
  <c r="C33" i="18"/>
  <c r="L33" i="18"/>
  <c r="R33" i="18"/>
  <c r="S33" i="18"/>
  <c r="F33" i="18"/>
  <c r="G33" i="18"/>
  <c r="U33" i="18"/>
  <c r="H33" i="18"/>
  <c r="V33" i="18"/>
  <c r="L34" i="18"/>
  <c r="J34" i="18"/>
  <c r="N34" i="18"/>
  <c r="O34" i="18"/>
  <c r="M34" i="18"/>
  <c r="P34" i="18"/>
  <c r="G34" i="18"/>
  <c r="R34" i="18"/>
  <c r="C34" i="18"/>
  <c r="S34" i="18"/>
  <c r="E34" i="18"/>
  <c r="V34" i="18"/>
  <c r="K34" i="18"/>
  <c r="B34" i="18"/>
  <c r="D34" i="18"/>
  <c r="F34" i="18"/>
  <c r="I34" i="18"/>
  <c r="Q34" i="18"/>
  <c r="T34" i="18"/>
  <c r="U34" i="18"/>
  <c r="H34" i="18"/>
  <c r="H35" i="18"/>
  <c r="V35" i="18"/>
  <c r="L35" i="18"/>
  <c r="I35" i="18"/>
  <c r="M35" i="18"/>
  <c r="B35" i="18"/>
  <c r="C35" i="18"/>
  <c r="K35" i="18"/>
  <c r="Q35" i="18"/>
  <c r="S35" i="18"/>
  <c r="G35" i="18"/>
  <c r="J35" i="18"/>
  <c r="O35" i="18"/>
  <c r="P35" i="18"/>
  <c r="F35" i="18"/>
  <c r="N35" i="18"/>
  <c r="D35" i="18"/>
  <c r="R35" i="18"/>
  <c r="T35" i="18"/>
  <c r="U35" i="18"/>
  <c r="E35" i="18"/>
  <c r="N36" i="18"/>
  <c r="M36" i="18"/>
  <c r="G36" i="18"/>
  <c r="E36" i="18"/>
  <c r="H36" i="18"/>
  <c r="P36" i="18"/>
  <c r="Q36" i="18"/>
  <c r="J36" i="18"/>
  <c r="S36" i="18"/>
  <c r="K36" i="18"/>
  <c r="T36" i="18"/>
  <c r="L36" i="18"/>
  <c r="C36" i="18"/>
  <c r="F36" i="18"/>
  <c r="I36" i="18"/>
  <c r="D36" i="18"/>
  <c r="B36" i="18"/>
  <c r="R36" i="18"/>
  <c r="U36" i="18"/>
  <c r="O36" i="18"/>
  <c r="V36" i="18"/>
  <c r="M37" i="18"/>
  <c r="O37" i="18"/>
  <c r="B37" i="18"/>
  <c r="H37" i="18"/>
  <c r="C37" i="18"/>
  <c r="J37" i="18"/>
  <c r="G37" i="18"/>
  <c r="Q37" i="18"/>
  <c r="S37" i="18"/>
  <c r="F37" i="18"/>
  <c r="V37" i="18"/>
  <c r="E37" i="18"/>
  <c r="I37" i="18"/>
  <c r="K37" i="18"/>
  <c r="R37" i="18"/>
  <c r="T37" i="18"/>
  <c r="N37" i="18"/>
  <c r="P37" i="18"/>
  <c r="D37" i="18"/>
  <c r="U37" i="18"/>
  <c r="L37" i="18"/>
  <c r="P38" i="18"/>
  <c r="N38" i="18"/>
  <c r="G38" i="18"/>
  <c r="H38" i="18"/>
  <c r="O38" i="18"/>
  <c r="I38" i="18"/>
  <c r="D38" i="18"/>
  <c r="R38" i="18"/>
  <c r="Q38" i="18"/>
  <c r="K38" i="18"/>
  <c r="L38" i="18"/>
  <c r="U38" i="18"/>
  <c r="V38" i="18"/>
  <c r="C38" i="18"/>
  <c r="J38" i="18"/>
  <c r="T38" i="18"/>
  <c r="E38" i="18"/>
  <c r="M38" i="18"/>
  <c r="S38" i="18"/>
  <c r="F38" i="18"/>
  <c r="B38" i="18"/>
  <c r="AF272" i="20"/>
  <c r="H332" i="20"/>
  <c r="W272" i="20"/>
  <c r="U279" i="20" s="1"/>
  <c r="F34" i="23"/>
  <c r="P178" i="19"/>
  <c r="G38" i="12"/>
  <c r="H620" i="19" s="1"/>
  <c r="T620" i="19" s="1"/>
  <c r="P545" i="19"/>
  <c r="P544" i="19"/>
  <c r="I544" i="19" s="1"/>
  <c r="H721" i="19"/>
  <c r="T721" i="19" s="1"/>
  <c r="F683" i="19"/>
  <c r="R683" i="19" s="1"/>
  <c r="P397" i="19"/>
  <c r="P606" i="19"/>
  <c r="G25" i="12"/>
  <c r="H606" i="19" s="1"/>
  <c r="T606" i="19" s="1"/>
  <c r="I606" i="19" s="1"/>
  <c r="P797" i="19"/>
  <c r="P389" i="19"/>
  <c r="L389" i="19" s="1"/>
  <c r="K389" i="19" s="1"/>
  <c r="P453" i="19"/>
  <c r="P829" i="19"/>
  <c r="P555" i="19"/>
  <c r="F19" i="10"/>
  <c r="P619" i="19"/>
  <c r="G37" i="12"/>
  <c r="F695" i="19"/>
  <c r="R695" i="19" s="1"/>
  <c r="H733" i="19"/>
  <c r="T733" i="19" s="1"/>
  <c r="P860" i="19"/>
  <c r="P796" i="19"/>
  <c r="I9" i="14"/>
  <c r="P875" i="19"/>
  <c r="P811" i="19"/>
  <c r="P615" i="19"/>
  <c r="P614" i="19"/>
  <c r="H737" i="19"/>
  <c r="T737" i="19" s="1"/>
  <c r="F699" i="19"/>
  <c r="R699" i="19" s="1"/>
  <c r="G26" i="12"/>
  <c r="H607" i="19" s="1"/>
  <c r="T607" i="19" s="1"/>
  <c r="I607" i="19" s="1"/>
  <c r="H702" i="19"/>
  <c r="T702" i="19" s="1"/>
  <c r="J33" i="15"/>
  <c r="H778" i="19" s="1"/>
  <c r="T778" i="19" s="1"/>
  <c r="D24" i="7"/>
  <c r="G24" i="7" s="1"/>
  <c r="F382" i="19"/>
  <c r="R382" i="19" s="1"/>
  <c r="H708" i="19"/>
  <c r="T708" i="19" s="1"/>
  <c r="J39" i="15"/>
  <c r="H784" i="19" s="1"/>
  <c r="T784" i="19" s="1"/>
  <c r="H695" i="19"/>
  <c r="T695" i="19" s="1"/>
  <c r="J26" i="15"/>
  <c r="H771" i="19" s="1"/>
  <c r="T771" i="19" s="1"/>
  <c r="H701" i="19"/>
  <c r="T701" i="19" s="1"/>
  <c r="J32" i="15"/>
  <c r="H777" i="19" s="1"/>
  <c r="T777" i="19" s="1"/>
  <c r="P769" i="19"/>
  <c r="P841" i="19"/>
  <c r="I33" i="14"/>
  <c r="P729" i="19"/>
  <c r="P803" i="19"/>
  <c r="P794" i="19"/>
  <c r="F9" i="14"/>
  <c r="H794" i="19" s="1"/>
  <c r="I47" i="14"/>
  <c r="H699" i="19"/>
  <c r="T699" i="19" s="1"/>
  <c r="J30" i="15"/>
  <c r="H775" i="19" s="1"/>
  <c r="T775" i="19" s="1"/>
  <c r="F702" i="19"/>
  <c r="R702" i="19" s="1"/>
  <c r="H740" i="19"/>
  <c r="T740" i="19" s="1"/>
  <c r="F708" i="19"/>
  <c r="R708" i="19" s="1"/>
  <c r="H746" i="19"/>
  <c r="T746" i="19" s="1"/>
  <c r="J30" i="7"/>
  <c r="F701" i="19"/>
  <c r="R701" i="19" s="1"/>
  <c r="H739" i="19"/>
  <c r="D23" i="7"/>
  <c r="F381" i="19"/>
  <c r="R381" i="19" s="1"/>
  <c r="B30" i="9"/>
  <c r="B513" i="19" s="1"/>
  <c r="B507" i="19"/>
  <c r="B490" i="19"/>
  <c r="G30" i="9"/>
  <c r="F513" i="19" s="1"/>
  <c r="R513" i="19" s="1"/>
  <c r="P573" i="19"/>
  <c r="P835" i="19"/>
  <c r="P605" i="19"/>
  <c r="G24" i="12"/>
  <c r="H605" i="19" s="1"/>
  <c r="T605" i="19" s="1"/>
  <c r="P420" i="19"/>
  <c r="J15" i="7"/>
  <c r="F15" i="7"/>
  <c r="I15" i="7"/>
  <c r="G15" i="7"/>
  <c r="H707" i="19"/>
  <c r="T707" i="19" s="1"/>
  <c r="J38" i="15"/>
  <c r="H783" i="19" s="1"/>
  <c r="T783" i="19" s="1"/>
  <c r="J14" i="15"/>
  <c r="H759" i="19" s="1"/>
  <c r="T759" i="19" s="1"/>
  <c r="H683" i="19"/>
  <c r="T683" i="19" s="1"/>
  <c r="P823" i="19"/>
  <c r="I6" i="14"/>
  <c r="P452" i="19"/>
  <c r="D15" i="10"/>
  <c r="P590" i="19"/>
  <c r="F8" i="12"/>
  <c r="H37" i="7"/>
  <c r="H396" i="19" s="1"/>
  <c r="T396" i="19" s="1"/>
  <c r="F37" i="7"/>
  <c r="G37" i="7"/>
  <c r="J37" i="7"/>
  <c r="I37" i="7"/>
  <c r="D14" i="11"/>
  <c r="F575" i="19" s="1"/>
  <c r="R575" i="19" s="1"/>
  <c r="P810" i="19"/>
  <c r="P874" i="19"/>
  <c r="F707" i="19"/>
  <c r="R707" i="19" s="1"/>
  <c r="H745" i="19"/>
  <c r="T745" i="19" s="1"/>
  <c r="H704" i="19"/>
  <c r="T704" i="19" s="1"/>
  <c r="J35" i="15"/>
  <c r="H780" i="19" s="1"/>
  <c r="T780" i="19" s="1"/>
  <c r="G36" i="7"/>
  <c r="F36" i="7"/>
  <c r="J36" i="7"/>
  <c r="H36" i="7"/>
  <c r="H395" i="19" s="1"/>
  <c r="T395" i="19" s="1"/>
  <c r="I395" i="19" s="1"/>
  <c r="I36" i="7"/>
  <c r="P881" i="19"/>
  <c r="P817" i="19"/>
  <c r="P568" i="19"/>
  <c r="I37" i="15"/>
  <c r="H37" i="15"/>
  <c r="P621" i="19"/>
  <c r="G39" i="12"/>
  <c r="H621" i="19" s="1"/>
  <c r="T621" i="19" s="1"/>
  <c r="I621" i="19" s="1"/>
  <c r="J621" i="19" s="1"/>
  <c r="P714" i="19"/>
  <c r="G18" i="7"/>
  <c r="F18" i="7"/>
  <c r="J18" i="7"/>
  <c r="I18" i="7"/>
  <c r="P450" i="19"/>
  <c r="P603" i="19"/>
  <c r="G22" i="12"/>
  <c r="H603" i="19" s="1"/>
  <c r="T603" i="19" s="1"/>
  <c r="I31" i="7"/>
  <c r="J31" i="7"/>
  <c r="G31" i="7"/>
  <c r="F31" i="7"/>
  <c r="P398" i="19"/>
  <c r="P396" i="19"/>
  <c r="F682" i="19"/>
  <c r="R682" i="19" s="1"/>
  <c r="H720" i="19"/>
  <c r="T720" i="19" s="1"/>
  <c r="F704" i="19"/>
  <c r="R704" i="19" s="1"/>
  <c r="H742" i="19"/>
  <c r="T742" i="19" s="1"/>
  <c r="D7" i="7"/>
  <c r="D25" i="7"/>
  <c r="F35" i="8"/>
  <c r="H814" i="19"/>
  <c r="F50" i="14"/>
  <c r="T65" i="16"/>
  <c r="T67" i="16" s="1"/>
  <c r="P390" i="19"/>
  <c r="I390" i="19" s="1"/>
  <c r="H682" i="19"/>
  <c r="T682" i="19" s="1"/>
  <c r="J13" i="15"/>
  <c r="H758" i="19" s="1"/>
  <c r="T758" i="19" s="1"/>
  <c r="H722" i="19"/>
  <c r="T722" i="19" s="1"/>
  <c r="F684" i="19"/>
  <c r="R684" i="19" s="1"/>
  <c r="H656" i="19"/>
  <c r="T656" i="19" s="1"/>
  <c r="I656" i="19" s="1"/>
  <c r="F693" i="19"/>
  <c r="R693" i="19" s="1"/>
  <c r="I693" i="19" s="1"/>
  <c r="I7" i="14"/>
  <c r="P825" i="19"/>
  <c r="I8" i="14"/>
  <c r="H25" i="15"/>
  <c r="H694" i="19" s="1"/>
  <c r="T694" i="19" s="1"/>
  <c r="I25" i="15"/>
  <c r="H734" i="19"/>
  <c r="F696" i="19"/>
  <c r="R696" i="19" s="1"/>
  <c r="H684" i="19"/>
  <c r="T684" i="19" s="1"/>
  <c r="J15" i="15"/>
  <c r="H760" i="19" s="1"/>
  <c r="T760" i="19" s="1"/>
  <c r="F16" i="8"/>
  <c r="E17" i="8"/>
  <c r="F17" i="8" s="1"/>
  <c r="P548" i="19"/>
  <c r="P449" i="19"/>
  <c r="H800" i="19"/>
  <c r="F27" i="14"/>
  <c r="H805" i="19" s="1"/>
  <c r="T805" i="19" s="1"/>
  <c r="P604" i="19"/>
  <c r="F44" i="16"/>
  <c r="F45" i="16" s="1"/>
  <c r="F11" i="15"/>
  <c r="F12" i="15"/>
  <c r="P903" i="19"/>
  <c r="H653" i="19"/>
  <c r="T653" i="19" s="1"/>
  <c r="L653" i="19" s="1"/>
  <c r="K653" i="19" s="1"/>
  <c r="F38" i="7"/>
  <c r="G38" i="7"/>
  <c r="J38" i="7"/>
  <c r="I38" i="7"/>
  <c r="H38" i="7"/>
  <c r="H397" i="19" s="1"/>
  <c r="T397" i="19" s="1"/>
  <c r="P591" i="19"/>
  <c r="P602" i="19"/>
  <c r="P800" i="19"/>
  <c r="P451" i="19"/>
  <c r="P616" i="19"/>
  <c r="P421" i="19"/>
  <c r="P418" i="19"/>
  <c r="P176" i="19"/>
  <c r="P419" i="19"/>
  <c r="P808" i="19"/>
  <c r="P915" i="19"/>
  <c r="P814" i="19"/>
  <c r="P721" i="19"/>
  <c r="P423" i="19"/>
  <c r="P807" i="19"/>
  <c r="P722" i="19"/>
  <c r="P388" i="19"/>
  <c r="L574" i="19" l="1"/>
  <c r="K574" i="19" s="1"/>
  <c r="I603" i="19"/>
  <c r="J603" i="19" s="1"/>
  <c r="I397" i="19"/>
  <c r="J607" i="19"/>
  <c r="AJ279" i="20"/>
  <c r="L791" i="19"/>
  <c r="K791" i="19" s="1"/>
  <c r="F812" i="19"/>
  <c r="R812" i="19" s="1"/>
  <c r="J656" i="19"/>
  <c r="J791" i="19"/>
  <c r="I605" i="19"/>
  <c r="J605" i="19" s="1"/>
  <c r="L395" i="19"/>
  <c r="K395" i="19" s="1"/>
  <c r="J29" i="15"/>
  <c r="H774" i="19" s="1"/>
  <c r="T774" i="19" s="1"/>
  <c r="H698" i="19"/>
  <c r="F15" i="10"/>
  <c r="H551" i="19"/>
  <c r="T551" i="19" s="1"/>
  <c r="F9" i="12"/>
  <c r="D21" i="12"/>
  <c r="D20" i="12"/>
  <c r="G20" i="12" s="1"/>
  <c r="H590" i="19"/>
  <c r="T590" i="19" s="1"/>
  <c r="I590" i="19" s="1"/>
  <c r="J590" i="19" s="1"/>
  <c r="L811" i="19"/>
  <c r="K811" i="19" s="1"/>
  <c r="I811" i="19"/>
  <c r="J811" i="19"/>
  <c r="I722" i="19"/>
  <c r="L722" i="19"/>
  <c r="K722" i="19" s="1"/>
  <c r="J722" i="19"/>
  <c r="I176" i="19"/>
  <c r="J176" i="19" s="1"/>
  <c r="L176" i="19"/>
  <c r="K176" i="19" s="1"/>
  <c r="E57" i="7"/>
  <c r="L621" i="19"/>
  <c r="K621" i="19" s="1"/>
  <c r="L835" i="19"/>
  <c r="K835" i="19" s="1"/>
  <c r="J835" i="19"/>
  <c r="I835" i="19"/>
  <c r="I803" i="19"/>
  <c r="L803" i="19"/>
  <c r="K803" i="19" s="1"/>
  <c r="J803" i="19"/>
  <c r="L796" i="19"/>
  <c r="K796" i="19" s="1"/>
  <c r="I796" i="19"/>
  <c r="J796" i="19"/>
  <c r="I178" i="19"/>
  <c r="J178" i="19"/>
  <c r="L178" i="19"/>
  <c r="K178" i="19" s="1"/>
  <c r="G12" i="24"/>
  <c r="I49" i="24"/>
  <c r="H146" i="19" s="1"/>
  <c r="T146" i="19" s="1"/>
  <c r="L656" i="19"/>
  <c r="K656" i="19" s="1"/>
  <c r="H812" i="19"/>
  <c r="T812" i="19" s="1"/>
  <c r="H448" i="19"/>
  <c r="T448" i="19" s="1"/>
  <c r="I73" i="19"/>
  <c r="J73" i="19" s="1"/>
  <c r="L73" i="19"/>
  <c r="K73" i="19" s="1"/>
  <c r="L807" i="19"/>
  <c r="K807" i="19" s="1"/>
  <c r="I807" i="19"/>
  <c r="J807" i="19"/>
  <c r="G23" i="12"/>
  <c r="H604" i="19" s="1"/>
  <c r="T604" i="19" s="1"/>
  <c r="I604" i="19" s="1"/>
  <c r="J604" i="19" s="1"/>
  <c r="F34" i="16"/>
  <c r="F51" i="16" s="1"/>
  <c r="I729" i="19"/>
  <c r="L729" i="19"/>
  <c r="K729" i="19" s="1"/>
  <c r="J729" i="19"/>
  <c r="I860" i="19"/>
  <c r="L860" i="19"/>
  <c r="K860" i="19" s="1"/>
  <c r="J860" i="19"/>
  <c r="J797" i="19"/>
  <c r="L797" i="19"/>
  <c r="K797" i="19" s="1"/>
  <c r="I797" i="19"/>
  <c r="H736" i="19"/>
  <c r="T736" i="19" s="1"/>
  <c r="F698" i="19"/>
  <c r="R698" i="19" s="1"/>
  <c r="J33" i="14"/>
  <c r="H873" i="19" s="1"/>
  <c r="T873" i="19" s="1"/>
  <c r="H841" i="19"/>
  <c r="L603" i="19"/>
  <c r="K603" i="19" s="1"/>
  <c r="L874" i="19"/>
  <c r="K874" i="19" s="1"/>
  <c r="J874" i="19"/>
  <c r="I874" i="19"/>
  <c r="L590" i="19"/>
  <c r="K590" i="19" s="1"/>
  <c r="L606" i="19"/>
  <c r="K606" i="19" s="1"/>
  <c r="J606" i="19"/>
  <c r="I868" i="19"/>
  <c r="L868" i="19"/>
  <c r="K868" i="19" s="1"/>
  <c r="J868" i="19"/>
  <c r="H735" i="19"/>
  <c r="T735" i="19" s="1"/>
  <c r="F697" i="19"/>
  <c r="R697" i="19" s="1"/>
  <c r="I572" i="19"/>
  <c r="J572" i="19" s="1"/>
  <c r="L572" i="19"/>
  <c r="K572" i="19" s="1"/>
  <c r="F772" i="19"/>
  <c r="R772" i="19" s="1"/>
  <c r="T734" i="19"/>
  <c r="L568" i="19"/>
  <c r="K568" i="19" s="1"/>
  <c r="I568" i="19"/>
  <c r="J568" i="19" s="1"/>
  <c r="F805" i="19"/>
  <c r="R805" i="19" s="1"/>
  <c r="T800" i="19"/>
  <c r="J800" i="19" s="1"/>
  <c r="L817" i="19"/>
  <c r="K817" i="19" s="1"/>
  <c r="J817" i="19"/>
  <c r="I817" i="19"/>
  <c r="I810" i="19"/>
  <c r="J810" i="19"/>
  <c r="L810" i="19"/>
  <c r="K810" i="19" s="1"/>
  <c r="L769" i="19"/>
  <c r="K769" i="19" s="1"/>
  <c r="J769" i="19"/>
  <c r="I769" i="19"/>
  <c r="J397" i="19"/>
  <c r="L397" i="19"/>
  <c r="K397" i="19" s="1"/>
  <c r="J836" i="19"/>
  <c r="L836" i="19"/>
  <c r="K836" i="19" s="1"/>
  <c r="I836" i="19"/>
  <c r="H28" i="15"/>
  <c r="F13" i="14"/>
  <c r="G16" i="12"/>
  <c r="G21" i="12"/>
  <c r="H602" i="19" s="1"/>
  <c r="T602" i="19" s="1"/>
  <c r="L602" i="19" s="1"/>
  <c r="K602" i="19" s="1"/>
  <c r="I881" i="19"/>
  <c r="J881" i="19"/>
  <c r="L881" i="19"/>
  <c r="K881" i="19" s="1"/>
  <c r="H573" i="19"/>
  <c r="T573" i="19" s="1"/>
  <c r="I573" i="19" s="1"/>
  <c r="F14" i="11"/>
  <c r="F16" i="11" s="1"/>
  <c r="F584" i="19" s="1"/>
  <c r="G40" i="12"/>
  <c r="H619" i="19"/>
  <c r="J882" i="19"/>
  <c r="L882" i="19"/>
  <c r="K882" i="19" s="1"/>
  <c r="I882" i="19"/>
  <c r="D9" i="10"/>
  <c r="F552" i="19"/>
  <c r="R552" i="19" s="1"/>
  <c r="C12" i="10"/>
  <c r="I21" i="15"/>
  <c r="H548" i="19"/>
  <c r="T548" i="19" s="1"/>
  <c r="I548" i="19" s="1"/>
  <c r="F12" i="10"/>
  <c r="H580" i="19"/>
  <c r="T580" i="19" s="1"/>
  <c r="F581" i="19"/>
  <c r="R581" i="19" s="1"/>
  <c r="F21" i="11"/>
  <c r="F585" i="19" s="1"/>
  <c r="L604" i="19"/>
  <c r="K604" i="19" s="1"/>
  <c r="L390" i="19"/>
  <c r="K390" i="19" s="1"/>
  <c r="J390" i="19"/>
  <c r="J396" i="19"/>
  <c r="L396" i="19"/>
  <c r="K396" i="19" s="1"/>
  <c r="F14" i="10"/>
  <c r="H550" i="19"/>
  <c r="T550" i="19" s="1"/>
  <c r="T705" i="19"/>
  <c r="F781" i="19"/>
  <c r="R781" i="19" s="1"/>
  <c r="I781" i="19" s="1"/>
  <c r="J781" i="19" s="1"/>
  <c r="I721" i="19"/>
  <c r="L721" i="19"/>
  <c r="K721" i="19" s="1"/>
  <c r="J721" i="19"/>
  <c r="J8" i="14"/>
  <c r="H857" i="19" s="1"/>
  <c r="T857" i="19" s="1"/>
  <c r="H825" i="19"/>
  <c r="J398" i="19"/>
  <c r="L398" i="19"/>
  <c r="K398" i="19" s="1"/>
  <c r="E14" i="8"/>
  <c r="F14" i="8" s="1"/>
  <c r="F13" i="8"/>
  <c r="H555" i="19"/>
  <c r="T555" i="19" s="1"/>
  <c r="L555" i="19" s="1"/>
  <c r="K555" i="19" s="1"/>
  <c r="J653" i="19"/>
  <c r="J544" i="19"/>
  <c r="L544" i="19"/>
  <c r="K544" i="19" s="1"/>
  <c r="L866" i="19"/>
  <c r="K866" i="19" s="1"/>
  <c r="J866" i="19"/>
  <c r="I866" i="19"/>
  <c r="I653" i="19"/>
  <c r="F13" i="10"/>
  <c r="H549" i="19"/>
  <c r="T549" i="19" s="1"/>
  <c r="H615" i="19"/>
  <c r="H34" i="12"/>
  <c r="H616" i="19" s="1"/>
  <c r="T616" i="19" s="1"/>
  <c r="J616" i="19" s="1"/>
  <c r="I398" i="19"/>
  <c r="F20" i="10"/>
  <c r="H557" i="19" s="1"/>
  <c r="T557" i="19" s="1"/>
  <c r="R557" i="19"/>
  <c r="H556" i="19"/>
  <c r="T556" i="19" s="1"/>
  <c r="T614" i="19"/>
  <c r="I614" i="19" s="1"/>
  <c r="J614" i="19" s="1"/>
  <c r="F615" i="19"/>
  <c r="R615" i="19" s="1"/>
  <c r="H819" i="19"/>
  <c r="T819" i="19" s="1"/>
  <c r="D12" i="15"/>
  <c r="G12" i="15" s="1"/>
  <c r="H645" i="19" s="1"/>
  <c r="T645" i="19" s="1"/>
  <c r="F37" i="16"/>
  <c r="H916" i="19" s="1"/>
  <c r="T916" i="19" s="1"/>
  <c r="I808" i="19"/>
  <c r="J808" i="19"/>
  <c r="L808" i="19"/>
  <c r="K808" i="19" s="1"/>
  <c r="J7" i="14"/>
  <c r="H856" i="19" s="1"/>
  <c r="T856" i="19" s="1"/>
  <c r="H824" i="19"/>
  <c r="F819" i="19"/>
  <c r="R819" i="19" s="1"/>
  <c r="T814" i="19"/>
  <c r="J814" i="19" s="1"/>
  <c r="L714" i="19"/>
  <c r="K714" i="19" s="1"/>
  <c r="J714" i="19"/>
  <c r="I714" i="19"/>
  <c r="I396" i="19"/>
  <c r="L605" i="19"/>
  <c r="K605" i="19" s="1"/>
  <c r="F777" i="19"/>
  <c r="R777" i="19" s="1"/>
  <c r="T739" i="19"/>
  <c r="F798" i="19"/>
  <c r="R798" i="19" s="1"/>
  <c r="T794" i="19"/>
  <c r="I794" i="19" s="1"/>
  <c r="L875" i="19"/>
  <c r="K875" i="19" s="1"/>
  <c r="J875" i="19"/>
  <c r="I875" i="19"/>
  <c r="J829" i="19"/>
  <c r="I829" i="19"/>
  <c r="L829" i="19"/>
  <c r="K829" i="19" s="1"/>
  <c r="L607" i="19"/>
  <c r="K607" i="19" s="1"/>
  <c r="J395" i="19"/>
  <c r="I389" i="19"/>
  <c r="J389" i="19" s="1"/>
  <c r="U337" i="20"/>
  <c r="H915" i="19"/>
  <c r="T915" i="19" s="1"/>
  <c r="X58" i="16"/>
  <c r="X61" i="16" s="1"/>
  <c r="F109" i="16"/>
  <c r="C12" i="15"/>
  <c r="D11" i="15"/>
  <c r="G11" i="15" s="1"/>
  <c r="H644" i="19" s="1"/>
  <c r="T644" i="19" s="1"/>
  <c r="F24" i="16"/>
  <c r="H908" i="19" s="1"/>
  <c r="L903" i="19"/>
  <c r="I903" i="19"/>
  <c r="J903" i="19" s="1"/>
  <c r="F760" i="19"/>
  <c r="R760" i="19" s="1"/>
  <c r="Z8" i="18"/>
  <c r="AE276" i="20" s="1"/>
  <c r="G25" i="7"/>
  <c r="P857" i="19"/>
  <c r="P873" i="19"/>
  <c r="P867" i="19"/>
  <c r="P855" i="19"/>
  <c r="P185" i="19"/>
  <c r="P78" i="19"/>
  <c r="C10" i="23"/>
  <c r="C34" i="23"/>
  <c r="F43" i="23" s="1"/>
  <c r="B34" i="23"/>
  <c r="B10" i="23"/>
  <c r="H333" i="20"/>
  <c r="W273" i="20"/>
  <c r="AF273" i="20"/>
  <c r="T328" i="20"/>
  <c r="P301" i="20"/>
  <c r="P306" i="20"/>
  <c r="P305" i="20"/>
  <c r="Q290" i="20"/>
  <c r="Q323" i="20"/>
  <c r="P313" i="20"/>
  <c r="Q294" i="20"/>
  <c r="Q283" i="20"/>
  <c r="T306" i="20"/>
  <c r="T305" i="20"/>
  <c r="Q279" i="20"/>
  <c r="P317" i="20"/>
  <c r="Q302" i="20"/>
  <c r="Q307" i="20"/>
  <c r="T313" i="20"/>
  <c r="P312" i="20"/>
  <c r="Q297" i="20"/>
  <c r="Q306" i="20"/>
  <c r="Q287" i="20"/>
  <c r="T294" i="20"/>
  <c r="P316" i="20"/>
  <c r="Q301" i="20"/>
  <c r="Q327" i="20"/>
  <c r="T284" i="20"/>
  <c r="P324" i="20"/>
  <c r="Q309" i="20"/>
  <c r="P287" i="20"/>
  <c r="Q299" i="20"/>
  <c r="T292" i="20"/>
  <c r="P328" i="20"/>
  <c r="Q313" i="20"/>
  <c r="P291" i="20"/>
  <c r="Q319" i="20"/>
  <c r="Q320" i="20"/>
  <c r="T316" i="20"/>
  <c r="Q308" i="20"/>
  <c r="P299" i="20"/>
  <c r="Q291" i="20"/>
  <c r="P294" i="20"/>
  <c r="T298" i="20"/>
  <c r="Q312" i="20"/>
  <c r="P290" i="20"/>
  <c r="P303" i="20"/>
  <c r="T283" i="20"/>
  <c r="Q324" i="20"/>
  <c r="P302" i="20"/>
  <c r="T310" i="20"/>
  <c r="T301" i="20"/>
  <c r="T309" i="20"/>
  <c r="T317" i="20"/>
  <c r="P308" i="20"/>
  <c r="P309" i="20"/>
  <c r="T285" i="20"/>
  <c r="T315" i="20"/>
  <c r="T323" i="20"/>
  <c r="T280" i="20"/>
  <c r="P300" i="20"/>
  <c r="P304" i="20"/>
  <c r="Q304" i="20"/>
  <c r="Q305" i="20"/>
  <c r="T299" i="20"/>
  <c r="P288" i="20"/>
  <c r="P292" i="20"/>
  <c r="P296" i="20"/>
  <c r="Q296" i="20"/>
  <c r="Q300" i="20"/>
  <c r="P297" i="20"/>
  <c r="P298" i="20"/>
  <c r="P284" i="20"/>
  <c r="Q284" i="20"/>
  <c r="Q288" i="20"/>
  <c r="Q292" i="20"/>
  <c r="P289" i="20"/>
  <c r="P293" i="20"/>
  <c r="Q293" i="20"/>
  <c r="Q298" i="20"/>
  <c r="T320" i="20"/>
  <c r="Q280" i="20"/>
  <c r="AF274" i="20"/>
  <c r="AC294" i="20" s="1"/>
  <c r="P281" i="20"/>
  <c r="P285" i="20"/>
  <c r="Q285" i="20"/>
  <c r="Q289" i="20"/>
  <c r="P286" i="20"/>
  <c r="P295" i="20"/>
  <c r="T288" i="20"/>
  <c r="Q328" i="20"/>
  <c r="P329" i="20"/>
  <c r="Q281" i="20"/>
  <c r="P326" i="20"/>
  <c r="Q286" i="20"/>
  <c r="T307" i="20"/>
  <c r="T286" i="20"/>
  <c r="P325" i="20"/>
  <c r="P282" i="20"/>
  <c r="P321" i="20"/>
  <c r="Q321" i="20"/>
  <c r="Q325" i="20"/>
  <c r="Q329" i="20"/>
  <c r="Q326" i="20"/>
  <c r="Q282" i="20"/>
  <c r="P283" i="20"/>
  <c r="T322" i="20"/>
  <c r="Q317" i="20"/>
  <c r="P314" i="20"/>
  <c r="P318" i="20"/>
  <c r="P322" i="20"/>
  <c r="P323" i="20"/>
  <c r="Q315" i="20"/>
  <c r="T321" i="20"/>
  <c r="T290" i="20"/>
  <c r="T297" i="20"/>
  <c r="P310" i="20"/>
  <c r="Q314" i="20"/>
  <c r="Q318" i="20"/>
  <c r="Q322" i="20"/>
  <c r="Q295" i="20"/>
  <c r="T289" i="20"/>
  <c r="T300" i="20"/>
  <c r="Q311" i="20"/>
  <c r="T325" i="20"/>
  <c r="T304" i="20"/>
  <c r="T318" i="20"/>
  <c r="T302" i="20"/>
  <c r="Q310" i="20"/>
  <c r="P311" i="20"/>
  <c r="P315" i="20"/>
  <c r="P319" i="20"/>
  <c r="T281" i="20"/>
  <c r="T319" i="20"/>
  <c r="T314" i="20"/>
  <c r="T293" i="20"/>
  <c r="T324" i="20"/>
  <c r="P307" i="20"/>
  <c r="Q303" i="20"/>
  <c r="P327" i="20"/>
  <c r="T303" i="20"/>
  <c r="T311" i="20"/>
  <c r="T282" i="20"/>
  <c r="P320" i="20"/>
  <c r="T308" i="20"/>
  <c r="T291" i="20"/>
  <c r="T326" i="20"/>
  <c r="T279" i="20"/>
  <c r="T287" i="20"/>
  <c r="W274" i="20"/>
  <c r="H334" i="20"/>
  <c r="T312" i="20"/>
  <c r="Q316" i="20"/>
  <c r="T327" i="20"/>
  <c r="T296" i="20"/>
  <c r="T295" i="20"/>
  <c r="P184" i="19"/>
  <c r="P177" i="19"/>
  <c r="AD279" i="20"/>
  <c r="AH279" i="20"/>
  <c r="D10" i="23"/>
  <c r="D34" i="23"/>
  <c r="P754" i="19"/>
  <c r="P752" i="19"/>
  <c r="P848" i="19"/>
  <c r="P880" i="19"/>
  <c r="F784" i="19"/>
  <c r="R784" i="19" s="1"/>
  <c r="B474" i="19"/>
  <c r="H423" i="19"/>
  <c r="T423" i="19" s="1"/>
  <c r="J423" i="19" s="1"/>
  <c r="H848" i="19"/>
  <c r="T848" i="19" s="1"/>
  <c r="J47" i="14"/>
  <c r="H880" i="19" s="1"/>
  <c r="T880" i="19" s="1"/>
  <c r="P861" i="19"/>
  <c r="P579" i="19"/>
  <c r="L579" i="19" s="1"/>
  <c r="K579" i="19" s="1"/>
  <c r="I22" i="14"/>
  <c r="J6" i="14"/>
  <c r="H823" i="19"/>
  <c r="T823" i="19" s="1"/>
  <c r="L823" i="19" s="1"/>
  <c r="K823" i="19" s="1"/>
  <c r="P795" i="19"/>
  <c r="J25" i="15"/>
  <c r="H770" i="19" s="1"/>
  <c r="T770" i="19" s="1"/>
  <c r="H732" i="19"/>
  <c r="F694" i="19"/>
  <c r="R694" i="19" s="1"/>
  <c r="P448" i="19"/>
  <c r="B444" i="19"/>
  <c r="J24" i="7"/>
  <c r="H24" i="7"/>
  <c r="H382" i="19" s="1"/>
  <c r="T382" i="19" s="1"/>
  <c r="F24" i="7"/>
  <c r="P678" i="19"/>
  <c r="I31" i="14"/>
  <c r="P759" i="19"/>
  <c r="P683" i="19"/>
  <c r="I683" i="19" s="1"/>
  <c r="P394" i="19"/>
  <c r="P596" i="19"/>
  <c r="B506" i="19"/>
  <c r="B489" i="19"/>
  <c r="B29" i="9"/>
  <c r="B512" i="19" s="1"/>
  <c r="P373" i="19"/>
  <c r="I25" i="7"/>
  <c r="F35" i="7"/>
  <c r="J35" i="7"/>
  <c r="G35" i="7"/>
  <c r="I35" i="7"/>
  <c r="H35" i="7"/>
  <c r="H394" i="19" s="1"/>
  <c r="T394" i="19" s="1"/>
  <c r="J25" i="7"/>
  <c r="H25" i="7"/>
  <c r="H383" i="19" s="1"/>
  <c r="T383" i="19" s="1"/>
  <c r="F25" i="7"/>
  <c r="F778" i="19"/>
  <c r="R778" i="19" s="1"/>
  <c r="E11" i="8"/>
  <c r="F11" i="8" s="1"/>
  <c r="H6" i="8"/>
  <c r="F10" i="8"/>
  <c r="P856" i="19"/>
  <c r="P824" i="19"/>
  <c r="D8" i="7"/>
  <c r="H373" i="19"/>
  <c r="T373" i="19" s="1"/>
  <c r="F783" i="19"/>
  <c r="R783" i="19" s="1"/>
  <c r="H826" i="19"/>
  <c r="J9" i="14"/>
  <c r="H858" i="19" s="1"/>
  <c r="T858" i="19" s="1"/>
  <c r="I24" i="7"/>
  <c r="H422" i="19"/>
  <c r="T422" i="19" s="1"/>
  <c r="I10" i="14"/>
  <c r="I13" i="14" s="1"/>
  <c r="H830" i="19" s="1"/>
  <c r="T830" i="19" s="1"/>
  <c r="E36" i="8"/>
  <c r="F36" i="8" s="1"/>
  <c r="H31" i="8"/>
  <c r="F758" i="19"/>
  <c r="R758" i="19" s="1"/>
  <c r="F38" i="8"/>
  <c r="E39" i="8"/>
  <c r="F39" i="8" s="1"/>
  <c r="P716" i="19"/>
  <c r="P550" i="19"/>
  <c r="L550" i="19" s="1"/>
  <c r="K550" i="19" s="1"/>
  <c r="F759" i="19"/>
  <c r="R759" i="19" s="1"/>
  <c r="F383" i="19"/>
  <c r="R383" i="19" s="1"/>
  <c r="P858" i="19"/>
  <c r="P826" i="19"/>
  <c r="P840" i="19"/>
  <c r="I32" i="14"/>
  <c r="P691" i="19"/>
  <c r="P767" i="19"/>
  <c r="P760" i="19"/>
  <c r="P684" i="19"/>
  <c r="I684" i="19" s="1"/>
  <c r="V394" i="20"/>
  <c r="V396" i="20"/>
  <c r="P549" i="19"/>
  <c r="P551" i="19"/>
  <c r="L551" i="19" s="1"/>
  <c r="K551" i="19" s="1"/>
  <c r="F775" i="19"/>
  <c r="R775" i="19" s="1"/>
  <c r="P620" i="19"/>
  <c r="L620" i="19" s="1"/>
  <c r="K620" i="19" s="1"/>
  <c r="I45" i="14"/>
  <c r="P557" i="19"/>
  <c r="P847" i="19"/>
  <c r="I46" i="14"/>
  <c r="E42" i="8"/>
  <c r="F42" i="8" s="1"/>
  <c r="F41" i="8"/>
  <c r="H29" i="7"/>
  <c r="F23" i="7"/>
  <c r="F29" i="7" s="1"/>
  <c r="G23" i="7"/>
  <c r="J23" i="7"/>
  <c r="J29" i="7" s="1"/>
  <c r="I23" i="7"/>
  <c r="H23" i="7"/>
  <c r="P815" i="19"/>
  <c r="J37" i="15"/>
  <c r="H782" i="19" s="1"/>
  <c r="T782" i="19" s="1"/>
  <c r="H706" i="19"/>
  <c r="P833" i="19"/>
  <c r="P865" i="19"/>
  <c r="F706" i="19"/>
  <c r="R706" i="19" s="1"/>
  <c r="H744" i="19"/>
  <c r="T744" i="19" s="1"/>
  <c r="F780" i="19"/>
  <c r="R780" i="19" s="1"/>
  <c r="P571" i="19"/>
  <c r="F771" i="19"/>
  <c r="R771" i="19" s="1"/>
  <c r="P739" i="19"/>
  <c r="P701" i="19"/>
  <c r="P740" i="19"/>
  <c r="P183" i="19"/>
  <c r="P694" i="19"/>
  <c r="J694" i="19" s="1"/>
  <c r="P732" i="19"/>
  <c r="P645" i="19"/>
  <c r="P708" i="19"/>
  <c r="P746" i="19"/>
  <c r="P784" i="19"/>
  <c r="I784" i="19" s="1"/>
  <c r="P742" i="19"/>
  <c r="P704" i="19"/>
  <c r="P734" i="19"/>
  <c r="P736" i="19"/>
  <c r="P706" i="19"/>
  <c r="P744" i="19"/>
  <c r="P741" i="19"/>
  <c r="P735" i="19"/>
  <c r="P697" i="19"/>
  <c r="P745" i="19"/>
  <c r="P737" i="19"/>
  <c r="P699" i="19"/>
  <c r="P775" i="19"/>
  <c r="P720" i="19"/>
  <c r="P733" i="19"/>
  <c r="P738" i="19"/>
  <c r="F21" i="10" l="1"/>
  <c r="F562" i="19" s="1"/>
  <c r="R562" i="19" s="1"/>
  <c r="AC387" i="20"/>
  <c r="AC383" i="20"/>
  <c r="AC379" i="20"/>
  <c r="AC375" i="20"/>
  <c r="AC371" i="20"/>
  <c r="AC367" i="20"/>
  <c r="AC363" i="20"/>
  <c r="AC359" i="20"/>
  <c r="AC355" i="20"/>
  <c r="AC376" i="20"/>
  <c r="AB387" i="20"/>
  <c r="AB383" i="20"/>
  <c r="AB379" i="20"/>
  <c r="AB375" i="20"/>
  <c r="AB371" i="20"/>
  <c r="AB367" i="20"/>
  <c r="AB363" i="20"/>
  <c r="AB359" i="20"/>
  <c r="AB355" i="20"/>
  <c r="AB353" i="20"/>
  <c r="AA353" i="20"/>
  <c r="AC372" i="20"/>
  <c r="AB364" i="20"/>
  <c r="AA387" i="20"/>
  <c r="AA383" i="20"/>
  <c r="AA379" i="20"/>
  <c r="AA375" i="20"/>
  <c r="AA371" i="20"/>
  <c r="AA367" i="20"/>
  <c r="AA363" i="20"/>
  <c r="AA359" i="20"/>
  <c r="AA355" i="20"/>
  <c r="AA373" i="20"/>
  <c r="AB384" i="20"/>
  <c r="AC386" i="20"/>
  <c r="AC382" i="20"/>
  <c r="AC378" i="20"/>
  <c r="AC374" i="20"/>
  <c r="AC370" i="20"/>
  <c r="AC366" i="20"/>
  <c r="AC362" i="20"/>
  <c r="AC358" i="20"/>
  <c r="AC354" i="20"/>
  <c r="AB354" i="20"/>
  <c r="AA365" i="20"/>
  <c r="AB380" i="20"/>
  <c r="AB386" i="20"/>
  <c r="AB382" i="20"/>
  <c r="AB378" i="20"/>
  <c r="AB374" i="20"/>
  <c r="AB370" i="20"/>
  <c r="AB366" i="20"/>
  <c r="AB362" i="20"/>
  <c r="AB358" i="20"/>
  <c r="AA361" i="20"/>
  <c r="AA386" i="20"/>
  <c r="AA382" i="20"/>
  <c r="AA378" i="20"/>
  <c r="AA374" i="20"/>
  <c r="AA370" i="20"/>
  <c r="AA366" i="20"/>
  <c r="AA362" i="20"/>
  <c r="AA358" i="20"/>
  <c r="AA354" i="20"/>
  <c r="AC368" i="20"/>
  <c r="AB360" i="20"/>
  <c r="AC385" i="20"/>
  <c r="AC381" i="20"/>
  <c r="AC377" i="20"/>
  <c r="AC373" i="20"/>
  <c r="AC369" i="20"/>
  <c r="AC365" i="20"/>
  <c r="AC361" i="20"/>
  <c r="AC357" i="20"/>
  <c r="AC353" i="20"/>
  <c r="AA357" i="20"/>
  <c r="AC360" i="20"/>
  <c r="AB376" i="20"/>
  <c r="AB385" i="20"/>
  <c r="AB381" i="20"/>
  <c r="AB377" i="20"/>
  <c r="AB373" i="20"/>
  <c r="AB369" i="20"/>
  <c r="AB365" i="20"/>
  <c r="AB361" i="20"/>
  <c r="AB357" i="20"/>
  <c r="AC356" i="20"/>
  <c r="AB368" i="20"/>
  <c r="AA385" i="20"/>
  <c r="AA381" i="20"/>
  <c r="AA377" i="20"/>
  <c r="AA369" i="20"/>
  <c r="AB372" i="20"/>
  <c r="AC384" i="20"/>
  <c r="AC380" i="20"/>
  <c r="AC364" i="20"/>
  <c r="AB356" i="20"/>
  <c r="AA384" i="20"/>
  <c r="AA380" i="20"/>
  <c r="AA376" i="20"/>
  <c r="AA372" i="20"/>
  <c r="AA368" i="20"/>
  <c r="AA364" i="20"/>
  <c r="AA360" i="20"/>
  <c r="AA356" i="20"/>
  <c r="I373" i="19"/>
  <c r="J548" i="19"/>
  <c r="F81" i="16"/>
  <c r="F115" i="16" s="1"/>
  <c r="I12" i="15" s="1"/>
  <c r="H926" i="19"/>
  <c r="F111" i="16"/>
  <c r="Z337" i="20"/>
  <c r="I823" i="19"/>
  <c r="G34" i="23"/>
  <c r="L548" i="19"/>
  <c r="K548" i="19" s="1"/>
  <c r="I423" i="19"/>
  <c r="L857" i="19"/>
  <c r="K857" i="19" s="1"/>
  <c r="I880" i="19"/>
  <c r="I549" i="19"/>
  <c r="J549" i="19" s="1"/>
  <c r="V276" i="20"/>
  <c r="O276" i="20" s="1"/>
  <c r="F558" i="19"/>
  <c r="R558" i="19" s="1"/>
  <c r="F24" i="11"/>
  <c r="R584" i="19"/>
  <c r="H575" i="19"/>
  <c r="T575" i="19" s="1"/>
  <c r="C11" i="15"/>
  <c r="T69" i="16"/>
  <c r="P109" i="16"/>
  <c r="F931" i="19"/>
  <c r="R931" i="19" s="1"/>
  <c r="J699" i="19"/>
  <c r="L699" i="19"/>
  <c r="K699" i="19" s="1"/>
  <c r="H545" i="19"/>
  <c r="T545" i="19" s="1"/>
  <c r="H21" i="15"/>
  <c r="H388" i="19"/>
  <c r="T388" i="19" s="1"/>
  <c r="I720" i="19"/>
  <c r="J720" i="19"/>
  <c r="L720" i="19"/>
  <c r="K720" i="19" s="1"/>
  <c r="L704" i="19"/>
  <c r="K704" i="19" s="1"/>
  <c r="J704" i="19"/>
  <c r="L549" i="19"/>
  <c r="K549" i="19" s="1"/>
  <c r="L775" i="19"/>
  <c r="K775" i="19" s="1"/>
  <c r="J775" i="19"/>
  <c r="I742" i="19"/>
  <c r="J742" i="19"/>
  <c r="L815" i="19"/>
  <c r="K815" i="19" s="1"/>
  <c r="I815" i="19"/>
  <c r="J815" i="19"/>
  <c r="I858" i="19"/>
  <c r="L382" i="19"/>
  <c r="K382" i="19" s="1"/>
  <c r="I382" i="19"/>
  <c r="J382" i="19"/>
  <c r="H855" i="19"/>
  <c r="T855" i="19" s="1"/>
  <c r="I855" i="19" s="1"/>
  <c r="L848" i="19"/>
  <c r="K848" i="19" s="1"/>
  <c r="I848" i="19"/>
  <c r="J848" i="19"/>
  <c r="H179" i="19"/>
  <c r="F44" i="23"/>
  <c r="H180" i="19" s="1"/>
  <c r="T180" i="19" s="1"/>
  <c r="E12" i="15"/>
  <c r="I620" i="19"/>
  <c r="J620" i="19" s="1"/>
  <c r="I555" i="19"/>
  <c r="J555" i="19" s="1"/>
  <c r="H421" i="19"/>
  <c r="T421" i="19" s="1"/>
  <c r="L616" i="19"/>
  <c r="K616" i="19" s="1"/>
  <c r="L694" i="19"/>
  <c r="K694" i="19" s="1"/>
  <c r="L423" i="19"/>
  <c r="K423" i="19" s="1"/>
  <c r="L573" i="19"/>
  <c r="K573" i="19" s="1"/>
  <c r="H413" i="19"/>
  <c r="T413" i="19" s="1"/>
  <c r="L737" i="19"/>
  <c r="K737" i="19" s="1"/>
  <c r="I737" i="19"/>
  <c r="J737" i="19"/>
  <c r="L716" i="19"/>
  <c r="K716" i="19" s="1"/>
  <c r="I716" i="19"/>
  <c r="J716" i="19" s="1"/>
  <c r="I745" i="19"/>
  <c r="L745" i="19"/>
  <c r="K745" i="19" s="1"/>
  <c r="J745" i="19"/>
  <c r="L708" i="19"/>
  <c r="K708" i="19" s="1"/>
  <c r="J708" i="19"/>
  <c r="L571" i="19"/>
  <c r="K571" i="19" s="1"/>
  <c r="I571" i="19"/>
  <c r="J571" i="19" s="1"/>
  <c r="J760" i="19"/>
  <c r="L760" i="19"/>
  <c r="K760" i="19" s="1"/>
  <c r="L394" i="19"/>
  <c r="K394" i="19" s="1"/>
  <c r="I394" i="19"/>
  <c r="L861" i="19"/>
  <c r="K861" i="19" s="1"/>
  <c r="J861" i="19"/>
  <c r="I861" i="19"/>
  <c r="H171" i="19"/>
  <c r="G35" i="23"/>
  <c r="I185" i="19"/>
  <c r="L185" i="19"/>
  <c r="K185" i="19" s="1"/>
  <c r="J185" i="19"/>
  <c r="J823" i="19"/>
  <c r="I705" i="19"/>
  <c r="J705" i="19" s="1"/>
  <c r="L705" i="19"/>
  <c r="K705" i="19" s="1"/>
  <c r="I800" i="19"/>
  <c r="I579" i="19"/>
  <c r="J579" i="19" s="1"/>
  <c r="I760" i="19"/>
  <c r="I550" i="19"/>
  <c r="J550" i="19" s="1"/>
  <c r="L800" i="19"/>
  <c r="K800" i="19" s="1"/>
  <c r="H798" i="19"/>
  <c r="T798" i="19" s="1"/>
  <c r="G29" i="12"/>
  <c r="G41" i="12" s="1"/>
  <c r="H601" i="19"/>
  <c r="P908" i="19"/>
  <c r="F912" i="19"/>
  <c r="R912" i="19" s="1"/>
  <c r="F910" i="19"/>
  <c r="R910" i="19" s="1"/>
  <c r="F911" i="19"/>
  <c r="R911" i="19" s="1"/>
  <c r="L754" i="19"/>
  <c r="K754" i="19" s="1"/>
  <c r="I754" i="19"/>
  <c r="J754" i="19" s="1"/>
  <c r="I735" i="19"/>
  <c r="J735" i="19" s="1"/>
  <c r="L735" i="19"/>
  <c r="K735" i="19" s="1"/>
  <c r="P916" i="19"/>
  <c r="F920" i="19"/>
  <c r="R920" i="19" s="1"/>
  <c r="F919" i="19"/>
  <c r="R919" i="19" s="1"/>
  <c r="F918" i="19"/>
  <c r="R918" i="19" s="1"/>
  <c r="L767" i="19"/>
  <c r="K767" i="19" s="1"/>
  <c r="I767" i="19"/>
  <c r="J767" i="19"/>
  <c r="J394" i="19"/>
  <c r="T825" i="19"/>
  <c r="F857" i="19"/>
  <c r="R857" i="19" s="1"/>
  <c r="I857" i="19" s="1"/>
  <c r="J857" i="19" s="1"/>
  <c r="J28" i="15"/>
  <c r="H773" i="19" s="1"/>
  <c r="T773" i="19" s="1"/>
  <c r="H697" i="19"/>
  <c r="L78" i="19"/>
  <c r="K78" i="19" s="1"/>
  <c r="I78" i="19"/>
  <c r="J78" i="19" s="1"/>
  <c r="H374" i="19"/>
  <c r="T374" i="19" s="1"/>
  <c r="D10" i="7"/>
  <c r="F25" i="11"/>
  <c r="H585" i="19" s="1"/>
  <c r="T585" i="19" s="1"/>
  <c r="R585" i="19"/>
  <c r="H581" i="19"/>
  <c r="T581" i="19" s="1"/>
  <c r="T841" i="19"/>
  <c r="F873" i="19"/>
  <c r="R873" i="19" s="1"/>
  <c r="I873" i="19" s="1"/>
  <c r="J873" i="19" s="1"/>
  <c r="J794" i="19"/>
  <c r="H591" i="19"/>
  <c r="L784" i="19"/>
  <c r="K784" i="19" s="1"/>
  <c r="J784" i="19"/>
  <c r="T615" i="19"/>
  <c r="F616" i="19"/>
  <c r="R616" i="19" s="1"/>
  <c r="I616" i="19" s="1"/>
  <c r="J744" i="19"/>
  <c r="L744" i="19"/>
  <c r="K744" i="19" s="1"/>
  <c r="I744" i="19"/>
  <c r="I865" i="19"/>
  <c r="L865" i="19"/>
  <c r="K865" i="19" s="1"/>
  <c r="J865" i="19"/>
  <c r="J759" i="19"/>
  <c r="L759" i="19"/>
  <c r="K759" i="19" s="1"/>
  <c r="I177" i="19"/>
  <c r="L177" i="19"/>
  <c r="K177" i="19" s="1"/>
  <c r="J177" i="19"/>
  <c r="L867" i="19"/>
  <c r="K867" i="19" s="1"/>
  <c r="J867" i="19"/>
  <c r="I867" i="19"/>
  <c r="I708" i="19"/>
  <c r="T619" i="19"/>
  <c r="F622" i="19"/>
  <c r="R622" i="19" s="1"/>
  <c r="L873" i="19"/>
  <c r="K873" i="19" s="1"/>
  <c r="L794" i="19"/>
  <c r="K794" i="19" s="1"/>
  <c r="I551" i="19"/>
  <c r="J551" i="19" s="1"/>
  <c r="L833" i="19"/>
  <c r="K833" i="19" s="1"/>
  <c r="I833" i="19"/>
  <c r="J833" i="19"/>
  <c r="H449" i="19"/>
  <c r="T449" i="19" s="1"/>
  <c r="I36" i="14"/>
  <c r="H844" i="19" s="1"/>
  <c r="T844" i="19" s="1"/>
  <c r="L795" i="19"/>
  <c r="K795" i="19" s="1"/>
  <c r="J795" i="19"/>
  <c r="I795" i="19"/>
  <c r="I184" i="19"/>
  <c r="L184" i="19"/>
  <c r="K184" i="19" s="1"/>
  <c r="J184" i="19"/>
  <c r="T824" i="19"/>
  <c r="I824" i="19" s="1"/>
  <c r="J824" i="19" s="1"/>
  <c r="F856" i="19"/>
  <c r="R856" i="19" s="1"/>
  <c r="I556" i="19"/>
  <c r="J556" i="19" s="1"/>
  <c r="L556" i="19"/>
  <c r="K556" i="19" s="1"/>
  <c r="I814" i="19"/>
  <c r="H40" i="12"/>
  <c r="H623" i="19" s="1"/>
  <c r="T623" i="19" s="1"/>
  <c r="H622" i="19"/>
  <c r="I146" i="19"/>
  <c r="J146" i="19" s="1"/>
  <c r="L146" i="19"/>
  <c r="K146" i="19" s="1"/>
  <c r="I759" i="19"/>
  <c r="H381" i="19"/>
  <c r="T381" i="19" s="1"/>
  <c r="H26" i="7"/>
  <c r="L752" i="19"/>
  <c r="K752" i="19" s="1"/>
  <c r="J752" i="19"/>
  <c r="I752" i="19"/>
  <c r="L746" i="19"/>
  <c r="K746" i="19" s="1"/>
  <c r="J746" i="19"/>
  <c r="I746" i="19"/>
  <c r="G17" i="12"/>
  <c r="H596" i="19"/>
  <c r="I448" i="19"/>
  <c r="J448" i="19" s="1"/>
  <c r="L448" i="19"/>
  <c r="K448" i="19" s="1"/>
  <c r="J683" i="19"/>
  <c r="L683" i="19"/>
  <c r="K683" i="19" s="1"/>
  <c r="I738" i="19"/>
  <c r="L738" i="19"/>
  <c r="K738" i="19" s="1"/>
  <c r="J738" i="19"/>
  <c r="I736" i="19"/>
  <c r="J736" i="19" s="1"/>
  <c r="L736" i="19"/>
  <c r="K736" i="19" s="1"/>
  <c r="I740" i="19"/>
  <c r="J740" i="19"/>
  <c r="L740" i="19"/>
  <c r="K740" i="19" s="1"/>
  <c r="T706" i="19"/>
  <c r="L706" i="19" s="1"/>
  <c r="K706" i="19" s="1"/>
  <c r="J373" i="19"/>
  <c r="L373" i="19"/>
  <c r="K373" i="19" s="1"/>
  <c r="L678" i="19"/>
  <c r="K678" i="19" s="1"/>
  <c r="I678" i="19"/>
  <c r="J678" i="19" s="1"/>
  <c r="J602" i="19"/>
  <c r="L856" i="19"/>
  <c r="K856" i="19" s="1"/>
  <c r="I856" i="19"/>
  <c r="J856" i="19" s="1"/>
  <c r="L614" i="19"/>
  <c r="K614" i="19" s="1"/>
  <c r="L814" i="19"/>
  <c r="K814" i="19" s="1"/>
  <c r="F16" i="10"/>
  <c r="F561" i="19" s="1"/>
  <c r="H80" i="19"/>
  <c r="T80" i="19" s="1"/>
  <c r="I48" i="24"/>
  <c r="F858" i="19"/>
  <c r="R858" i="19" s="1"/>
  <c r="T826" i="19"/>
  <c r="L826" i="19" s="1"/>
  <c r="K826" i="19" s="1"/>
  <c r="J733" i="19"/>
  <c r="L733" i="19"/>
  <c r="K733" i="19" s="1"/>
  <c r="I733" i="19"/>
  <c r="I734" i="19"/>
  <c r="L734" i="19"/>
  <c r="K734" i="19" s="1"/>
  <c r="J734" i="19"/>
  <c r="J701" i="19"/>
  <c r="L701" i="19"/>
  <c r="K701" i="19" s="1"/>
  <c r="J858" i="19"/>
  <c r="L858" i="19"/>
  <c r="K858" i="19" s="1"/>
  <c r="I422" i="19"/>
  <c r="J422" i="19"/>
  <c r="L422" i="19"/>
  <c r="K422" i="19" s="1"/>
  <c r="I602" i="19"/>
  <c r="L557" i="19"/>
  <c r="K557" i="19" s="1"/>
  <c r="I557" i="19"/>
  <c r="J557" i="19" s="1"/>
  <c r="I701" i="19"/>
  <c r="I775" i="19"/>
  <c r="I704" i="19"/>
  <c r="T698" i="19"/>
  <c r="F774" i="19"/>
  <c r="R774" i="19" s="1"/>
  <c r="L684" i="19"/>
  <c r="K684" i="19" s="1"/>
  <c r="J684" i="19"/>
  <c r="I741" i="19"/>
  <c r="L741" i="19"/>
  <c r="K741" i="19" s="1"/>
  <c r="J741" i="19"/>
  <c r="J691" i="19"/>
  <c r="I691" i="19"/>
  <c r="L691" i="19"/>
  <c r="K691" i="19" s="1"/>
  <c r="F770" i="19"/>
  <c r="R770" i="19" s="1"/>
  <c r="T732" i="19"/>
  <c r="J732" i="19" s="1"/>
  <c r="L739" i="19"/>
  <c r="K739" i="19" s="1"/>
  <c r="J739" i="19"/>
  <c r="I739" i="19"/>
  <c r="J880" i="19"/>
  <c r="L880" i="19"/>
  <c r="K880" i="19" s="1"/>
  <c r="H420" i="19"/>
  <c r="T420" i="19" s="1"/>
  <c r="I699" i="19"/>
  <c r="L742" i="19"/>
  <c r="K742" i="19" s="1"/>
  <c r="H728" i="19"/>
  <c r="T728" i="19" s="1"/>
  <c r="I41" i="15"/>
  <c r="F690" i="19"/>
  <c r="R690" i="19" s="1"/>
  <c r="I694" i="19"/>
  <c r="J573" i="19"/>
  <c r="T926" i="19"/>
  <c r="F937" i="19"/>
  <c r="R937" i="19" s="1"/>
  <c r="F89" i="16"/>
  <c r="I915" i="19"/>
  <c r="J915" i="19" s="1"/>
  <c r="L915" i="19"/>
  <c r="F926" i="19"/>
  <c r="R926" i="19" s="1"/>
  <c r="T908" i="19"/>
  <c r="L645" i="19"/>
  <c r="K645" i="19" s="1"/>
  <c r="I645" i="19"/>
  <c r="J645" i="19"/>
  <c r="P872" i="19"/>
  <c r="P728" i="19"/>
  <c r="E34" i="23"/>
  <c r="B154" i="19"/>
  <c r="F10" i="23"/>
  <c r="E10" i="23" s="1"/>
  <c r="E41" i="23"/>
  <c r="B171" i="19"/>
  <c r="B43" i="23"/>
  <c r="E40" i="23"/>
  <c r="G40" i="23" s="1"/>
  <c r="E42" i="23"/>
  <c r="E43" i="23"/>
  <c r="G43" i="23" s="1"/>
  <c r="H186" i="19" s="1"/>
  <c r="T186" i="19" s="1"/>
  <c r="AG300" i="20"/>
  <c r="AC314" i="20"/>
  <c r="Z320" i="20"/>
  <c r="AC301" i="20"/>
  <c r="Z279" i="20"/>
  <c r="AC283" i="20"/>
  <c r="Z307" i="20"/>
  <c r="AC293" i="20"/>
  <c r="AE314" i="20"/>
  <c r="Z287" i="20"/>
  <c r="AF320" i="20"/>
  <c r="AD297" i="20"/>
  <c r="AC291" i="20"/>
  <c r="AD311" i="20"/>
  <c r="AF311" i="20"/>
  <c r="AD304" i="20"/>
  <c r="AG324" i="20"/>
  <c r="AD303" i="20"/>
  <c r="AD302" i="20"/>
  <c r="Z310" i="20"/>
  <c r="Z288" i="20"/>
  <c r="Z305" i="20"/>
  <c r="Z280" i="20"/>
  <c r="Z294" i="20"/>
  <c r="AF297" i="20"/>
  <c r="AG327" i="20"/>
  <c r="AC279" i="20"/>
  <c r="AD319" i="20"/>
  <c r="AE315" i="20"/>
  <c r="AF316" i="20"/>
  <c r="AD327" i="20"/>
  <c r="AD324" i="20"/>
  <c r="AD296" i="20"/>
  <c r="AC281" i="20"/>
  <c r="AG315" i="20"/>
  <c r="AE308" i="20"/>
  <c r="AF302" i="20"/>
  <c r="AD315" i="20"/>
  <c r="AC327" i="20"/>
  <c r="Z293" i="20"/>
  <c r="AG298" i="20"/>
  <c r="AD305" i="20"/>
  <c r="Z289" i="20"/>
  <c r="AE300" i="20"/>
  <c r="Z323" i="20"/>
  <c r="AC318" i="20"/>
  <c r="AD313" i="20"/>
  <c r="Z303" i="20"/>
  <c r="Z285" i="20"/>
  <c r="AF308" i="20"/>
  <c r="AG316" i="20"/>
  <c r="AG306" i="20"/>
  <c r="AC287" i="20"/>
  <c r="AF296" i="20"/>
  <c r="AE303" i="20"/>
  <c r="Z326" i="20"/>
  <c r="AD301" i="20"/>
  <c r="AC290" i="20"/>
  <c r="Z318" i="20"/>
  <c r="AC289" i="20"/>
  <c r="AG299" i="20"/>
  <c r="AF309" i="20"/>
  <c r="AE320" i="20"/>
  <c r="AE297" i="20"/>
  <c r="AG320" i="20"/>
  <c r="AC308" i="20"/>
  <c r="AC321" i="20"/>
  <c r="AD318" i="20"/>
  <c r="Z292" i="20"/>
  <c r="AC298" i="20"/>
  <c r="AC305" i="20"/>
  <c r="AG296" i="20"/>
  <c r="AF301" i="20"/>
  <c r="AE312" i="20"/>
  <c r="AG293" i="20"/>
  <c r="AE325" i="20"/>
  <c r="AG317" i="20"/>
  <c r="AF300" i="20"/>
  <c r="AE311" i="20"/>
  <c r="AD307" i="20"/>
  <c r="Z306" i="20"/>
  <c r="Z301" i="20"/>
  <c r="AG328" i="20"/>
  <c r="AE310" i="20"/>
  <c r="AG308" i="20"/>
  <c r="AD309" i="20"/>
  <c r="Z282" i="20"/>
  <c r="AE313" i="20"/>
  <c r="AG312" i="20"/>
  <c r="AG302" i="20"/>
  <c r="AE317" i="20"/>
  <c r="Z314" i="20"/>
  <c r="AD298" i="20"/>
  <c r="AF328" i="20"/>
  <c r="AG323" i="20"/>
  <c r="AC325" i="20"/>
  <c r="AE319" i="20"/>
  <c r="AC295" i="20"/>
  <c r="AF304" i="20"/>
  <c r="Z283" i="20"/>
  <c r="Z315" i="20"/>
  <c r="AG309" i="20"/>
  <c r="AF307" i="20"/>
  <c r="AF303" i="20"/>
  <c r="AE326" i="20"/>
  <c r="AG326" i="20"/>
  <c r="AE302" i="20"/>
  <c r="Z316" i="20"/>
  <c r="AC328" i="20"/>
  <c r="Z281" i="20"/>
  <c r="Z321" i="20"/>
  <c r="AF305" i="20"/>
  <c r="AE324" i="20"/>
  <c r="Z290" i="20"/>
  <c r="Z302" i="20"/>
  <c r="AC292" i="20"/>
  <c r="AC316" i="20"/>
  <c r="AF324" i="20"/>
  <c r="Z309" i="20"/>
  <c r="AE327" i="20"/>
  <c r="AC309" i="20"/>
  <c r="AE305" i="20"/>
  <c r="AE304" i="20"/>
  <c r="Z299" i="20"/>
  <c r="AF318" i="20"/>
  <c r="AC300" i="20"/>
  <c r="AG322" i="20"/>
  <c r="Z311" i="20"/>
  <c r="AC310" i="20"/>
  <c r="Z312" i="20"/>
  <c r="Z327" i="20"/>
  <c r="AC307" i="20"/>
  <c r="AE322" i="20"/>
  <c r="Z313" i="20"/>
  <c r="AC312" i="20"/>
  <c r="Z296" i="20"/>
  <c r="AF321" i="20"/>
  <c r="AG310" i="20"/>
  <c r="AE295" i="20"/>
  <c r="AC313" i="20"/>
  <c r="AG289" i="20"/>
  <c r="AE318" i="20"/>
  <c r="AC317" i="20"/>
  <c r="Z297" i="20"/>
  <c r="Z291" i="20"/>
  <c r="AC326" i="20"/>
  <c r="Z304" i="20"/>
  <c r="AE328" i="20"/>
  <c r="AG292" i="20"/>
  <c r="AH329" i="20"/>
  <c r="AG295" i="20"/>
  <c r="AD312" i="20"/>
  <c r="AC322" i="20"/>
  <c r="AF315" i="20"/>
  <c r="AE301" i="20"/>
  <c r="AG305" i="20"/>
  <c r="AF306" i="20"/>
  <c r="Z286" i="20"/>
  <c r="AC320" i="20"/>
  <c r="AF326" i="20"/>
  <c r="AC297" i="20"/>
  <c r="AC284" i="20"/>
  <c r="AD317" i="20"/>
  <c r="AC280" i="20"/>
  <c r="AF325" i="20"/>
  <c r="AC299" i="20"/>
  <c r="Z322" i="20"/>
  <c r="AG290" i="20"/>
  <c r="AD316" i="20"/>
  <c r="AD325" i="20"/>
  <c r="AC323" i="20"/>
  <c r="AC311" i="20"/>
  <c r="AG319" i="20"/>
  <c r="AC306" i="20"/>
  <c r="AG303" i="20"/>
  <c r="AF319" i="20"/>
  <c r="AE306" i="20"/>
  <c r="AD310" i="20"/>
  <c r="AE294" i="20"/>
  <c r="Z298" i="20"/>
  <c r="Z324" i="20"/>
  <c r="AD323" i="20"/>
  <c r="AE307" i="20"/>
  <c r="AF314" i="20"/>
  <c r="AD326" i="20"/>
  <c r="AC319" i="20"/>
  <c r="Z300" i="20"/>
  <c r="AF298" i="20"/>
  <c r="AF295" i="20"/>
  <c r="AC304" i="20"/>
  <c r="AC296" i="20"/>
  <c r="AG325" i="20"/>
  <c r="AG307" i="20"/>
  <c r="AG301" i="20"/>
  <c r="AF323" i="20"/>
  <c r="AD314" i="20"/>
  <c r="AD294" i="20"/>
  <c r="Z308" i="20"/>
  <c r="AG314" i="20"/>
  <c r="AC286" i="20"/>
  <c r="AC285" i="20"/>
  <c r="AD308" i="20"/>
  <c r="AE299" i="20"/>
  <c r="Z328" i="20"/>
  <c r="AD295" i="20"/>
  <c r="Z284" i="20"/>
  <c r="AF317" i="20"/>
  <c r="AE309" i="20"/>
  <c r="Z317" i="20"/>
  <c r="AG304" i="20"/>
  <c r="AD320" i="20"/>
  <c r="AE321" i="20"/>
  <c r="AF313" i="20"/>
  <c r="AE298" i="20"/>
  <c r="AD306" i="20"/>
  <c r="AC288" i="20"/>
  <c r="AC302" i="20"/>
  <c r="AC282" i="20"/>
  <c r="AD321" i="20"/>
  <c r="AF327" i="20"/>
  <c r="AF310" i="20"/>
  <c r="AG313" i="20"/>
  <c r="AF294" i="20"/>
  <c r="AF299" i="20"/>
  <c r="AG318" i="20"/>
  <c r="AG294" i="20"/>
  <c r="AF322" i="20"/>
  <c r="Z295" i="20"/>
  <c r="AE323" i="20"/>
  <c r="AG321" i="20"/>
  <c r="AD322" i="20"/>
  <c r="AC324" i="20"/>
  <c r="AC303" i="20"/>
  <c r="AG311" i="20"/>
  <c r="AD299" i="20"/>
  <c r="Z325" i="20"/>
  <c r="AD328" i="20"/>
  <c r="AG297" i="20"/>
  <c r="AD300" i="20"/>
  <c r="AG291" i="20"/>
  <c r="AF312" i="20"/>
  <c r="Z329" i="20"/>
  <c r="AE296" i="20"/>
  <c r="AE316" i="20"/>
  <c r="Z319" i="20"/>
  <c r="AC315" i="20"/>
  <c r="AE279" i="20"/>
  <c r="AG288" i="20"/>
  <c r="AG280" i="20"/>
  <c r="AG283" i="20"/>
  <c r="AG284" i="20"/>
  <c r="AG279" i="20"/>
  <c r="AG285" i="20"/>
  <c r="AG286" i="20"/>
  <c r="AG282" i="20"/>
  <c r="AG287" i="20"/>
  <c r="AG281" i="20"/>
  <c r="Q355" i="20"/>
  <c r="Q360" i="20"/>
  <c r="U377" i="20"/>
  <c r="Q362" i="20"/>
  <c r="X382" i="20"/>
  <c r="X354" i="20"/>
  <c r="Q378" i="20"/>
  <c r="X370" i="20"/>
  <c r="V384" i="20"/>
  <c r="U362" i="20"/>
  <c r="Q386" i="20"/>
  <c r="Q365" i="20"/>
  <c r="W347" i="20"/>
  <c r="AB347" i="20" s="1"/>
  <c r="V359" i="20"/>
  <c r="T385" i="20"/>
  <c r="V381" i="20"/>
  <c r="W353" i="20"/>
  <c r="V374" i="20"/>
  <c r="W375" i="20"/>
  <c r="Q344" i="20"/>
  <c r="Q359" i="20"/>
  <c r="U378" i="20"/>
  <c r="W377" i="20"/>
  <c r="T347" i="20"/>
  <c r="Q337" i="20"/>
  <c r="X361" i="20"/>
  <c r="W379" i="20"/>
  <c r="Q357" i="20"/>
  <c r="U384" i="20"/>
  <c r="V369" i="20"/>
  <c r="V375" i="20"/>
  <c r="T375" i="20"/>
  <c r="T340" i="20"/>
  <c r="U358" i="20"/>
  <c r="W359" i="20"/>
  <c r="Q339" i="20"/>
  <c r="T350" i="20"/>
  <c r="T380" i="20"/>
  <c r="W384" i="20"/>
  <c r="V364" i="20"/>
  <c r="T376" i="20"/>
  <c r="V380" i="20"/>
  <c r="T353" i="20"/>
  <c r="X386" i="20"/>
  <c r="V368" i="20"/>
  <c r="U365" i="20"/>
  <c r="V383" i="20"/>
  <c r="U386" i="20"/>
  <c r="X365" i="20"/>
  <c r="V377" i="20"/>
  <c r="Q375" i="20"/>
  <c r="W342" i="20"/>
  <c r="AB342" i="20" s="1"/>
  <c r="W358" i="20"/>
  <c r="W360" i="20"/>
  <c r="V363" i="20"/>
  <c r="X358" i="20"/>
  <c r="Q367" i="20"/>
  <c r="Q340" i="20"/>
  <c r="U370" i="20"/>
  <c r="V365" i="20"/>
  <c r="T377" i="20"/>
  <c r="U360" i="20"/>
  <c r="W357" i="20"/>
  <c r="T338" i="20"/>
  <c r="X376" i="20"/>
  <c r="T352" i="20"/>
  <c r="Q348" i="20"/>
  <c r="T374" i="20"/>
  <c r="W362" i="20"/>
  <c r="W382" i="20"/>
  <c r="W356" i="20"/>
  <c r="V355" i="20"/>
  <c r="X385" i="20"/>
  <c r="Q368" i="20"/>
  <c r="Q345" i="20"/>
  <c r="Q366" i="20"/>
  <c r="W366" i="20"/>
  <c r="V352" i="20"/>
  <c r="W363" i="20"/>
  <c r="W346" i="20"/>
  <c r="AB346" i="20" s="1"/>
  <c r="W345" i="20"/>
  <c r="AB345" i="20" s="1"/>
  <c r="U356" i="20"/>
  <c r="Q338" i="20"/>
  <c r="T365" i="20"/>
  <c r="U353" i="20"/>
  <c r="X380" i="20"/>
  <c r="U355" i="20"/>
  <c r="W381" i="20"/>
  <c r="T371" i="20"/>
  <c r="X364" i="20"/>
  <c r="X368" i="20"/>
  <c r="T378" i="20"/>
  <c r="Q380" i="20"/>
  <c r="X369" i="20"/>
  <c r="W355" i="20"/>
  <c r="X359" i="20"/>
  <c r="Q369" i="20"/>
  <c r="Q350" i="20"/>
  <c r="X371" i="20"/>
  <c r="U354" i="20"/>
  <c r="V361" i="20"/>
  <c r="T369" i="20"/>
  <c r="Q364" i="20"/>
  <c r="U368" i="20"/>
  <c r="Q381" i="20"/>
  <c r="U371" i="20"/>
  <c r="V386" i="20"/>
  <c r="U366" i="20"/>
  <c r="T386" i="20"/>
  <c r="V360" i="20"/>
  <c r="X362" i="20"/>
  <c r="Q379" i="20"/>
  <c r="T368" i="20"/>
  <c r="W361" i="20"/>
  <c r="Q383" i="20"/>
  <c r="W370" i="20"/>
  <c r="Q385" i="20"/>
  <c r="X381" i="20"/>
  <c r="T384" i="20"/>
  <c r="W385" i="20"/>
  <c r="V376" i="20"/>
  <c r="U383" i="20"/>
  <c r="Q371" i="20"/>
  <c r="T370" i="20"/>
  <c r="T367" i="20"/>
  <c r="V367" i="20"/>
  <c r="W371" i="20"/>
  <c r="W341" i="20"/>
  <c r="AB341" i="20" s="1"/>
  <c r="W344" i="20"/>
  <c r="AB344" i="20" s="1"/>
  <c r="W376" i="20"/>
  <c r="W378" i="20"/>
  <c r="X373" i="20"/>
  <c r="T364" i="20"/>
  <c r="T357" i="20"/>
  <c r="W368" i="20"/>
  <c r="W354" i="20"/>
  <c r="W373" i="20"/>
  <c r="V378" i="20"/>
  <c r="V372" i="20"/>
  <c r="U367" i="20"/>
  <c r="T356" i="20"/>
  <c r="U382" i="20"/>
  <c r="T362" i="20"/>
  <c r="T346" i="20"/>
  <c r="Q387" i="20"/>
  <c r="V371" i="20"/>
  <c r="T358" i="20"/>
  <c r="T381" i="20"/>
  <c r="V358" i="20"/>
  <c r="T382" i="20"/>
  <c r="W369" i="20"/>
  <c r="V356" i="20"/>
  <c r="W352" i="20"/>
  <c r="W338" i="20"/>
  <c r="AB338" i="20" s="1"/>
  <c r="U385" i="20"/>
  <c r="V357" i="20"/>
  <c r="U352" i="20"/>
  <c r="T379" i="20"/>
  <c r="T354" i="20"/>
  <c r="T355" i="20"/>
  <c r="X372" i="20"/>
  <c r="W380" i="20"/>
  <c r="U372" i="20"/>
  <c r="U357" i="20"/>
  <c r="T361" i="20"/>
  <c r="W351" i="20"/>
  <c r="AB351" i="20" s="1"/>
  <c r="Q358" i="20"/>
  <c r="Q352" i="20"/>
  <c r="T345" i="20"/>
  <c r="W372" i="20"/>
  <c r="V370" i="20"/>
  <c r="U376" i="20"/>
  <c r="T348" i="20"/>
  <c r="Q356" i="20"/>
  <c r="V373" i="20"/>
  <c r="Q341" i="20"/>
  <c r="U379" i="20"/>
  <c r="W383" i="20"/>
  <c r="W374" i="20"/>
  <c r="V379" i="20"/>
  <c r="X384" i="20"/>
  <c r="W339" i="20"/>
  <c r="AB339" i="20" s="1"/>
  <c r="X363" i="20"/>
  <c r="X375" i="20"/>
  <c r="Q351" i="20"/>
  <c r="Q370" i="20"/>
  <c r="X355" i="20"/>
  <c r="Q347" i="20"/>
  <c r="X360" i="20"/>
  <c r="V353" i="20"/>
  <c r="X377" i="20"/>
  <c r="T366" i="20"/>
  <c r="U381" i="20"/>
  <c r="X353" i="20"/>
  <c r="U380" i="20"/>
  <c r="Q354" i="20"/>
  <c r="X374" i="20"/>
  <c r="T349" i="20"/>
  <c r="T342" i="20"/>
  <c r="W367" i="20"/>
  <c r="U375" i="20"/>
  <c r="Q382" i="20"/>
  <c r="Q342" i="20"/>
  <c r="X356" i="20"/>
  <c r="X383" i="20"/>
  <c r="Q363" i="20"/>
  <c r="Q377" i="20"/>
  <c r="U374" i="20"/>
  <c r="T337" i="20"/>
  <c r="X367" i="20"/>
  <c r="X366" i="20"/>
  <c r="Q372" i="20"/>
  <c r="U359" i="20"/>
  <c r="W386" i="20"/>
  <c r="U369" i="20"/>
  <c r="Q343" i="20"/>
  <c r="Q376" i="20"/>
  <c r="W343" i="20"/>
  <c r="AB343" i="20" s="1"/>
  <c r="V366" i="20"/>
  <c r="W349" i="20"/>
  <c r="AB349" i="20" s="1"/>
  <c r="T383" i="20"/>
  <c r="V354" i="20"/>
  <c r="X352" i="20"/>
  <c r="T363" i="20"/>
  <c r="W364" i="20"/>
  <c r="W348" i="20"/>
  <c r="AB348" i="20" s="1"/>
  <c r="T372" i="20"/>
  <c r="X378" i="20"/>
  <c r="U373" i="20"/>
  <c r="V362" i="20"/>
  <c r="T344" i="20"/>
  <c r="Q374" i="20"/>
  <c r="X379" i="20"/>
  <c r="T351" i="20"/>
  <c r="U364" i="20"/>
  <c r="Q361" i="20"/>
  <c r="W350" i="20"/>
  <c r="AB350" i="20" s="1"/>
  <c r="U361" i="20"/>
  <c r="Q384" i="20"/>
  <c r="T339" i="20"/>
  <c r="T341" i="20"/>
  <c r="V382" i="20"/>
  <c r="X357" i="20"/>
  <c r="U363" i="20"/>
  <c r="Q346" i="20"/>
  <c r="Q373" i="20"/>
  <c r="W340" i="20"/>
  <c r="AB340" i="20" s="1"/>
  <c r="T360" i="20"/>
  <c r="W365" i="20"/>
  <c r="Q353" i="20"/>
  <c r="V385" i="20"/>
  <c r="Q349" i="20"/>
  <c r="T373" i="20"/>
  <c r="T343" i="20"/>
  <c r="W337" i="20"/>
  <c r="T359" i="20"/>
  <c r="V337" i="20"/>
  <c r="AA337" i="20" s="1"/>
  <c r="P575" i="19"/>
  <c r="P623" i="19"/>
  <c r="P622" i="19"/>
  <c r="P878" i="19"/>
  <c r="P805" i="19"/>
  <c r="P774" i="19"/>
  <c r="L774" i="19" s="1"/>
  <c r="K774" i="19" s="1"/>
  <c r="P698" i="19"/>
  <c r="L698" i="19" s="1"/>
  <c r="K698" i="19" s="1"/>
  <c r="P597" i="19"/>
  <c r="F26" i="7"/>
  <c r="F34" i="7" s="1"/>
  <c r="F40" i="7" s="1"/>
  <c r="F41" i="7" s="1"/>
  <c r="P837" i="19"/>
  <c r="P832" i="19"/>
  <c r="H846" i="19"/>
  <c r="T846" i="19" s="1"/>
  <c r="J45" i="14"/>
  <c r="P413" i="19"/>
  <c r="P851" i="19"/>
  <c r="P846" i="19"/>
  <c r="P812" i="19"/>
  <c r="I812" i="19" s="1"/>
  <c r="J812" i="19" s="1"/>
  <c r="F384" i="19"/>
  <c r="R384" i="19" s="1"/>
  <c r="F388" i="19"/>
  <c r="R388" i="19" s="1"/>
  <c r="H452" i="19"/>
  <c r="T452" i="19" s="1"/>
  <c r="J10" i="14"/>
  <c r="H859" i="19" s="1"/>
  <c r="H827" i="19"/>
  <c r="J26" i="7"/>
  <c r="J34" i="7" s="1"/>
  <c r="J40" i="7" s="1"/>
  <c r="J41" i="7" s="1"/>
  <c r="H839" i="19"/>
  <c r="T839" i="19" s="1"/>
  <c r="J31" i="14"/>
  <c r="F880" i="19"/>
  <c r="R880" i="19" s="1"/>
  <c r="H419" i="19"/>
  <c r="T419" i="19" s="1"/>
  <c r="P876" i="19"/>
  <c r="P871" i="19"/>
  <c r="P580" i="19"/>
  <c r="I580" i="19" s="1"/>
  <c r="J580" i="19" s="1"/>
  <c r="P879" i="19"/>
  <c r="I29" i="7"/>
  <c r="I26" i="7"/>
  <c r="I34" i="7" s="1"/>
  <c r="H453" i="19"/>
  <c r="T453" i="19" s="1"/>
  <c r="P827" i="19"/>
  <c r="P830" i="19"/>
  <c r="L830" i="19" s="1"/>
  <c r="K830" i="19" s="1"/>
  <c r="P374" i="19"/>
  <c r="P844" i="19"/>
  <c r="P839" i="19"/>
  <c r="P776" i="19"/>
  <c r="P700" i="19"/>
  <c r="H451" i="19"/>
  <c r="T451" i="19" s="1"/>
  <c r="F375" i="19"/>
  <c r="R375" i="19" s="1"/>
  <c r="G29" i="7"/>
  <c r="G26" i="7"/>
  <c r="G34" i="7" s="1"/>
  <c r="I50" i="14"/>
  <c r="H851" i="19" s="1"/>
  <c r="T851" i="19" s="1"/>
  <c r="H847" i="19"/>
  <c r="J46" i="14"/>
  <c r="H879" i="19" s="1"/>
  <c r="T879" i="19" s="1"/>
  <c r="H450" i="19"/>
  <c r="T450" i="19" s="1"/>
  <c r="P772" i="19"/>
  <c r="P696" i="19"/>
  <c r="P798" i="19"/>
  <c r="I798" i="19" s="1"/>
  <c r="J798" i="19" s="1"/>
  <c r="P383" i="19"/>
  <c r="J383" i="19" s="1"/>
  <c r="F782" i="19"/>
  <c r="R782" i="19" s="1"/>
  <c r="P778" i="19"/>
  <c r="P702" i="19"/>
  <c r="P779" i="19"/>
  <c r="P703" i="19"/>
  <c r="F855" i="19"/>
  <c r="R855" i="19" s="1"/>
  <c r="P558" i="19"/>
  <c r="H840" i="19"/>
  <c r="J32" i="14"/>
  <c r="H872" i="19" s="1"/>
  <c r="T872" i="19" s="1"/>
  <c r="I872" i="19" s="1"/>
  <c r="P869" i="19"/>
  <c r="P864" i="19"/>
  <c r="P783" i="19"/>
  <c r="P707" i="19"/>
  <c r="P819" i="19"/>
  <c r="I819" i="19" s="1"/>
  <c r="P771" i="19"/>
  <c r="P695" i="19"/>
  <c r="P758" i="19"/>
  <c r="P682" i="19"/>
  <c r="H418" i="19"/>
  <c r="T418" i="19" s="1"/>
  <c r="I27" i="14"/>
  <c r="H837" i="19" s="1"/>
  <c r="T837" i="19" s="1"/>
  <c r="I837" i="19" s="1"/>
  <c r="J22" i="14"/>
  <c r="H832" i="19"/>
  <c r="T832" i="19" s="1"/>
  <c r="P601" i="19"/>
  <c r="P782" i="19"/>
  <c r="I782" i="19" s="1"/>
  <c r="P780" i="19"/>
  <c r="P777" i="19"/>
  <c r="P171" i="19"/>
  <c r="P770" i="19"/>
  <c r="H558" i="19" l="1"/>
  <c r="T558" i="19" s="1"/>
  <c r="F25" i="10"/>
  <c r="H562" i="19" s="1"/>
  <c r="T562" i="19" s="1"/>
  <c r="AK276" i="20"/>
  <c r="AB337" i="20"/>
  <c r="H937" i="19"/>
  <c r="J13" i="14"/>
  <c r="H862" i="19" s="1"/>
  <c r="T862" i="19" s="1"/>
  <c r="L824" i="19"/>
  <c r="K824" i="19" s="1"/>
  <c r="I623" i="19"/>
  <c r="L702" i="19"/>
  <c r="K702" i="19" s="1"/>
  <c r="J702" i="19"/>
  <c r="I702" i="19"/>
  <c r="L783" i="19"/>
  <c r="K783" i="19" s="1"/>
  <c r="J783" i="19"/>
  <c r="I783" i="19"/>
  <c r="F748" i="19"/>
  <c r="R748" i="19" s="1"/>
  <c r="L452" i="19"/>
  <c r="K452" i="19" s="1"/>
  <c r="I452" i="19"/>
  <c r="J452" i="19"/>
  <c r="H597" i="19"/>
  <c r="H17" i="12"/>
  <c r="H598" i="19" s="1"/>
  <c r="T598" i="19" s="1"/>
  <c r="I619" i="19"/>
  <c r="J619" i="19" s="1"/>
  <c r="L619" i="19"/>
  <c r="K619" i="19" s="1"/>
  <c r="T591" i="19"/>
  <c r="I388" i="19"/>
  <c r="L388" i="19"/>
  <c r="K388" i="19" s="1"/>
  <c r="J388" i="19"/>
  <c r="I451" i="19"/>
  <c r="J451" i="19"/>
  <c r="L451" i="19"/>
  <c r="K451" i="19" s="1"/>
  <c r="G44" i="12"/>
  <c r="H628" i="19" s="1"/>
  <c r="T628" i="19" s="1"/>
  <c r="H41" i="12"/>
  <c r="H625" i="19" s="1"/>
  <c r="T625" i="19" s="1"/>
  <c r="H624" i="19"/>
  <c r="L772" i="19"/>
  <c r="K772" i="19" s="1"/>
  <c r="J772" i="19"/>
  <c r="I772" i="19"/>
  <c r="L805" i="19"/>
  <c r="K805" i="19" s="1"/>
  <c r="J805" i="19"/>
  <c r="I805" i="19"/>
  <c r="I774" i="19"/>
  <c r="J774" i="19" s="1"/>
  <c r="L580" i="19"/>
  <c r="K580" i="19" s="1"/>
  <c r="L841" i="19"/>
  <c r="K841" i="19" s="1"/>
  <c r="I841" i="19"/>
  <c r="J841" i="19" s="1"/>
  <c r="I421" i="19"/>
  <c r="J421" i="19" s="1"/>
  <c r="L421" i="19"/>
  <c r="K421" i="19" s="1"/>
  <c r="H748" i="19"/>
  <c r="T748" i="19" s="1"/>
  <c r="D10" i="13"/>
  <c r="T622" i="19"/>
  <c r="L622" i="19" s="1"/>
  <c r="K622" i="19" s="1"/>
  <c r="F623" i="19"/>
  <c r="R623" i="19" s="1"/>
  <c r="L418" i="19"/>
  <c r="K418" i="19" s="1"/>
  <c r="J418" i="19"/>
  <c r="I418" i="19"/>
  <c r="L696" i="19"/>
  <c r="K696" i="19" s="1"/>
  <c r="J696" i="19"/>
  <c r="I696" i="19"/>
  <c r="F872" i="19"/>
  <c r="R872" i="19" s="1"/>
  <c r="T840" i="19"/>
  <c r="L776" i="19"/>
  <c r="K776" i="19" s="1"/>
  <c r="J776" i="19"/>
  <c r="I776" i="19"/>
  <c r="L770" i="19"/>
  <c r="K770" i="19" s="1"/>
  <c r="J770" i="19"/>
  <c r="J682" i="19"/>
  <c r="L682" i="19"/>
  <c r="K682" i="19" s="1"/>
  <c r="I682" i="19"/>
  <c r="L839" i="19"/>
  <c r="K839" i="19" s="1"/>
  <c r="J839" i="19"/>
  <c r="I839" i="19"/>
  <c r="L419" i="19"/>
  <c r="K419" i="19" s="1"/>
  <c r="I419" i="19"/>
  <c r="J419" i="19"/>
  <c r="L846" i="19"/>
  <c r="K846" i="19" s="1"/>
  <c r="J846" i="19"/>
  <c r="I846" i="19"/>
  <c r="L420" i="19"/>
  <c r="K420" i="19" s="1"/>
  <c r="I420" i="19"/>
  <c r="J420" i="19" s="1"/>
  <c r="I698" i="19"/>
  <c r="J698" i="19" s="1"/>
  <c r="I80" i="19"/>
  <c r="J80" i="19" s="1"/>
  <c r="L80" i="19"/>
  <c r="K80" i="19" s="1"/>
  <c r="I826" i="19"/>
  <c r="L844" i="19"/>
  <c r="K844" i="19" s="1"/>
  <c r="I732" i="19"/>
  <c r="I825" i="19"/>
  <c r="J825" i="19" s="1"/>
  <c r="L825" i="19"/>
  <c r="K825" i="19" s="1"/>
  <c r="L916" i="19"/>
  <c r="I916" i="19"/>
  <c r="J916" i="19" s="1"/>
  <c r="T601" i="19"/>
  <c r="I601" i="19" s="1"/>
  <c r="J601" i="19" s="1"/>
  <c r="F610" i="19"/>
  <c r="R610" i="19" s="1"/>
  <c r="T697" i="19"/>
  <c r="F773" i="19"/>
  <c r="R773" i="19" s="1"/>
  <c r="F887" i="19"/>
  <c r="R887" i="19" s="1"/>
  <c r="L758" i="19"/>
  <c r="K758" i="19" s="1"/>
  <c r="J758" i="19"/>
  <c r="I758" i="19"/>
  <c r="I851" i="19"/>
  <c r="J851" i="19"/>
  <c r="L851" i="19"/>
  <c r="K851" i="19" s="1"/>
  <c r="I383" i="19"/>
  <c r="F24" i="10"/>
  <c r="R561" i="19"/>
  <c r="H552" i="19"/>
  <c r="T552" i="19" s="1"/>
  <c r="J826" i="19"/>
  <c r="I449" i="19"/>
  <c r="J449" i="19" s="1"/>
  <c r="L449" i="19"/>
  <c r="K449" i="19" s="1"/>
  <c r="L732" i="19"/>
  <c r="K732" i="19" s="1"/>
  <c r="H29" i="12"/>
  <c r="H611" i="19" s="1"/>
  <c r="T611" i="19" s="1"/>
  <c r="H610" i="19"/>
  <c r="I545" i="19"/>
  <c r="J545" i="19" s="1"/>
  <c r="L545" i="19"/>
  <c r="K545" i="19" s="1"/>
  <c r="L700" i="19"/>
  <c r="K700" i="19" s="1"/>
  <c r="J700" i="19"/>
  <c r="I700" i="19"/>
  <c r="L695" i="19"/>
  <c r="K695" i="19" s="1"/>
  <c r="J695" i="19"/>
  <c r="I695" i="19"/>
  <c r="I879" i="19"/>
  <c r="J374" i="19"/>
  <c r="L374" i="19"/>
  <c r="K374" i="19" s="1"/>
  <c r="H871" i="19"/>
  <c r="T871" i="19" s="1"/>
  <c r="I871" i="19" s="1"/>
  <c r="J36" i="14"/>
  <c r="H876" i="19" s="1"/>
  <c r="I413" i="19"/>
  <c r="J413" i="19" s="1"/>
  <c r="L413" i="19"/>
  <c r="K413" i="19" s="1"/>
  <c r="L623" i="19"/>
  <c r="K623" i="19" s="1"/>
  <c r="J623" i="19"/>
  <c r="G44" i="23"/>
  <c r="H183" i="19"/>
  <c r="L383" i="19"/>
  <c r="K383" i="19" s="1"/>
  <c r="J706" i="19"/>
  <c r="I706" i="19"/>
  <c r="L798" i="19"/>
  <c r="K798" i="19" s="1"/>
  <c r="T81" i="16"/>
  <c r="H931" i="19"/>
  <c r="E11" i="15"/>
  <c r="P111" i="16"/>
  <c r="J450" i="19"/>
  <c r="I450" i="19"/>
  <c r="L450" i="19"/>
  <c r="K450" i="19" s="1"/>
  <c r="L777" i="19"/>
  <c r="K777" i="19" s="1"/>
  <c r="J777" i="19"/>
  <c r="I777" i="19"/>
  <c r="J703" i="19"/>
  <c r="L703" i="19"/>
  <c r="K703" i="19" s="1"/>
  <c r="I703" i="19"/>
  <c r="J780" i="19"/>
  <c r="L780" i="19"/>
  <c r="K780" i="19" s="1"/>
  <c r="I780" i="19"/>
  <c r="L771" i="19"/>
  <c r="K771" i="19" s="1"/>
  <c r="J771" i="19"/>
  <c r="I771" i="19"/>
  <c r="L779" i="19"/>
  <c r="K779" i="19" s="1"/>
  <c r="J779" i="19"/>
  <c r="I779" i="19"/>
  <c r="F879" i="19"/>
  <c r="R879" i="19" s="1"/>
  <c r="T847" i="19"/>
  <c r="J728" i="19"/>
  <c r="I728" i="19"/>
  <c r="L728" i="19"/>
  <c r="K728" i="19" s="1"/>
  <c r="G10" i="23"/>
  <c r="I770" i="19"/>
  <c r="J855" i="19"/>
  <c r="L879" i="19"/>
  <c r="K879" i="19" s="1"/>
  <c r="J879" i="19"/>
  <c r="H384" i="19"/>
  <c r="H34" i="7"/>
  <c r="I615" i="19"/>
  <c r="L615" i="19"/>
  <c r="K615" i="19" s="1"/>
  <c r="J615" i="19"/>
  <c r="L855" i="19"/>
  <c r="K855" i="19" s="1"/>
  <c r="L558" i="19"/>
  <c r="K558" i="19" s="1"/>
  <c r="I558" i="19"/>
  <c r="J558" i="19" s="1"/>
  <c r="H172" i="19"/>
  <c r="T172" i="19" s="1"/>
  <c r="I47" i="24"/>
  <c r="L575" i="19"/>
  <c r="K575" i="19" s="1"/>
  <c r="I575" i="19"/>
  <c r="J575" i="19" s="1"/>
  <c r="L782" i="19"/>
  <c r="K782" i="19" s="1"/>
  <c r="J782" i="19"/>
  <c r="L872" i="19"/>
  <c r="K872" i="19" s="1"/>
  <c r="J872" i="19"/>
  <c r="L778" i="19"/>
  <c r="K778" i="19" s="1"/>
  <c r="J778" i="19"/>
  <c r="I778" i="19"/>
  <c r="G40" i="7"/>
  <c r="G41" i="7" s="1"/>
  <c r="I453" i="19"/>
  <c r="L453" i="19"/>
  <c r="K453" i="19" s="1"/>
  <c r="J453" i="19"/>
  <c r="F859" i="19"/>
  <c r="R859" i="19" s="1"/>
  <c r="T827" i="19"/>
  <c r="L827" i="19" s="1"/>
  <c r="K827" i="19" s="1"/>
  <c r="I832" i="19"/>
  <c r="L832" i="19"/>
  <c r="K832" i="19" s="1"/>
  <c r="J832" i="19"/>
  <c r="I381" i="19"/>
  <c r="J381" i="19"/>
  <c r="L381" i="19"/>
  <c r="K381" i="19" s="1"/>
  <c r="D44" i="7"/>
  <c r="H375" i="19"/>
  <c r="T171" i="19"/>
  <c r="I171" i="19" s="1"/>
  <c r="F172" i="19"/>
  <c r="R172" i="19" s="1"/>
  <c r="T179" i="19"/>
  <c r="F180" i="19"/>
  <c r="R180" i="19" s="1"/>
  <c r="H41" i="15"/>
  <c r="H690" i="19"/>
  <c r="J21" i="15"/>
  <c r="L819" i="19"/>
  <c r="K819" i="19" s="1"/>
  <c r="J819" i="19"/>
  <c r="L601" i="19"/>
  <c r="K601" i="19" s="1"/>
  <c r="J707" i="19"/>
  <c r="L707" i="19"/>
  <c r="K707" i="19" s="1"/>
  <c r="I707" i="19"/>
  <c r="I40" i="7"/>
  <c r="I41" i="7" s="1"/>
  <c r="F862" i="19"/>
  <c r="R862" i="19" s="1"/>
  <c r="T859" i="19"/>
  <c r="J837" i="19"/>
  <c r="L837" i="19"/>
  <c r="K837" i="19" s="1"/>
  <c r="T596" i="19"/>
  <c r="F597" i="19"/>
  <c r="R597" i="19" s="1"/>
  <c r="I374" i="19"/>
  <c r="L812" i="19"/>
  <c r="K812" i="19" s="1"/>
  <c r="F26" i="11"/>
  <c r="H586" i="19" s="1"/>
  <c r="T586" i="19" s="1"/>
  <c r="F586" i="19"/>
  <c r="R586" i="19" s="1"/>
  <c r="H584" i="19"/>
  <c r="T584" i="19" s="1"/>
  <c r="H942" i="19"/>
  <c r="F97" i="16"/>
  <c r="T937" i="19"/>
  <c r="F942" i="19"/>
  <c r="R942" i="19" s="1"/>
  <c r="H719" i="19"/>
  <c r="F681" i="19"/>
  <c r="R681" i="19" s="1"/>
  <c r="I908" i="19"/>
  <c r="J908" i="19" s="1"/>
  <c r="L908" i="19"/>
  <c r="F469" i="19"/>
  <c r="R469" i="19" s="1"/>
  <c r="AH318" i="20"/>
  <c r="AH301" i="20"/>
  <c r="E44" i="23"/>
  <c r="F830" i="19"/>
  <c r="R830" i="19" s="1"/>
  <c r="I830" i="19" s="1"/>
  <c r="J830" i="19" s="1"/>
  <c r="P892" i="19"/>
  <c r="P891" i="19"/>
  <c r="P893" i="19"/>
  <c r="P690" i="19"/>
  <c r="P766" i="19"/>
  <c r="AH307" i="20"/>
  <c r="AH314" i="20"/>
  <c r="AH321" i="20"/>
  <c r="AH326" i="20"/>
  <c r="AH300" i="20"/>
  <c r="AH319" i="20"/>
  <c r="AH299" i="20"/>
  <c r="AH320" i="20"/>
  <c r="AH315" i="20"/>
  <c r="X337" i="20"/>
  <c r="AC337" i="20" s="1"/>
  <c r="AH324" i="20"/>
  <c r="AH303" i="20"/>
  <c r="AH317" i="20"/>
  <c r="W387" i="20"/>
  <c r="AH302" i="20"/>
  <c r="B186" i="19"/>
  <c r="B179" i="19"/>
  <c r="Q536" i="20"/>
  <c r="L961" i="19" s="1"/>
  <c r="AH310" i="20"/>
  <c r="D306" i="20"/>
  <c r="D364" i="20"/>
  <c r="Z364" i="20" s="1"/>
  <c r="D387" i="20"/>
  <c r="Z387" i="20" s="1"/>
  <c r="D329" i="20"/>
  <c r="D342" i="20"/>
  <c r="D284" i="20"/>
  <c r="D348" i="20"/>
  <c r="D290" i="20"/>
  <c r="D314" i="20"/>
  <c r="D372" i="20"/>
  <c r="Z372" i="20" s="1"/>
  <c r="D301" i="20"/>
  <c r="D359" i="20"/>
  <c r="Z359" i="20" s="1"/>
  <c r="D293" i="20"/>
  <c r="D351" i="20"/>
  <c r="D295" i="20"/>
  <c r="D353" i="20"/>
  <c r="Z353" i="20" s="1"/>
  <c r="D386" i="20"/>
  <c r="Z386" i="20" s="1"/>
  <c r="D328" i="20"/>
  <c r="D354" i="20"/>
  <c r="Z354" i="20" s="1"/>
  <c r="D296" i="20"/>
  <c r="D299" i="20"/>
  <c r="D357" i="20"/>
  <c r="Z357" i="20" s="1"/>
  <c r="AH308" i="20"/>
  <c r="D343" i="20"/>
  <c r="D285" i="20"/>
  <c r="AH316" i="20"/>
  <c r="D378" i="20"/>
  <c r="Z378" i="20" s="1"/>
  <c r="D320" i="20"/>
  <c r="X279" i="20"/>
  <c r="AM279" i="20" s="1"/>
  <c r="AG329" i="20"/>
  <c r="X329" i="20" s="1"/>
  <c r="D382" i="20"/>
  <c r="Z382" i="20" s="1"/>
  <c r="D324" i="20"/>
  <c r="D304" i="20"/>
  <c r="D362" i="20"/>
  <c r="Z362" i="20" s="1"/>
  <c r="D379" i="20"/>
  <c r="Z379" i="20" s="1"/>
  <c r="D321" i="20"/>
  <c r="D373" i="20"/>
  <c r="Z373" i="20" s="1"/>
  <c r="D315" i="20"/>
  <c r="D350" i="20"/>
  <c r="D292" i="20"/>
  <c r="D303" i="20"/>
  <c r="D361" i="20"/>
  <c r="Z361" i="20" s="1"/>
  <c r="AH312" i="20"/>
  <c r="AH309" i="20"/>
  <c r="D356" i="20"/>
  <c r="Z356" i="20" s="1"/>
  <c r="D298" i="20"/>
  <c r="D286" i="20"/>
  <c r="D344" i="20"/>
  <c r="D371" i="20"/>
  <c r="Z371" i="20" s="1"/>
  <c r="D313" i="20"/>
  <c r="D339" i="20"/>
  <c r="D281" i="20"/>
  <c r="D283" i="20"/>
  <c r="D341" i="20"/>
  <c r="D352" i="20"/>
  <c r="D294" i="20"/>
  <c r="D349" i="20"/>
  <c r="D291" i="20"/>
  <c r="AH305" i="20"/>
  <c r="AH298" i="20"/>
  <c r="D318" i="20"/>
  <c r="D376" i="20"/>
  <c r="Z376" i="20" s="1"/>
  <c r="V279" i="20"/>
  <c r="AK279" i="20" s="1"/>
  <c r="D383" i="20"/>
  <c r="Z383" i="20" s="1"/>
  <c r="D325" i="20"/>
  <c r="AH311" i="20"/>
  <c r="D297" i="20"/>
  <c r="D355" i="20"/>
  <c r="Z355" i="20" s="1"/>
  <c r="D374" i="20"/>
  <c r="Z374" i="20" s="1"/>
  <c r="D316" i="20"/>
  <c r="D340" i="20"/>
  <c r="D282" i="20"/>
  <c r="D384" i="20"/>
  <c r="Z384" i="20" s="1"/>
  <c r="D326" i="20"/>
  <c r="D323" i="20"/>
  <c r="D381" i="20"/>
  <c r="Z381" i="20" s="1"/>
  <c r="D338" i="20"/>
  <c r="D280" i="20"/>
  <c r="AF279" i="20"/>
  <c r="AH296" i="20"/>
  <c r="D322" i="20"/>
  <c r="D380" i="20"/>
  <c r="Z380" i="20" s="1"/>
  <c r="D385" i="20"/>
  <c r="Z385" i="20" s="1"/>
  <c r="D327" i="20"/>
  <c r="D309" i="20"/>
  <c r="D367" i="20"/>
  <c r="Z367" i="20" s="1"/>
  <c r="AH297" i="20"/>
  <c r="D363" i="20"/>
  <c r="Z363" i="20" s="1"/>
  <c r="D305" i="20"/>
  <c r="D287" i="20"/>
  <c r="D345" i="20"/>
  <c r="D366" i="20"/>
  <c r="Z366" i="20" s="1"/>
  <c r="D308" i="20"/>
  <c r="D312" i="20"/>
  <c r="D370" i="20"/>
  <c r="Z370" i="20" s="1"/>
  <c r="D289" i="20"/>
  <c r="D347" i="20"/>
  <c r="AH325" i="20"/>
  <c r="D346" i="20"/>
  <c r="D288" i="20"/>
  <c r="D319" i="20"/>
  <c r="D377" i="20"/>
  <c r="Z377" i="20" s="1"/>
  <c r="D317" i="20"/>
  <c r="D375" i="20"/>
  <c r="Z375" i="20" s="1"/>
  <c r="AH295" i="20"/>
  <c r="D358" i="20"/>
  <c r="Z358" i="20" s="1"/>
  <c r="D300" i="20"/>
  <c r="AH306" i="20"/>
  <c r="AH328" i="20"/>
  <c r="D368" i="20"/>
  <c r="Z368" i="20" s="1"/>
  <c r="D310" i="20"/>
  <c r="P155" i="19"/>
  <c r="P154" i="19"/>
  <c r="U338" i="20"/>
  <c r="AH313" i="20"/>
  <c r="D311" i="20"/>
  <c r="D369" i="20"/>
  <c r="Z369" i="20" s="1"/>
  <c r="D365" i="20"/>
  <c r="Z365" i="20" s="1"/>
  <c r="D307" i="20"/>
  <c r="AH323" i="20"/>
  <c r="AH322" i="20"/>
  <c r="AH327" i="20"/>
  <c r="D302" i="20"/>
  <c r="D360" i="20"/>
  <c r="Z360" i="20" s="1"/>
  <c r="AH304" i="20"/>
  <c r="P748" i="19"/>
  <c r="P710" i="19"/>
  <c r="P611" i="19"/>
  <c r="P610" i="19"/>
  <c r="H878" i="19"/>
  <c r="T878" i="19" s="1"/>
  <c r="I878" i="19" s="1"/>
  <c r="J50" i="14"/>
  <c r="H883" i="19" s="1"/>
  <c r="T883" i="19" s="1"/>
  <c r="P786" i="19"/>
  <c r="P773" i="19"/>
  <c r="L773" i="19" s="1"/>
  <c r="K773" i="19" s="1"/>
  <c r="P581" i="19"/>
  <c r="L581" i="19" s="1"/>
  <c r="K581" i="19" s="1"/>
  <c r="F878" i="19"/>
  <c r="R878" i="19" s="1"/>
  <c r="F851" i="19"/>
  <c r="R851" i="19" s="1"/>
  <c r="P883" i="19"/>
  <c r="F837" i="19"/>
  <c r="R837" i="19" s="1"/>
  <c r="F864" i="19"/>
  <c r="R864" i="19" s="1"/>
  <c r="P562" i="19"/>
  <c r="L562" i="19" s="1"/>
  <c r="K562" i="19" s="1"/>
  <c r="T408" i="20"/>
  <c r="T410" i="20"/>
  <c r="T400" i="20"/>
  <c r="T412" i="20"/>
  <c r="T406" i="20"/>
  <c r="T404" i="20"/>
  <c r="T402" i="20"/>
  <c r="P912" i="19"/>
  <c r="P911" i="19"/>
  <c r="P910" i="19"/>
  <c r="H864" i="19"/>
  <c r="T864" i="19" s="1"/>
  <c r="I864" i="19" s="1"/>
  <c r="J27" i="14"/>
  <c r="H869" i="19" s="1"/>
  <c r="T869" i="19" s="1"/>
  <c r="I869" i="19" s="1"/>
  <c r="P552" i="19"/>
  <c r="P384" i="19"/>
  <c r="P584" i="19"/>
  <c r="P586" i="19"/>
  <c r="P918" i="19"/>
  <c r="P919" i="19"/>
  <c r="P920" i="19"/>
  <c r="P859" i="19"/>
  <c r="P598" i="19"/>
  <c r="P375" i="19"/>
  <c r="F876" i="19"/>
  <c r="R876" i="19" s="1"/>
  <c r="F844" i="19"/>
  <c r="R844" i="19" s="1"/>
  <c r="I844" i="19" s="1"/>
  <c r="J844" i="19" s="1"/>
  <c r="F871" i="19"/>
  <c r="R871" i="19" s="1"/>
  <c r="P644" i="19"/>
  <c r="F889" i="19" l="1"/>
  <c r="R889" i="19" s="1"/>
  <c r="F888" i="19"/>
  <c r="R888" i="19" s="1"/>
  <c r="G45" i="12"/>
  <c r="AB352" i="20"/>
  <c r="I622" i="19"/>
  <c r="J622" i="19" s="1"/>
  <c r="AK312" i="20"/>
  <c r="AJ312" i="20"/>
  <c r="AM312" i="20"/>
  <c r="AL312" i="20"/>
  <c r="AM316" i="20"/>
  <c r="AL316" i="20"/>
  <c r="AK316" i="20"/>
  <c r="AJ316" i="20"/>
  <c r="AM298" i="20"/>
  <c r="AL298" i="20"/>
  <c r="AK298" i="20"/>
  <c r="AJ298" i="20"/>
  <c r="AM304" i="20"/>
  <c r="AL304" i="20"/>
  <c r="AK304" i="20"/>
  <c r="AJ304" i="20"/>
  <c r="AM311" i="20"/>
  <c r="AL311" i="20"/>
  <c r="AK311" i="20"/>
  <c r="AJ311" i="20"/>
  <c r="AK324" i="20"/>
  <c r="AJ324" i="20"/>
  <c r="AM324" i="20"/>
  <c r="AL324" i="20"/>
  <c r="AM296" i="20"/>
  <c r="AL296" i="20"/>
  <c r="AK296" i="20"/>
  <c r="AJ296" i="20"/>
  <c r="L871" i="19"/>
  <c r="K871" i="19" s="1"/>
  <c r="AM308" i="20"/>
  <c r="AL308" i="20"/>
  <c r="AK308" i="20"/>
  <c r="AJ308" i="20"/>
  <c r="AM317" i="20"/>
  <c r="AL317" i="20"/>
  <c r="AK317" i="20"/>
  <c r="AJ317" i="20"/>
  <c r="AK297" i="20"/>
  <c r="AJ297" i="20"/>
  <c r="AL297" i="20"/>
  <c r="AM297" i="20"/>
  <c r="J871" i="19"/>
  <c r="X287" i="20"/>
  <c r="AM287" i="20" s="1"/>
  <c r="AM328" i="20"/>
  <c r="AL328" i="20"/>
  <c r="AK328" i="20"/>
  <c r="AJ328" i="20"/>
  <c r="AM314" i="20"/>
  <c r="AL314" i="20"/>
  <c r="AK314" i="20"/>
  <c r="AJ314" i="20"/>
  <c r="AM319" i="20"/>
  <c r="AL319" i="20"/>
  <c r="AK319" i="20"/>
  <c r="AJ319" i="20"/>
  <c r="AM305" i="20"/>
  <c r="AL305" i="20"/>
  <c r="AK305" i="20"/>
  <c r="AJ305" i="20"/>
  <c r="Z338" i="20"/>
  <c r="AM325" i="20"/>
  <c r="AL325" i="20"/>
  <c r="AK325" i="20"/>
  <c r="AJ325" i="20"/>
  <c r="AK303" i="20"/>
  <c r="AJ303" i="20"/>
  <c r="AM303" i="20"/>
  <c r="AL303" i="20"/>
  <c r="AM320" i="20"/>
  <c r="AL320" i="20"/>
  <c r="AK320" i="20"/>
  <c r="AJ320" i="20"/>
  <c r="AM329" i="20"/>
  <c r="AL329" i="20"/>
  <c r="AK329" i="20"/>
  <c r="AJ329" i="20"/>
  <c r="L586" i="19"/>
  <c r="K586" i="19" s="1"/>
  <c r="AM302" i="20"/>
  <c r="AL302" i="20"/>
  <c r="AK302" i="20"/>
  <c r="AJ302" i="20"/>
  <c r="AM310" i="20"/>
  <c r="AL310" i="20"/>
  <c r="AK310" i="20"/>
  <c r="AJ310" i="20"/>
  <c r="AM323" i="20"/>
  <c r="AL323" i="20"/>
  <c r="AK323" i="20"/>
  <c r="AJ323" i="20"/>
  <c r="AM295" i="20"/>
  <c r="AL295" i="20"/>
  <c r="AK295" i="20"/>
  <c r="AJ295" i="20"/>
  <c r="AM326" i="20"/>
  <c r="AL326" i="20"/>
  <c r="AK326" i="20"/>
  <c r="AJ326" i="20"/>
  <c r="AM313" i="20"/>
  <c r="AL313" i="20"/>
  <c r="AK313" i="20"/>
  <c r="AJ313" i="20"/>
  <c r="AK315" i="20"/>
  <c r="AJ315" i="20"/>
  <c r="AM315" i="20"/>
  <c r="AL315" i="20"/>
  <c r="AM322" i="20"/>
  <c r="AL322" i="20"/>
  <c r="AK322" i="20"/>
  <c r="AJ322" i="20"/>
  <c r="I883" i="19"/>
  <c r="AK309" i="20"/>
  <c r="AJ309" i="20"/>
  <c r="AM309" i="20"/>
  <c r="AL309" i="20"/>
  <c r="AK318" i="20"/>
  <c r="AJ318" i="20"/>
  <c r="AM318" i="20"/>
  <c r="AL318" i="20"/>
  <c r="AK306" i="20"/>
  <c r="AJ306" i="20"/>
  <c r="AM306" i="20"/>
  <c r="AL306" i="20"/>
  <c r="AM299" i="20"/>
  <c r="AL299" i="20"/>
  <c r="AK299" i="20"/>
  <c r="AJ299" i="20"/>
  <c r="AK327" i="20"/>
  <c r="AM327" i="20"/>
  <c r="AJ327" i="20"/>
  <c r="AL327" i="20"/>
  <c r="AK321" i="20"/>
  <c r="AJ321" i="20"/>
  <c r="AM321" i="20"/>
  <c r="AL321" i="20"/>
  <c r="AM307" i="20"/>
  <c r="AL307" i="20"/>
  <c r="AK307" i="20"/>
  <c r="AJ307" i="20"/>
  <c r="AK300" i="20"/>
  <c r="AJ300" i="20"/>
  <c r="AM300" i="20"/>
  <c r="AL300" i="20"/>
  <c r="X286" i="20"/>
  <c r="AM286" i="20" s="1"/>
  <c r="AM301" i="20"/>
  <c r="AL301" i="20"/>
  <c r="AK301" i="20"/>
  <c r="AJ301" i="20"/>
  <c r="I891" i="19"/>
  <c r="J891" i="19" s="1"/>
  <c r="J827" i="19"/>
  <c r="J171" i="19"/>
  <c r="I562" i="19"/>
  <c r="J562" i="19" s="1"/>
  <c r="I847" i="19"/>
  <c r="L847" i="19"/>
  <c r="K847" i="19" s="1"/>
  <c r="J847" i="19"/>
  <c r="T876" i="19"/>
  <c r="L876" i="19" s="1"/>
  <c r="K876" i="19" s="1"/>
  <c r="F893" i="19"/>
  <c r="R893" i="19" s="1"/>
  <c r="F891" i="19"/>
  <c r="R891" i="19" s="1"/>
  <c r="F892" i="19"/>
  <c r="R892" i="19" s="1"/>
  <c r="L552" i="19"/>
  <c r="K552" i="19" s="1"/>
  <c r="I552" i="19"/>
  <c r="J552" i="19" s="1"/>
  <c r="I581" i="19"/>
  <c r="J581" i="19" s="1"/>
  <c r="J878" i="19"/>
  <c r="H45" i="12"/>
  <c r="G46" i="12"/>
  <c r="G47" i="12" s="1"/>
  <c r="H629" i="19"/>
  <c r="F10" i="12"/>
  <c r="I591" i="19"/>
  <c r="J591" i="19" s="1"/>
  <c r="L591" i="19"/>
  <c r="K591" i="19" s="1"/>
  <c r="I827" i="19"/>
  <c r="T624" i="19"/>
  <c r="F625" i="19"/>
  <c r="R625" i="19" s="1"/>
  <c r="F629" i="19"/>
  <c r="R629" i="19" s="1"/>
  <c r="F628" i="19"/>
  <c r="R628" i="19" s="1"/>
  <c r="L171" i="19"/>
  <c r="K171" i="19" s="1"/>
  <c r="H393" i="19"/>
  <c r="H40" i="7"/>
  <c r="I748" i="19"/>
  <c r="J748" i="19" s="1"/>
  <c r="L878" i="19"/>
  <c r="K878" i="19" s="1"/>
  <c r="I876" i="19"/>
  <c r="J876" i="19" s="1"/>
  <c r="L910" i="19"/>
  <c r="I910" i="19"/>
  <c r="J910" i="19" s="1"/>
  <c r="I596" i="19"/>
  <c r="J596" i="19" s="1"/>
  <c r="L596" i="19"/>
  <c r="K596" i="19" s="1"/>
  <c r="T375" i="19"/>
  <c r="I375" i="19" s="1"/>
  <c r="J375" i="19" s="1"/>
  <c r="F403" i="19"/>
  <c r="R403" i="19" s="1"/>
  <c r="T384" i="19"/>
  <c r="F393" i="19"/>
  <c r="R393" i="19" s="1"/>
  <c r="L869" i="19"/>
  <c r="K869" i="19" s="1"/>
  <c r="F26" i="10"/>
  <c r="H563" i="19" s="1"/>
  <c r="T563" i="19" s="1"/>
  <c r="H561" i="19"/>
  <c r="T561" i="19" s="1"/>
  <c r="F563" i="19"/>
  <c r="R563" i="19" s="1"/>
  <c r="L883" i="19"/>
  <c r="K883" i="19" s="1"/>
  <c r="J883" i="19"/>
  <c r="G44" i="7"/>
  <c r="G45" i="7" s="1"/>
  <c r="G51" i="7" s="1"/>
  <c r="G58" i="7" s="1"/>
  <c r="F44" i="7"/>
  <c r="F45" i="7" s="1"/>
  <c r="F51" i="7" s="1"/>
  <c r="F58" i="7" s="1"/>
  <c r="I44" i="7"/>
  <c r="I45" i="7" s="1"/>
  <c r="I51" i="7" s="1"/>
  <c r="I58" i="7" s="1"/>
  <c r="H44" i="7"/>
  <c r="H403" i="19" s="1"/>
  <c r="T403" i="19" s="1"/>
  <c r="J44" i="7"/>
  <c r="J45" i="7" s="1"/>
  <c r="J51" i="7" s="1"/>
  <c r="J58" i="7" s="1"/>
  <c r="J869" i="19"/>
  <c r="L598" i="19"/>
  <c r="K598" i="19" s="1"/>
  <c r="T931" i="19"/>
  <c r="F955" i="19"/>
  <c r="R955" i="19" s="1"/>
  <c r="J859" i="19"/>
  <c r="L859" i="19"/>
  <c r="K859" i="19" s="1"/>
  <c r="O337" i="20"/>
  <c r="T610" i="19"/>
  <c r="L610" i="19" s="1"/>
  <c r="K610" i="19" s="1"/>
  <c r="F611" i="19"/>
  <c r="R611" i="19" s="1"/>
  <c r="I611" i="19" s="1"/>
  <c r="J611" i="19" s="1"/>
  <c r="I773" i="19"/>
  <c r="J773" i="19" s="1"/>
  <c r="T597" i="19"/>
  <c r="F624" i="19"/>
  <c r="R624" i="19" s="1"/>
  <c r="F598" i="19"/>
  <c r="R598" i="19" s="1"/>
  <c r="I598" i="19" s="1"/>
  <c r="J598" i="19" s="1"/>
  <c r="I859" i="19"/>
  <c r="H766" i="19"/>
  <c r="J41" i="15"/>
  <c r="H786" i="19" s="1"/>
  <c r="T786" i="19" s="1"/>
  <c r="L786" i="19" s="1"/>
  <c r="K786" i="19" s="1"/>
  <c r="L611" i="19"/>
  <c r="K611" i="19" s="1"/>
  <c r="I697" i="19"/>
  <c r="J697" i="19" s="1"/>
  <c r="L697" i="19"/>
  <c r="K697" i="19" s="1"/>
  <c r="L748" i="19"/>
  <c r="K748" i="19" s="1"/>
  <c r="T89" i="16"/>
  <c r="P115" i="16"/>
  <c r="I11" i="15" s="1"/>
  <c r="H955" i="19"/>
  <c r="T690" i="19"/>
  <c r="I690" i="19" s="1"/>
  <c r="F766" i="19"/>
  <c r="R766" i="19" s="1"/>
  <c r="F710" i="19"/>
  <c r="R710" i="19" s="1"/>
  <c r="F187" i="19"/>
  <c r="R187" i="19" s="1"/>
  <c r="T183" i="19"/>
  <c r="L840" i="19"/>
  <c r="K840" i="19" s="1"/>
  <c r="J840" i="19"/>
  <c r="I840" i="19"/>
  <c r="J864" i="19"/>
  <c r="J644" i="19"/>
  <c r="L644" i="19"/>
  <c r="K644" i="19" s="1"/>
  <c r="I644" i="19"/>
  <c r="L918" i="19"/>
  <c r="I918" i="19"/>
  <c r="J918" i="19" s="1"/>
  <c r="L584" i="19"/>
  <c r="K584" i="19" s="1"/>
  <c r="I584" i="19"/>
  <c r="J584" i="19" s="1"/>
  <c r="H710" i="19"/>
  <c r="T710" i="19" s="1"/>
  <c r="L710" i="19" s="1"/>
  <c r="K710" i="19" s="1"/>
  <c r="F46" i="23"/>
  <c r="E55" i="24" s="1"/>
  <c r="H187" i="19"/>
  <c r="T187" i="19" s="1"/>
  <c r="L864" i="19"/>
  <c r="K864" i="19" s="1"/>
  <c r="I586" i="19"/>
  <c r="J586" i="19" s="1"/>
  <c r="H154" i="19"/>
  <c r="G11" i="23"/>
  <c r="T719" i="19"/>
  <c r="F103" i="16"/>
  <c r="F113" i="16"/>
  <c r="H12" i="15" s="1"/>
  <c r="H947" i="19"/>
  <c r="T942" i="19"/>
  <c r="F947" i="19"/>
  <c r="R947" i="19" s="1"/>
  <c r="P625" i="19"/>
  <c r="X289" i="20"/>
  <c r="AM289" i="20" s="1"/>
  <c r="U319" i="20"/>
  <c r="X319" i="20"/>
  <c r="V319" i="20"/>
  <c r="W319" i="20"/>
  <c r="X281" i="20"/>
  <c r="AM281" i="20" s="1"/>
  <c r="X292" i="20"/>
  <c r="AM292" i="20" s="1"/>
  <c r="V318" i="20"/>
  <c r="W318" i="20"/>
  <c r="X318" i="20"/>
  <c r="U318" i="20"/>
  <c r="V313" i="20"/>
  <c r="W313" i="20"/>
  <c r="X313" i="20"/>
  <c r="U313" i="20"/>
  <c r="X320" i="20"/>
  <c r="W320" i="20"/>
  <c r="U320" i="20"/>
  <c r="U322" i="20"/>
  <c r="W322" i="20"/>
  <c r="X322" i="20"/>
  <c r="V322" i="20"/>
  <c r="V315" i="20"/>
  <c r="U315" i="20"/>
  <c r="X315" i="20"/>
  <c r="W315" i="20"/>
  <c r="V295" i="20"/>
  <c r="U295" i="20"/>
  <c r="W295" i="20"/>
  <c r="X295" i="20"/>
  <c r="U326" i="20"/>
  <c r="W326" i="20"/>
  <c r="V326" i="20"/>
  <c r="X326" i="20"/>
  <c r="X316" i="20"/>
  <c r="W316" i="20"/>
  <c r="U316" i="20"/>
  <c r="V316" i="20"/>
  <c r="X284" i="20"/>
  <c r="AM284" i="20" s="1"/>
  <c r="U328" i="20"/>
  <c r="V328" i="20"/>
  <c r="W328" i="20"/>
  <c r="X328" i="20"/>
  <c r="V307" i="20"/>
  <c r="U307" i="20"/>
  <c r="X307" i="20"/>
  <c r="W307" i="20"/>
  <c r="W279" i="20"/>
  <c r="AH280" i="20"/>
  <c r="AD280" i="20"/>
  <c r="U280" i="20" s="1"/>
  <c r="AJ280" i="20" s="1"/>
  <c r="X291" i="20"/>
  <c r="AM291" i="20" s="1"/>
  <c r="W321" i="20"/>
  <c r="U321" i="20"/>
  <c r="X321" i="20"/>
  <c r="V321" i="20"/>
  <c r="X285" i="20"/>
  <c r="AM285" i="20" s="1"/>
  <c r="X327" i="20"/>
  <c r="V327" i="20"/>
  <c r="W327" i="20"/>
  <c r="U327" i="20"/>
  <c r="X310" i="20"/>
  <c r="V310" i="20"/>
  <c r="W310" i="20"/>
  <c r="U310" i="20"/>
  <c r="V320" i="20"/>
  <c r="X298" i="20"/>
  <c r="U298" i="20"/>
  <c r="W298" i="20"/>
  <c r="V298" i="20"/>
  <c r="X293" i="20"/>
  <c r="AM293" i="20" s="1"/>
  <c r="W300" i="20"/>
  <c r="U300" i="20"/>
  <c r="X300" i="20"/>
  <c r="V300" i="20"/>
  <c r="X305" i="20"/>
  <c r="W305" i="20"/>
  <c r="V305" i="20"/>
  <c r="U305" i="20"/>
  <c r="V297" i="20"/>
  <c r="X297" i="20"/>
  <c r="U297" i="20"/>
  <c r="W297" i="20"/>
  <c r="X288" i="20"/>
  <c r="AM288" i="20" s="1"/>
  <c r="W306" i="20"/>
  <c r="X306" i="20"/>
  <c r="U306" i="20"/>
  <c r="V306" i="20"/>
  <c r="W311" i="20"/>
  <c r="V311" i="20"/>
  <c r="X311" i="20"/>
  <c r="U311" i="20"/>
  <c r="X280" i="20"/>
  <c r="AM280" i="20" s="1"/>
  <c r="X294" i="20"/>
  <c r="AM294" i="20" s="1"/>
  <c r="W304" i="20"/>
  <c r="V304" i="20"/>
  <c r="U304" i="20"/>
  <c r="X304" i="20"/>
  <c r="W301" i="20"/>
  <c r="X301" i="20"/>
  <c r="V301" i="20"/>
  <c r="U301" i="20"/>
  <c r="P172" i="19"/>
  <c r="I172" i="19" s="1"/>
  <c r="J172" i="19" s="1"/>
  <c r="V303" i="20"/>
  <c r="W303" i="20"/>
  <c r="U303" i="20"/>
  <c r="X303" i="20"/>
  <c r="X325" i="20"/>
  <c r="V325" i="20"/>
  <c r="U325" i="20"/>
  <c r="W325" i="20"/>
  <c r="X324" i="20"/>
  <c r="V324" i="20"/>
  <c r="W324" i="20"/>
  <c r="U324" i="20"/>
  <c r="W299" i="20"/>
  <c r="V299" i="20"/>
  <c r="X299" i="20"/>
  <c r="U299" i="20"/>
  <c r="X282" i="20"/>
  <c r="AM282" i="20" s="1"/>
  <c r="W312" i="20"/>
  <c r="U312" i="20"/>
  <c r="X312" i="20"/>
  <c r="V312" i="20"/>
  <c r="X296" i="20"/>
  <c r="U296" i="20"/>
  <c r="V296" i="20"/>
  <c r="W296" i="20"/>
  <c r="U314" i="20"/>
  <c r="V314" i="20"/>
  <c r="W314" i="20"/>
  <c r="X314" i="20"/>
  <c r="W302" i="20"/>
  <c r="U302" i="20"/>
  <c r="V302" i="20"/>
  <c r="X302" i="20"/>
  <c r="U339" i="20"/>
  <c r="Z339" i="20" s="1"/>
  <c r="V338" i="20"/>
  <c r="AA338" i="20" s="1"/>
  <c r="W317" i="20"/>
  <c r="X317" i="20"/>
  <c r="U317" i="20"/>
  <c r="V317" i="20"/>
  <c r="X308" i="20"/>
  <c r="W308" i="20"/>
  <c r="V308" i="20"/>
  <c r="U308" i="20"/>
  <c r="X309" i="20"/>
  <c r="U309" i="20"/>
  <c r="W309" i="20"/>
  <c r="V309" i="20"/>
  <c r="U323" i="20"/>
  <c r="W323" i="20"/>
  <c r="V323" i="20"/>
  <c r="X323" i="20"/>
  <c r="X283" i="20"/>
  <c r="AM283" i="20" s="1"/>
  <c r="X290" i="20"/>
  <c r="AM290" i="20" s="1"/>
  <c r="P585" i="19"/>
  <c r="P862" i="19"/>
  <c r="I862" i="19" s="1"/>
  <c r="J862" i="19" s="1"/>
  <c r="P888" i="19"/>
  <c r="P887" i="19"/>
  <c r="P889" i="19"/>
  <c r="P931" i="19"/>
  <c r="P930" i="19"/>
  <c r="I30" i="8"/>
  <c r="H30" i="8"/>
  <c r="I5" i="8"/>
  <c r="H5" i="8"/>
  <c r="P926" i="19"/>
  <c r="P921" i="19"/>
  <c r="P393" i="19"/>
  <c r="P624" i="19"/>
  <c r="P561" i="19"/>
  <c r="P563" i="19"/>
  <c r="P403" i="19"/>
  <c r="F869" i="19"/>
  <c r="R869" i="19" s="1"/>
  <c r="F883" i="19"/>
  <c r="R883" i="19" s="1"/>
  <c r="P456" i="19"/>
  <c r="P955" i="19"/>
  <c r="P426" i="19"/>
  <c r="P179" i="19"/>
  <c r="I179" i="19" s="1"/>
  <c r="P937" i="19"/>
  <c r="I937" i="19" s="1"/>
  <c r="J937" i="19" s="1"/>
  <c r="L690" i="19" l="1"/>
  <c r="K690" i="19" s="1"/>
  <c r="J690" i="19"/>
  <c r="I403" i="19"/>
  <c r="I610" i="19"/>
  <c r="J610" i="19" s="1"/>
  <c r="AL279" i="20"/>
  <c r="O279" i="20" s="1"/>
  <c r="I585" i="19"/>
  <c r="J585" i="19" s="1"/>
  <c r="L585" i="19"/>
  <c r="K585" i="19" s="1"/>
  <c r="H155" i="19"/>
  <c r="T155" i="19" s="1"/>
  <c r="L155" i="19" s="1"/>
  <c r="K155" i="19" s="1"/>
  <c r="D23" i="23"/>
  <c r="H718" i="19"/>
  <c r="F680" i="19"/>
  <c r="R680" i="19" s="1"/>
  <c r="I19" i="15"/>
  <c r="L384" i="19"/>
  <c r="K384" i="19" s="1"/>
  <c r="I384" i="19"/>
  <c r="J384" i="19" s="1"/>
  <c r="T154" i="19"/>
  <c r="F155" i="19"/>
  <c r="R155" i="19" s="1"/>
  <c r="H956" i="19"/>
  <c r="T97" i="16"/>
  <c r="H399" i="19"/>
  <c r="H41" i="7"/>
  <c r="B10" i="12"/>
  <c r="H592" i="19"/>
  <c r="L921" i="19"/>
  <c r="I921" i="19"/>
  <c r="J921" i="19" s="1"/>
  <c r="I183" i="19"/>
  <c r="J183" i="19" s="1"/>
  <c r="L183" i="19"/>
  <c r="K183" i="19" s="1"/>
  <c r="T393" i="19"/>
  <c r="I393" i="19" s="1"/>
  <c r="F399" i="19"/>
  <c r="R399" i="19" s="1"/>
  <c r="H632" i="19"/>
  <c r="H47" i="12"/>
  <c r="H633" i="19" s="1"/>
  <c r="T633" i="19" s="1"/>
  <c r="T766" i="19"/>
  <c r="F786" i="19"/>
  <c r="R786" i="19" s="1"/>
  <c r="I786" i="19" s="1"/>
  <c r="J786" i="19" s="1"/>
  <c r="T629" i="19"/>
  <c r="F630" i="19"/>
  <c r="R630" i="19" s="1"/>
  <c r="F631" i="19"/>
  <c r="R631" i="19" s="1"/>
  <c r="F592" i="19"/>
  <c r="R592" i="19" s="1"/>
  <c r="G35" i="8"/>
  <c r="G36" i="8"/>
  <c r="L172" i="19"/>
  <c r="K172" i="19" s="1"/>
  <c r="L179" i="19"/>
  <c r="K179" i="19" s="1"/>
  <c r="H631" i="19"/>
  <c r="T631" i="19" s="1"/>
  <c r="H46" i="12"/>
  <c r="L930" i="19"/>
  <c r="I930" i="19"/>
  <c r="J930" i="19" s="1"/>
  <c r="I710" i="19"/>
  <c r="J710" i="19" s="1"/>
  <c r="J179" i="19"/>
  <c r="H630" i="19"/>
  <c r="T630" i="19" s="1"/>
  <c r="H10" i="12"/>
  <c r="H593" i="19" s="1"/>
  <c r="T593" i="19" s="1"/>
  <c r="T955" i="19"/>
  <c r="L955" i="19" s="1"/>
  <c r="F956" i="19"/>
  <c r="R956" i="19" s="1"/>
  <c r="I926" i="19"/>
  <c r="J926" i="19" s="1"/>
  <c r="L926" i="19"/>
  <c r="L403" i="19"/>
  <c r="K403" i="19" s="1"/>
  <c r="J403" i="19"/>
  <c r="I624" i="19"/>
  <c r="J624" i="19" s="1"/>
  <c r="I563" i="19"/>
  <c r="J563" i="19" s="1"/>
  <c r="G13" i="8"/>
  <c r="G14" i="8"/>
  <c r="I931" i="19"/>
  <c r="J931" i="19" s="1"/>
  <c r="L931" i="19"/>
  <c r="L937" i="19"/>
  <c r="I597" i="19"/>
  <c r="L597" i="19"/>
  <c r="K597" i="19" s="1"/>
  <c r="J597" i="19"/>
  <c r="L862" i="19"/>
  <c r="K862" i="19" s="1"/>
  <c r="L561" i="19"/>
  <c r="K561" i="19" s="1"/>
  <c r="I561" i="19"/>
  <c r="J561" i="19" s="1"/>
  <c r="I887" i="19"/>
  <c r="J887" i="19" s="1"/>
  <c r="L563" i="19"/>
  <c r="K563" i="19" s="1"/>
  <c r="I625" i="19"/>
  <c r="L625" i="19"/>
  <c r="K625" i="19" s="1"/>
  <c r="J625" i="19"/>
  <c r="L375" i="19"/>
  <c r="K375" i="19" s="1"/>
  <c r="L624" i="19"/>
  <c r="K624" i="19" s="1"/>
  <c r="T947" i="19"/>
  <c r="F952" i="19"/>
  <c r="R952" i="19" s="1"/>
  <c r="H681" i="19"/>
  <c r="F117" i="16"/>
  <c r="J12" i="15" s="1"/>
  <c r="H952" i="19"/>
  <c r="T952" i="19" s="1"/>
  <c r="AE280" i="20"/>
  <c r="X338" i="20"/>
  <c r="AC338" i="20" s="1"/>
  <c r="U340" i="20"/>
  <c r="Z340" i="20" s="1"/>
  <c r="V339" i="20"/>
  <c r="AA339" i="20" s="1"/>
  <c r="P430" i="19"/>
  <c r="P435" i="19"/>
  <c r="P427" i="19"/>
  <c r="P458" i="19"/>
  <c r="P465" i="19"/>
  <c r="P457" i="19"/>
  <c r="F429" i="19"/>
  <c r="R429" i="19" s="1"/>
  <c r="F428" i="19"/>
  <c r="R428" i="19" s="1"/>
  <c r="G16" i="8"/>
  <c r="G17" i="8"/>
  <c r="F430" i="19"/>
  <c r="R430" i="19" s="1"/>
  <c r="G10" i="8"/>
  <c r="F431" i="19"/>
  <c r="R431" i="19" s="1"/>
  <c r="G11" i="8"/>
  <c r="F426" i="19"/>
  <c r="R426" i="19" s="1"/>
  <c r="F427" i="19"/>
  <c r="R427" i="19" s="1"/>
  <c r="F457" i="19"/>
  <c r="R457" i="19" s="1"/>
  <c r="F456" i="19"/>
  <c r="R456" i="19" s="1"/>
  <c r="G42" i="8"/>
  <c r="G38" i="8"/>
  <c r="G41" i="8"/>
  <c r="G39" i="8"/>
  <c r="F461" i="19"/>
  <c r="R461" i="19" s="1"/>
  <c r="F458" i="19"/>
  <c r="R458" i="19" s="1"/>
  <c r="F459" i="19"/>
  <c r="R459" i="19" s="1"/>
  <c r="F460" i="19"/>
  <c r="R460" i="19" s="1"/>
  <c r="P428" i="19"/>
  <c r="P628" i="19"/>
  <c r="L628" i="19" s="1"/>
  <c r="K628" i="19" s="1"/>
  <c r="P399" i="19"/>
  <c r="P439" i="19"/>
  <c r="P431" i="19"/>
  <c r="P460" i="19"/>
  <c r="P437" i="19"/>
  <c r="P429" i="19"/>
  <c r="P467" i="19"/>
  <c r="P459" i="19"/>
  <c r="P469" i="19"/>
  <c r="P461" i="19"/>
  <c r="P718" i="19"/>
  <c r="P180" i="19"/>
  <c r="P445" i="19"/>
  <c r="P475" i="19"/>
  <c r="I155" i="19" l="1"/>
  <c r="J155" i="19" s="1"/>
  <c r="F632" i="19"/>
  <c r="R632" i="19" s="1"/>
  <c r="I955" i="19"/>
  <c r="J955" i="19" s="1"/>
  <c r="G27" i="8"/>
  <c r="H726" i="19"/>
  <c r="T726" i="19" s="1"/>
  <c r="D9" i="13"/>
  <c r="L766" i="19"/>
  <c r="K766" i="19" s="1"/>
  <c r="J766" i="19"/>
  <c r="C10" i="12"/>
  <c r="I14" i="8"/>
  <c r="H437" i="19" s="1"/>
  <c r="T437" i="19" s="1"/>
  <c r="L437" i="19" s="1"/>
  <c r="K437" i="19" s="1"/>
  <c r="H429" i="19"/>
  <c r="T592" i="19"/>
  <c r="F593" i="19"/>
  <c r="R593" i="19" s="1"/>
  <c r="T718" i="19"/>
  <c r="L718" i="19" s="1"/>
  <c r="K718" i="19" s="1"/>
  <c r="F726" i="19"/>
  <c r="R726" i="19" s="1"/>
  <c r="L180" i="19"/>
  <c r="K180" i="19" s="1"/>
  <c r="I180" i="19"/>
  <c r="J180" i="19" s="1"/>
  <c r="B593" i="19"/>
  <c r="B592" i="19"/>
  <c r="I628" i="19"/>
  <c r="J628" i="19" s="1"/>
  <c r="H456" i="19"/>
  <c r="T456" i="19" s="1"/>
  <c r="L456" i="19" s="1"/>
  <c r="K456" i="19" s="1"/>
  <c r="G52" i="8"/>
  <c r="H475" i="19" s="1"/>
  <c r="T475" i="19" s="1"/>
  <c r="L475" i="19" s="1"/>
  <c r="K475" i="19" s="1"/>
  <c r="H45" i="7"/>
  <c r="H400" i="19"/>
  <c r="H428" i="19"/>
  <c r="T428" i="19" s="1"/>
  <c r="L428" i="19" s="1"/>
  <c r="K428" i="19" s="1"/>
  <c r="H457" i="19"/>
  <c r="I36" i="8"/>
  <c r="H465" i="19" s="1"/>
  <c r="T465" i="19" s="1"/>
  <c r="L465" i="19" s="1"/>
  <c r="K465" i="19" s="1"/>
  <c r="T632" i="19"/>
  <c r="F633" i="19"/>
  <c r="R633" i="19" s="1"/>
  <c r="T399" i="19"/>
  <c r="L399" i="19" s="1"/>
  <c r="K399" i="19" s="1"/>
  <c r="F400" i="19"/>
  <c r="R400" i="19" s="1"/>
  <c r="T103" i="16"/>
  <c r="P113" i="16"/>
  <c r="H11" i="15" s="1"/>
  <c r="H957" i="19"/>
  <c r="J393" i="19"/>
  <c r="I766" i="19"/>
  <c r="T956" i="19"/>
  <c r="F957" i="19"/>
  <c r="R957" i="19" s="1"/>
  <c r="L393" i="19"/>
  <c r="K393" i="19" s="1"/>
  <c r="L154" i="19"/>
  <c r="K154" i="19" s="1"/>
  <c r="I154" i="19"/>
  <c r="J154" i="19"/>
  <c r="T681" i="19"/>
  <c r="F757" i="19"/>
  <c r="R757" i="19" s="1"/>
  <c r="H757" i="19"/>
  <c r="P186" i="19"/>
  <c r="O338" i="20"/>
  <c r="V340" i="20"/>
  <c r="AA340" i="20" s="1"/>
  <c r="U341" i="20"/>
  <c r="Z341" i="20" s="1"/>
  <c r="AF280" i="20"/>
  <c r="V280" i="20"/>
  <c r="AK280" i="20" s="1"/>
  <c r="X339" i="20"/>
  <c r="AC339" i="20" s="1"/>
  <c r="P466" i="19"/>
  <c r="I39" i="8"/>
  <c r="H459" i="19"/>
  <c r="H431" i="19"/>
  <c r="I17" i="8"/>
  <c r="P947" i="19"/>
  <c r="L947" i="19" s="1"/>
  <c r="P942" i="19"/>
  <c r="I42" i="8"/>
  <c r="H461" i="19"/>
  <c r="T461" i="19" s="1"/>
  <c r="I461" i="19" s="1"/>
  <c r="P629" i="19"/>
  <c r="P436" i="19"/>
  <c r="I13" i="8"/>
  <c r="H436" i="19" s="1"/>
  <c r="T436" i="19" s="1"/>
  <c r="P400" i="19"/>
  <c r="P438" i="19"/>
  <c r="P468" i="19"/>
  <c r="H460" i="19"/>
  <c r="T460" i="19" s="1"/>
  <c r="L460" i="19" s="1"/>
  <c r="K460" i="19" s="1"/>
  <c r="P719" i="19"/>
  <c r="I35" i="8"/>
  <c r="I11" i="8"/>
  <c r="H427" i="19"/>
  <c r="H458" i="19"/>
  <c r="T458" i="19" s="1"/>
  <c r="J458" i="19" s="1"/>
  <c r="H426" i="19"/>
  <c r="T426" i="19" s="1"/>
  <c r="H430" i="19"/>
  <c r="T430" i="19" s="1"/>
  <c r="I430" i="19" s="1"/>
  <c r="P957" i="19"/>
  <c r="P956" i="19"/>
  <c r="P680" i="19"/>
  <c r="G12" i="9"/>
  <c r="P480" i="19"/>
  <c r="P952" i="19"/>
  <c r="L952" i="19" s="1"/>
  <c r="L436" i="19" l="1"/>
  <c r="K436" i="19" s="1"/>
  <c r="I718" i="19"/>
  <c r="J718" i="19" s="1"/>
  <c r="I947" i="19"/>
  <c r="J947" i="19" s="1"/>
  <c r="I426" i="19"/>
  <c r="L426" i="19"/>
  <c r="K426" i="19" s="1"/>
  <c r="J426" i="19"/>
  <c r="H680" i="19"/>
  <c r="H19" i="15"/>
  <c r="T400" i="19"/>
  <c r="L400" i="19" s="1"/>
  <c r="K400" i="19" s="1"/>
  <c r="F404" i="19"/>
  <c r="R404" i="19" s="1"/>
  <c r="D18" i="13"/>
  <c r="F636" i="19"/>
  <c r="R636" i="19" s="1"/>
  <c r="H958" i="19"/>
  <c r="T958" i="19" s="1"/>
  <c r="P117" i="16"/>
  <c r="J11" i="15" s="1"/>
  <c r="H51" i="7"/>
  <c r="H404" i="19"/>
  <c r="F435" i="19"/>
  <c r="R435" i="19" s="1"/>
  <c r="T427" i="19"/>
  <c r="L629" i="19"/>
  <c r="K629" i="19" s="1"/>
  <c r="J629" i="19"/>
  <c r="I629" i="19"/>
  <c r="I399" i="19"/>
  <c r="J399" i="19" s="1"/>
  <c r="I428" i="19"/>
  <c r="J428" i="19" s="1"/>
  <c r="T429" i="19"/>
  <c r="F437" i="19"/>
  <c r="R437" i="19" s="1"/>
  <c r="I437" i="19" s="1"/>
  <c r="J437" i="19" s="1"/>
  <c r="L430" i="19"/>
  <c r="K430" i="19" s="1"/>
  <c r="T457" i="19"/>
  <c r="F465" i="19"/>
  <c r="R465" i="19" s="1"/>
  <c r="I465" i="19" s="1"/>
  <c r="J465" i="19" s="1"/>
  <c r="J430" i="19"/>
  <c r="I952" i="19"/>
  <c r="J952" i="19" s="1"/>
  <c r="I458" i="19"/>
  <c r="I942" i="19"/>
  <c r="J942" i="19" s="1"/>
  <c r="L942" i="19"/>
  <c r="L461" i="19"/>
  <c r="K461" i="19" s="1"/>
  <c r="I460" i="19"/>
  <c r="L458" i="19"/>
  <c r="K458" i="19" s="1"/>
  <c r="L719" i="19"/>
  <c r="K719" i="19" s="1"/>
  <c r="I719" i="19"/>
  <c r="J719" i="19" s="1"/>
  <c r="J461" i="19"/>
  <c r="J460" i="19"/>
  <c r="H464" i="19"/>
  <c r="T464" i="19" s="1"/>
  <c r="G59" i="8"/>
  <c r="H480" i="19" s="1"/>
  <c r="T480" i="19" s="1"/>
  <c r="L480" i="19" s="1"/>
  <c r="K480" i="19" s="1"/>
  <c r="H445" i="19"/>
  <c r="L956" i="19"/>
  <c r="I956" i="19"/>
  <c r="J956" i="19" s="1"/>
  <c r="F439" i="19"/>
  <c r="R439" i="19" s="1"/>
  <c r="T431" i="19"/>
  <c r="I186" i="19"/>
  <c r="L186" i="19"/>
  <c r="K186" i="19" s="1"/>
  <c r="J186" i="19"/>
  <c r="I456" i="19"/>
  <c r="J456" i="19" s="1"/>
  <c r="F467" i="19"/>
  <c r="R467" i="19" s="1"/>
  <c r="T459" i="19"/>
  <c r="T957" i="19"/>
  <c r="L957" i="19" s="1"/>
  <c r="F958" i="19"/>
  <c r="R958" i="19" s="1"/>
  <c r="O339" i="20"/>
  <c r="T757" i="19"/>
  <c r="F436" i="19"/>
  <c r="R436" i="19" s="1"/>
  <c r="I436" i="19" s="1"/>
  <c r="J436" i="19" s="1"/>
  <c r="H435" i="19"/>
  <c r="T435" i="19" s="1"/>
  <c r="H439" i="19"/>
  <c r="T439" i="19" s="1"/>
  <c r="H467" i="19"/>
  <c r="T467" i="19" s="1"/>
  <c r="F468" i="19"/>
  <c r="R468" i="19" s="1"/>
  <c r="I16" i="8"/>
  <c r="H469" i="19"/>
  <c r="T469" i="19" s="1"/>
  <c r="I10" i="8"/>
  <c r="I18" i="8" s="1"/>
  <c r="F464" i="19"/>
  <c r="R464" i="19" s="1"/>
  <c r="I38" i="8"/>
  <c r="W280" i="20"/>
  <c r="AH281" i="20"/>
  <c r="AD281" i="20"/>
  <c r="U342" i="20"/>
  <c r="Z342" i="20" s="1"/>
  <c r="V341" i="20"/>
  <c r="AA341" i="20" s="1"/>
  <c r="X340" i="20"/>
  <c r="AC340" i="20" s="1"/>
  <c r="P187" i="19"/>
  <c r="P631" i="19"/>
  <c r="P464" i="19"/>
  <c r="P404" i="19"/>
  <c r="F438" i="19"/>
  <c r="R438" i="19" s="1"/>
  <c r="G11" i="9"/>
  <c r="P681" i="19"/>
  <c r="L681" i="19" s="1"/>
  <c r="K681" i="19" s="1"/>
  <c r="P726" i="19"/>
  <c r="L726" i="19" s="1"/>
  <c r="K726" i="19" s="1"/>
  <c r="F434" i="19"/>
  <c r="R434" i="19" s="1"/>
  <c r="F445" i="19"/>
  <c r="R445" i="19" s="1"/>
  <c r="F466" i="19"/>
  <c r="R466" i="19" s="1"/>
  <c r="F475" i="19"/>
  <c r="R475" i="19" s="1"/>
  <c r="I475" i="19" s="1"/>
  <c r="J475" i="19" s="1"/>
  <c r="I41" i="8"/>
  <c r="P630" i="19"/>
  <c r="P593" i="19"/>
  <c r="L593" i="19" s="1"/>
  <c r="K593" i="19" s="1"/>
  <c r="P434" i="19"/>
  <c r="P958" i="19"/>
  <c r="I43" i="8" l="1"/>
  <c r="I400" i="19"/>
  <c r="J400" i="19" s="1"/>
  <c r="I681" i="19"/>
  <c r="J681" i="19" s="1"/>
  <c r="I957" i="19"/>
  <c r="J957" i="19" s="1"/>
  <c r="AL280" i="20"/>
  <c r="O280" i="20" s="1"/>
  <c r="I464" i="19"/>
  <c r="J464" i="19" s="1"/>
  <c r="I726" i="19"/>
  <c r="J726" i="19" s="1"/>
  <c r="J593" i="19"/>
  <c r="I44" i="8"/>
  <c r="H470" i="19"/>
  <c r="L958" i="19"/>
  <c r="I958" i="19"/>
  <c r="J958" i="19" s="1"/>
  <c r="I593" i="19"/>
  <c r="E38" i="3"/>
  <c r="H636" i="19"/>
  <c r="T636" i="19" s="1"/>
  <c r="I19" i="8"/>
  <c r="H440" i="19"/>
  <c r="L427" i="19"/>
  <c r="K427" i="19" s="1"/>
  <c r="I427" i="19"/>
  <c r="J427" i="19"/>
  <c r="T680" i="19"/>
  <c r="F756" i="19"/>
  <c r="R756" i="19" s="1"/>
  <c r="F688" i="19"/>
  <c r="R688" i="19" s="1"/>
  <c r="I631" i="19"/>
  <c r="J631" i="19" s="1"/>
  <c r="L631" i="19"/>
  <c r="K631" i="19" s="1"/>
  <c r="H688" i="19"/>
  <c r="T688" i="19" s="1"/>
  <c r="L459" i="19"/>
  <c r="K459" i="19" s="1"/>
  <c r="J459" i="19"/>
  <c r="I459" i="19"/>
  <c r="L464" i="19"/>
  <c r="K464" i="19" s="1"/>
  <c r="L457" i="19"/>
  <c r="K457" i="19" s="1"/>
  <c r="I457" i="19"/>
  <c r="J457" i="19" s="1"/>
  <c r="T404" i="19"/>
  <c r="L404" i="19" s="1"/>
  <c r="K404" i="19" s="1"/>
  <c r="F410" i="19"/>
  <c r="R410" i="19" s="1"/>
  <c r="L467" i="19"/>
  <c r="K467" i="19" s="1"/>
  <c r="I467" i="19"/>
  <c r="J467" i="19"/>
  <c r="H58" i="7"/>
  <c r="H414" i="19" s="1"/>
  <c r="T414" i="19" s="1"/>
  <c r="H410" i="19"/>
  <c r="J630" i="19"/>
  <c r="L630" i="19"/>
  <c r="K630" i="19" s="1"/>
  <c r="I630" i="19"/>
  <c r="H756" i="19"/>
  <c r="J19" i="15"/>
  <c r="H764" i="19" s="1"/>
  <c r="T764" i="19" s="1"/>
  <c r="I469" i="19"/>
  <c r="J469" i="19"/>
  <c r="L469" i="19"/>
  <c r="K469" i="19" s="1"/>
  <c r="T445" i="19"/>
  <c r="L445" i="19" s="1"/>
  <c r="K445" i="19" s="1"/>
  <c r="F480" i="19"/>
  <c r="R480" i="19" s="1"/>
  <c r="I480" i="19" s="1"/>
  <c r="J480" i="19" s="1"/>
  <c r="I187" i="19"/>
  <c r="J187" i="19" s="1"/>
  <c r="L187" i="19"/>
  <c r="K187" i="19" s="1"/>
  <c r="L435" i="19"/>
  <c r="K435" i="19" s="1"/>
  <c r="J435" i="19"/>
  <c r="I435" i="19"/>
  <c r="L429" i="19"/>
  <c r="K429" i="19" s="1"/>
  <c r="I429" i="19"/>
  <c r="J429" i="19" s="1"/>
  <c r="L431" i="19"/>
  <c r="K431" i="19" s="1"/>
  <c r="I431" i="19"/>
  <c r="J431" i="19"/>
  <c r="I439" i="19"/>
  <c r="J439" i="19"/>
  <c r="L439" i="19"/>
  <c r="K439" i="19" s="1"/>
  <c r="O340" i="20"/>
  <c r="H438" i="19"/>
  <c r="T438" i="19" s="1"/>
  <c r="H466" i="19"/>
  <c r="T466" i="19" s="1"/>
  <c r="H468" i="19"/>
  <c r="T468" i="19" s="1"/>
  <c r="H434" i="19"/>
  <c r="X341" i="20"/>
  <c r="AC341" i="20" s="1"/>
  <c r="V342" i="20"/>
  <c r="AA342" i="20" s="1"/>
  <c r="U343" i="20"/>
  <c r="Z343" i="20" s="1"/>
  <c r="AE281" i="20"/>
  <c r="U281" i="20"/>
  <c r="AJ281" i="20" s="1"/>
  <c r="P757" i="19"/>
  <c r="I757" i="19" s="1"/>
  <c r="J757" i="19" s="1"/>
  <c r="P633" i="19"/>
  <c r="P632" i="19"/>
  <c r="P410" i="19"/>
  <c r="P414" i="19"/>
  <c r="P756" i="19"/>
  <c r="P636" i="19"/>
  <c r="P470" i="19"/>
  <c r="P440" i="19"/>
  <c r="P688" i="19"/>
  <c r="P592" i="19"/>
  <c r="I404" i="19" l="1"/>
  <c r="J404" i="19" s="1"/>
  <c r="F440" i="19"/>
  <c r="R440" i="19" s="1"/>
  <c r="T434" i="19"/>
  <c r="T410" i="19"/>
  <c r="L410" i="19" s="1"/>
  <c r="K410" i="19" s="1"/>
  <c r="F414" i="19"/>
  <c r="R414" i="19" s="1"/>
  <c r="F441" i="19"/>
  <c r="R441" i="19" s="1"/>
  <c r="T440" i="19"/>
  <c r="L440" i="19" s="1"/>
  <c r="K440" i="19" s="1"/>
  <c r="L468" i="19"/>
  <c r="K468" i="19" s="1"/>
  <c r="I468" i="19"/>
  <c r="J468" i="19"/>
  <c r="L414" i="19"/>
  <c r="K414" i="19" s="1"/>
  <c r="I414" i="19"/>
  <c r="J414" i="19" s="1"/>
  <c r="I20" i="8"/>
  <c r="H442" i="19" s="1"/>
  <c r="T442" i="19" s="1"/>
  <c r="H441" i="19"/>
  <c r="L636" i="19"/>
  <c r="K636" i="19" s="1"/>
  <c r="I636" i="19"/>
  <c r="J636" i="19" s="1"/>
  <c r="L438" i="19"/>
  <c r="K438" i="19" s="1"/>
  <c r="I438" i="19"/>
  <c r="J438" i="19"/>
  <c r="L688" i="19"/>
  <c r="K688" i="19" s="1"/>
  <c r="E53" i="24"/>
  <c r="E53" i="22"/>
  <c r="I466" i="19"/>
  <c r="L466" i="19"/>
  <c r="K466" i="19" s="1"/>
  <c r="J466" i="19"/>
  <c r="L632" i="19"/>
  <c r="K632" i="19" s="1"/>
  <c r="J632" i="19"/>
  <c r="I632" i="19"/>
  <c r="L633" i="19"/>
  <c r="K633" i="19" s="1"/>
  <c r="I633" i="19"/>
  <c r="J633" i="19" s="1"/>
  <c r="T756" i="19"/>
  <c r="L756" i="19" s="1"/>
  <c r="K756" i="19" s="1"/>
  <c r="F764" i="19"/>
  <c r="R764" i="19" s="1"/>
  <c r="I445" i="19"/>
  <c r="J445" i="19" s="1"/>
  <c r="F470" i="19"/>
  <c r="R470" i="19" s="1"/>
  <c r="L757" i="19"/>
  <c r="K757" i="19" s="1"/>
  <c r="L592" i="19"/>
  <c r="K592" i="19" s="1"/>
  <c r="I592" i="19"/>
  <c r="J592" i="19" s="1"/>
  <c r="I410" i="19"/>
  <c r="J410" i="19" s="1"/>
  <c r="I688" i="19"/>
  <c r="J688" i="19" s="1"/>
  <c r="F471" i="19"/>
  <c r="R471" i="19" s="1"/>
  <c r="T470" i="19"/>
  <c r="L470" i="19" s="1"/>
  <c r="K470" i="19" s="1"/>
  <c r="I680" i="19"/>
  <c r="J680" i="19" s="1"/>
  <c r="L680" i="19"/>
  <c r="K680" i="19" s="1"/>
  <c r="I45" i="8"/>
  <c r="H471" i="19"/>
  <c r="AF281" i="20"/>
  <c r="V281" i="20"/>
  <c r="AK281" i="20" s="1"/>
  <c r="V343" i="20"/>
  <c r="AA343" i="20" s="1"/>
  <c r="U344" i="20"/>
  <c r="Z344" i="20" s="1"/>
  <c r="X342" i="20"/>
  <c r="AC342" i="20" s="1"/>
  <c r="O341" i="20"/>
  <c r="P764" i="19"/>
  <c r="L764" i="19" s="1"/>
  <c r="K764" i="19" s="1"/>
  <c r="P471" i="19"/>
  <c r="P472" i="19"/>
  <c r="P441" i="19"/>
  <c r="I21" i="8" l="1"/>
  <c r="I24" i="8" s="1"/>
  <c r="I756" i="19"/>
  <c r="J756" i="19" s="1"/>
  <c r="T471" i="19"/>
  <c r="L471" i="19" s="1"/>
  <c r="K471" i="19" s="1"/>
  <c r="F472" i="19"/>
  <c r="R472" i="19" s="1"/>
  <c r="I46" i="8"/>
  <c r="H472" i="19"/>
  <c r="T472" i="19" s="1"/>
  <c r="L472" i="19" s="1"/>
  <c r="K472" i="19" s="1"/>
  <c r="I764" i="19"/>
  <c r="J764" i="19" s="1"/>
  <c r="T441" i="19"/>
  <c r="L441" i="19" s="1"/>
  <c r="K441" i="19" s="1"/>
  <c r="F443" i="19"/>
  <c r="F442" i="19"/>
  <c r="R442" i="19" s="1"/>
  <c r="L434" i="19"/>
  <c r="K434" i="19" s="1"/>
  <c r="J434" i="19"/>
  <c r="I434" i="19"/>
  <c r="I440" i="19"/>
  <c r="J440" i="19" s="1"/>
  <c r="I470" i="19"/>
  <c r="J470" i="19" s="1"/>
  <c r="O342" i="20"/>
  <c r="U345" i="20"/>
  <c r="Z345" i="20" s="1"/>
  <c r="V344" i="20"/>
  <c r="AA344" i="20" s="1"/>
  <c r="X343" i="20"/>
  <c r="AC343" i="20" s="1"/>
  <c r="W281" i="20"/>
  <c r="AH282" i="20"/>
  <c r="AD282" i="20"/>
  <c r="P473" i="19"/>
  <c r="P442" i="19"/>
  <c r="L442" i="19" s="1"/>
  <c r="K442" i="19" s="1"/>
  <c r="T396" i="20"/>
  <c r="Y415" i="20"/>
  <c r="T394" i="20"/>
  <c r="T398" i="20"/>
  <c r="H443" i="19" l="1"/>
  <c r="T443" i="19" s="1"/>
  <c r="I442" i="19"/>
  <c r="J442" i="19" s="1"/>
  <c r="AL281" i="20"/>
  <c r="O281" i="20" s="1"/>
  <c r="R443" i="19"/>
  <c r="F444" i="19"/>
  <c r="R444" i="19" s="1"/>
  <c r="I471" i="19"/>
  <c r="J471" i="19" s="1"/>
  <c r="I441" i="19"/>
  <c r="J441" i="19" s="1"/>
  <c r="G24" i="8"/>
  <c r="I11" i="9" s="1"/>
  <c r="H444" i="19"/>
  <c r="T444" i="19" s="1"/>
  <c r="I49" i="8"/>
  <c r="H473" i="19"/>
  <c r="T473" i="19" s="1"/>
  <c r="L473" i="19" s="1"/>
  <c r="K473" i="19" s="1"/>
  <c r="I472" i="19"/>
  <c r="J472" i="19" s="1"/>
  <c r="F473" i="19"/>
  <c r="AE282" i="20"/>
  <c r="U282" i="20"/>
  <c r="AJ282" i="20" s="1"/>
  <c r="O343" i="20"/>
  <c r="X344" i="20"/>
  <c r="AC344" i="20" s="1"/>
  <c r="U346" i="20"/>
  <c r="Z346" i="20" s="1"/>
  <c r="V345" i="20"/>
  <c r="AA345" i="20" s="1"/>
  <c r="T415" i="20"/>
  <c r="AA415" i="20"/>
  <c r="P443" i="19"/>
  <c r="L443" i="19" s="1"/>
  <c r="K443" i="19" s="1"/>
  <c r="P474" i="19"/>
  <c r="Z347" i="20" l="1"/>
  <c r="R473" i="19"/>
  <c r="I473" i="19" s="1"/>
  <c r="J473" i="19" s="1"/>
  <c r="F474" i="19"/>
  <c r="R474" i="19" s="1"/>
  <c r="G49" i="8"/>
  <c r="I12" i="9" s="1"/>
  <c r="H474" i="19"/>
  <c r="T474" i="19" s="1"/>
  <c r="L474" i="19" s="1"/>
  <c r="K474" i="19" s="1"/>
  <c r="I443" i="19"/>
  <c r="J443" i="19" s="1"/>
  <c r="O344" i="20"/>
  <c r="V346" i="20"/>
  <c r="X346" i="20" s="1"/>
  <c r="U347" i="20"/>
  <c r="X345" i="20"/>
  <c r="AC345" i="20" s="1"/>
  <c r="AF282" i="20"/>
  <c r="V282" i="20"/>
  <c r="AK282" i="20" s="1"/>
  <c r="P444" i="19"/>
  <c r="L444" i="19" s="1"/>
  <c r="K444" i="19" s="1"/>
  <c r="V415" i="20"/>
  <c r="AA412" i="20"/>
  <c r="V412" i="20" s="1"/>
  <c r="O391" i="20" l="1"/>
  <c r="AC346" i="20"/>
  <c r="AA346" i="20"/>
  <c r="Z348" i="20"/>
  <c r="I444" i="19"/>
  <c r="J444" i="19" s="1"/>
  <c r="I474" i="19"/>
  <c r="J474" i="19" s="1"/>
  <c r="O345" i="20"/>
  <c r="U348" i="20"/>
  <c r="V347" i="20"/>
  <c r="AA347" i="20" s="1"/>
  <c r="W282" i="20"/>
  <c r="AH283" i="20"/>
  <c r="AD283" i="20"/>
  <c r="AL282" i="20" l="1"/>
  <c r="O282" i="20" s="1"/>
  <c r="O346" i="20"/>
  <c r="X347" i="20"/>
  <c r="AC347" i="20" s="1"/>
  <c r="U349" i="20"/>
  <c r="Z349" i="20" s="1"/>
  <c r="V348" i="20"/>
  <c r="AA348" i="20" s="1"/>
  <c r="AE283" i="20"/>
  <c r="U283" i="20"/>
  <c r="AJ283" i="20" s="1"/>
  <c r="Z350" i="20" l="1"/>
  <c r="X348" i="20"/>
  <c r="AC348" i="20" s="1"/>
  <c r="U350" i="20"/>
  <c r="V349" i="20"/>
  <c r="AA349" i="20" s="1"/>
  <c r="AF283" i="20"/>
  <c r="V283" i="20"/>
  <c r="AK283" i="20" s="1"/>
  <c r="O348" i="20" l="1"/>
  <c r="Z352" i="20"/>
  <c r="X349" i="20"/>
  <c r="AC349" i="20" s="1"/>
  <c r="U351" i="20"/>
  <c r="Z351" i="20" s="1"/>
  <c r="V350" i="20"/>
  <c r="AA350" i="20" s="1"/>
  <c r="W283" i="20"/>
  <c r="AH284" i="20"/>
  <c r="AD284" i="20"/>
  <c r="AL283" i="20" l="1"/>
  <c r="O283" i="20" s="1"/>
  <c r="V351" i="20"/>
  <c r="AA351" i="20" s="1"/>
  <c r="X350" i="20"/>
  <c r="AC350" i="20" s="1"/>
  <c r="V387" i="20"/>
  <c r="X351" i="20"/>
  <c r="O349" i="20"/>
  <c r="AE284" i="20"/>
  <c r="U284" i="20"/>
  <c r="AJ284" i="20" s="1"/>
  <c r="AA352" i="20" l="1"/>
  <c r="AC351" i="20"/>
  <c r="O351" i="20" s="1"/>
  <c r="X387" i="20"/>
  <c r="O350" i="20"/>
  <c r="AF284" i="20"/>
  <c r="V284" i="20"/>
  <c r="AK284" i="20" s="1"/>
  <c r="AC352" i="20" l="1"/>
  <c r="O352" i="20" s="1"/>
  <c r="O347" i="20"/>
  <c r="W284" i="20"/>
  <c r="AH285" i="20"/>
  <c r="AD285" i="20"/>
  <c r="AL284" i="20" l="1"/>
  <c r="O284" i="20" s="1"/>
  <c r="AE285" i="20"/>
  <c r="U285" i="20"/>
  <c r="AJ285" i="20" s="1"/>
  <c r="AF285" i="20" l="1"/>
  <c r="V285" i="20"/>
  <c r="AK285" i="20" s="1"/>
  <c r="W285" i="20" l="1"/>
  <c r="AH286" i="20"/>
  <c r="AD286" i="20"/>
  <c r="AL285" i="20" l="1"/>
  <c r="O285" i="20" s="1"/>
  <c r="AE286" i="20"/>
  <c r="U286" i="20"/>
  <c r="AJ286" i="20" s="1"/>
  <c r="AF286" i="20" l="1"/>
  <c r="V286" i="20"/>
  <c r="AK286" i="20" s="1"/>
  <c r="W286" i="20" l="1"/>
  <c r="AH287" i="20"/>
  <c r="AD287" i="20"/>
  <c r="AL286" i="20" l="1"/>
  <c r="O286" i="20" s="1"/>
  <c r="AE287" i="20"/>
  <c r="U287" i="20"/>
  <c r="AJ287" i="20" s="1"/>
  <c r="AF287" i="20" l="1"/>
  <c r="V287" i="20"/>
  <c r="AK287" i="20" s="1"/>
  <c r="W287" i="20" l="1"/>
  <c r="AH288" i="20"/>
  <c r="AD288" i="20"/>
  <c r="AL287" i="20" l="1"/>
  <c r="O287" i="20" s="1"/>
  <c r="AE288" i="20"/>
  <c r="U288" i="20"/>
  <c r="AJ288" i="20" s="1"/>
  <c r="AF288" i="20" l="1"/>
  <c r="AD289" i="20" s="1"/>
  <c r="V288" i="20"/>
  <c r="AK288" i="20" s="1"/>
  <c r="AE289" i="20" l="1"/>
  <c r="W288" i="20"/>
  <c r="AH289" i="20"/>
  <c r="AL288" i="20" l="1"/>
  <c r="O288" i="20" s="1"/>
  <c r="AF289" i="20"/>
  <c r="AH290" i="20" l="1"/>
  <c r="AD290" i="20"/>
  <c r="AE290" i="20" l="1"/>
  <c r="U290" i="20"/>
  <c r="AJ290" i="20" s="1"/>
  <c r="AF290" i="20" l="1"/>
  <c r="V290" i="20"/>
  <c r="AK290" i="20" s="1"/>
  <c r="W290" i="20" l="1"/>
  <c r="AD291" i="20"/>
  <c r="AH291" i="20"/>
  <c r="AL290" i="20" l="1"/>
  <c r="O290" i="20" s="1"/>
  <c r="AE291" i="20"/>
  <c r="U291" i="20"/>
  <c r="AJ291" i="20" s="1"/>
  <c r="AF291" i="20" l="1"/>
  <c r="AH292" i="20" s="1"/>
  <c r="V291" i="20"/>
  <c r="AK291" i="20" s="1"/>
  <c r="W291" i="20" l="1"/>
  <c r="AD292" i="20"/>
  <c r="AL291" i="20" l="1"/>
  <c r="O291" i="20" s="1"/>
  <c r="AE292" i="20"/>
  <c r="U292" i="20"/>
  <c r="AJ292" i="20" s="1"/>
  <c r="AF292" i="20" l="1"/>
  <c r="AH293" i="20" s="1"/>
  <c r="V292" i="20"/>
  <c r="AK292" i="20" s="1"/>
  <c r="W292" i="20" l="1"/>
  <c r="AD293" i="20"/>
  <c r="AL292" i="20" l="1"/>
  <c r="O292" i="20" s="1"/>
  <c r="AE293" i="20"/>
  <c r="U293" i="20"/>
  <c r="AJ293" i="20" s="1"/>
  <c r="AF293" i="20" l="1"/>
  <c r="AH294" i="20" s="1"/>
  <c r="V293" i="20"/>
  <c r="AK293" i="20" s="1"/>
  <c r="AE329" i="20"/>
  <c r="V329" i="20" s="1"/>
  <c r="V289" i="20" l="1"/>
  <c r="AK289" i="20" s="1"/>
  <c r="V294" i="20"/>
  <c r="AK294" i="20" s="1"/>
  <c r="W293" i="20"/>
  <c r="AF329" i="20"/>
  <c r="W329" i="20" s="1"/>
  <c r="AD329" i="20"/>
  <c r="U329" i="20" s="1"/>
  <c r="AL293" i="20" l="1"/>
  <c r="O293" i="20" s="1"/>
  <c r="U289" i="20"/>
  <c r="AJ289" i="20" s="1"/>
  <c r="U294" i="20"/>
  <c r="AJ294" i="20" s="1"/>
  <c r="W289" i="20"/>
  <c r="AL289" i="20" s="1"/>
  <c r="W294" i="20"/>
  <c r="AL294" i="20" s="1"/>
  <c r="O289" i="20" l="1"/>
  <c r="O294" i="20"/>
  <c r="F207" i="19"/>
  <c r="R207" i="19" s="1"/>
  <c r="C36" i="9"/>
  <c r="G23" i="9"/>
  <c r="G24" i="9"/>
  <c r="G25" i="9"/>
  <c r="G26" i="9"/>
  <c r="G15" i="9"/>
  <c r="F223" i="19"/>
  <c r="R223" i="19" s="1"/>
  <c r="F224" i="19"/>
  <c r="R224" i="19" s="1"/>
  <c r="F241" i="19"/>
  <c r="R241" i="19" s="1"/>
  <c r="I60" i="9"/>
  <c r="F123" i="19"/>
  <c r="R123" i="19" s="1"/>
  <c r="F106" i="19"/>
  <c r="R106" i="19" s="1"/>
  <c r="F105" i="19"/>
  <c r="R105" i="19" s="1"/>
  <c r="E8" i="3"/>
  <c r="H11" i="19" s="1"/>
  <c r="T11" i="19" s="1"/>
  <c r="G7" i="3"/>
  <c r="H27" i="19" s="1"/>
  <c r="T27" i="19" s="1"/>
  <c r="P502" i="19"/>
  <c r="G8" i="3"/>
  <c r="H28" i="19" s="1"/>
  <c r="T28" i="19" s="1"/>
  <c r="E7" i="3"/>
  <c r="H10" i="19" s="1"/>
  <c r="T10" i="19" s="1"/>
  <c r="I7" i="3"/>
  <c r="H44" i="19" s="1"/>
  <c r="T44" i="19" s="1"/>
  <c r="I8" i="3"/>
  <c r="H45" i="19" s="1"/>
  <c r="T45" i="19" s="1"/>
  <c r="G14" i="9"/>
  <c r="P102" i="19"/>
  <c r="P94" i="19"/>
  <c r="P31" i="19"/>
  <c r="I31" i="19" l="1"/>
  <c r="L31" i="19"/>
  <c r="K31" i="19" s="1"/>
  <c r="J31" i="19"/>
  <c r="F101" i="19"/>
  <c r="R101" i="19" s="1"/>
  <c r="G22" i="24"/>
  <c r="H101" i="19" s="1"/>
  <c r="T101" i="19" s="1"/>
  <c r="F201" i="19"/>
  <c r="R201" i="19" s="1"/>
  <c r="E21" i="22"/>
  <c r="E46" i="6"/>
  <c r="C26" i="6"/>
  <c r="H315" i="19" s="1"/>
  <c r="T315" i="19" s="1"/>
  <c r="F219" i="19"/>
  <c r="R219" i="19" s="1"/>
  <c r="G22" i="22"/>
  <c r="H219" i="19" s="1"/>
  <c r="T219" i="19" s="1"/>
  <c r="F84" i="19"/>
  <c r="R84" i="19" s="1"/>
  <c r="E22" i="24"/>
  <c r="H84" i="19" s="1"/>
  <c r="T84" i="19" s="1"/>
  <c r="L502" i="19"/>
  <c r="K502" i="19" s="1"/>
  <c r="I502" i="19"/>
  <c r="J502" i="19"/>
  <c r="F218" i="19"/>
  <c r="R218" i="19" s="1"/>
  <c r="G21" i="22"/>
  <c r="G58" i="8"/>
  <c r="H479" i="19" s="1"/>
  <c r="T479" i="19" s="1"/>
  <c r="G57" i="8"/>
  <c r="H478" i="19" s="1"/>
  <c r="T478" i="19" s="1"/>
  <c r="F236" i="19"/>
  <c r="R236" i="19" s="1"/>
  <c r="I22" i="22"/>
  <c r="H236" i="19" s="1"/>
  <c r="T236" i="19" s="1"/>
  <c r="F202" i="19"/>
  <c r="R202" i="19" s="1"/>
  <c r="E22" i="22"/>
  <c r="H202" i="19" s="1"/>
  <c r="T202" i="19" s="1"/>
  <c r="F235" i="19"/>
  <c r="R235" i="19" s="1"/>
  <c r="I21" i="22"/>
  <c r="P110" i="19"/>
  <c r="E47" i="6"/>
  <c r="I31" i="24"/>
  <c r="H127" i="19" s="1"/>
  <c r="T127" i="19" s="1"/>
  <c r="F127" i="19"/>
  <c r="R127" i="19" s="1"/>
  <c r="E26" i="22"/>
  <c r="H206" i="19" s="1"/>
  <c r="T206" i="19" s="1"/>
  <c r="F206" i="19"/>
  <c r="R206" i="19" s="1"/>
  <c r="F203" i="19"/>
  <c r="R203" i="19" s="1"/>
  <c r="E23" i="22"/>
  <c r="H203" i="19" s="1"/>
  <c r="T203" i="19" s="1"/>
  <c r="F87" i="19"/>
  <c r="R87" i="19" s="1"/>
  <c r="E25" i="24"/>
  <c r="H87" i="19" s="1"/>
  <c r="T87" i="19" s="1"/>
  <c r="G32" i="24"/>
  <c r="H111" i="19" s="1"/>
  <c r="T111" i="19" s="1"/>
  <c r="F111" i="19"/>
  <c r="R111" i="19" s="1"/>
  <c r="F88" i="19"/>
  <c r="R88" i="19" s="1"/>
  <c r="E26" i="24"/>
  <c r="H88" i="19" s="1"/>
  <c r="T88" i="19" s="1"/>
  <c r="I32" i="22"/>
  <c r="H246" i="19" s="1"/>
  <c r="T246" i="19" s="1"/>
  <c r="F246" i="19"/>
  <c r="R246" i="19" s="1"/>
  <c r="G25" i="22"/>
  <c r="H222" i="19" s="1"/>
  <c r="T222" i="19" s="1"/>
  <c r="F222" i="19"/>
  <c r="R222" i="19" s="1"/>
  <c r="C27" i="6"/>
  <c r="H316" i="19" s="1"/>
  <c r="T316" i="19" s="1"/>
  <c r="P500" i="19"/>
  <c r="G34" i="22"/>
  <c r="H231" i="19" s="1"/>
  <c r="T231" i="19" s="1"/>
  <c r="F231" i="19"/>
  <c r="R231" i="19" s="1"/>
  <c r="G19" i="9"/>
  <c r="I19" i="9" s="1"/>
  <c r="H496" i="19" s="1"/>
  <c r="T496" i="19" s="1"/>
  <c r="I32" i="24"/>
  <c r="H128" i="19" s="1"/>
  <c r="T128" i="19" s="1"/>
  <c r="F128" i="19"/>
  <c r="R128" i="19" s="1"/>
  <c r="E25" i="22"/>
  <c r="H205" i="19" s="1"/>
  <c r="T205" i="19" s="1"/>
  <c r="F205" i="19"/>
  <c r="R205" i="19" s="1"/>
  <c r="G33" i="24"/>
  <c r="H112" i="19" s="1"/>
  <c r="T112" i="19" s="1"/>
  <c r="F112" i="19"/>
  <c r="R112" i="19" s="1"/>
  <c r="G88" i="6"/>
  <c r="H363" i="19" s="1"/>
  <c r="T363" i="19" s="1"/>
  <c r="I26" i="22"/>
  <c r="H240" i="19" s="1"/>
  <c r="T240" i="19" s="1"/>
  <c r="F240" i="19"/>
  <c r="R240" i="19" s="1"/>
  <c r="E49" i="6"/>
  <c r="C29" i="6"/>
  <c r="H318" i="19" s="1"/>
  <c r="T318" i="19" s="1"/>
  <c r="F221" i="19"/>
  <c r="R221" i="19" s="1"/>
  <c r="G24" i="22"/>
  <c r="H221" i="19" s="1"/>
  <c r="T221" i="19" s="1"/>
  <c r="I33" i="22"/>
  <c r="H247" i="19" s="1"/>
  <c r="T247" i="19" s="1"/>
  <c r="F247" i="19"/>
  <c r="R247" i="19" s="1"/>
  <c r="P247" i="19"/>
  <c r="G18" i="9"/>
  <c r="I18" i="9" s="1"/>
  <c r="I33" i="24"/>
  <c r="H129" i="19" s="1"/>
  <c r="T129" i="19" s="1"/>
  <c r="F129" i="19"/>
  <c r="R129" i="19" s="1"/>
  <c r="E33" i="24"/>
  <c r="H95" i="19" s="1"/>
  <c r="T95" i="19" s="1"/>
  <c r="F95" i="19"/>
  <c r="R95" i="19" s="1"/>
  <c r="I25" i="22"/>
  <c r="H239" i="19" s="1"/>
  <c r="T239" i="19" s="1"/>
  <c r="F239" i="19"/>
  <c r="R239" i="19" s="1"/>
  <c r="E33" i="22"/>
  <c r="H213" i="19" s="1"/>
  <c r="T213" i="19" s="1"/>
  <c r="F213" i="19"/>
  <c r="R213" i="19" s="1"/>
  <c r="E24" i="22"/>
  <c r="H204" i="19" s="1"/>
  <c r="T204" i="19" s="1"/>
  <c r="F204" i="19"/>
  <c r="R204" i="19" s="1"/>
  <c r="C30" i="6"/>
  <c r="H319" i="19" s="1"/>
  <c r="T319" i="19" s="1"/>
  <c r="E50" i="6"/>
  <c r="P319" i="19"/>
  <c r="F214" i="19"/>
  <c r="R214" i="19" s="1"/>
  <c r="E34" i="22"/>
  <c r="H214" i="19" s="1"/>
  <c r="T214" i="19" s="1"/>
  <c r="G22" i="9"/>
  <c r="I22" i="9" s="1"/>
  <c r="H499" i="19" s="1"/>
  <c r="T499" i="19" s="1"/>
  <c r="G23" i="24"/>
  <c r="H102" i="19" s="1"/>
  <c r="T102" i="19" s="1"/>
  <c r="L102" i="19" s="1"/>
  <c r="K102" i="19" s="1"/>
  <c r="F102" i="19"/>
  <c r="R102" i="19" s="1"/>
  <c r="F94" i="19"/>
  <c r="R94" i="19" s="1"/>
  <c r="E32" i="24"/>
  <c r="H94" i="19" s="1"/>
  <c r="T94" i="19" s="1"/>
  <c r="L94" i="19" s="1"/>
  <c r="K94" i="19" s="1"/>
  <c r="I24" i="22"/>
  <c r="H238" i="19" s="1"/>
  <c r="T238" i="19" s="1"/>
  <c r="F238" i="19"/>
  <c r="R238" i="19" s="1"/>
  <c r="F212" i="19"/>
  <c r="R212" i="19" s="1"/>
  <c r="E32" i="22"/>
  <c r="H212" i="19" s="1"/>
  <c r="T212" i="19" s="1"/>
  <c r="B17" i="9"/>
  <c r="D36" i="9"/>
  <c r="B520" i="19" s="1"/>
  <c r="I23" i="22"/>
  <c r="H237" i="19" s="1"/>
  <c r="T237" i="19" s="1"/>
  <c r="F237" i="19"/>
  <c r="R237" i="19" s="1"/>
  <c r="E43" i="6"/>
  <c r="F96" i="19"/>
  <c r="R96" i="19" s="1"/>
  <c r="E34" i="24"/>
  <c r="H96" i="19" s="1"/>
  <c r="T96" i="19" s="1"/>
  <c r="F85" i="19"/>
  <c r="R85" i="19" s="1"/>
  <c r="E23" i="24"/>
  <c r="H85" i="19" s="1"/>
  <c r="T85" i="19" s="1"/>
  <c r="H5" i="6"/>
  <c r="G5" i="6"/>
  <c r="I26" i="24"/>
  <c r="H122" i="19" s="1"/>
  <c r="T122" i="19" s="1"/>
  <c r="F122" i="19"/>
  <c r="R122" i="19" s="1"/>
  <c r="D9" i="6"/>
  <c r="C19" i="6" s="1"/>
  <c r="E42" i="6" s="1"/>
  <c r="F89" i="19"/>
  <c r="R89" i="19" s="1"/>
  <c r="E31" i="24"/>
  <c r="H93" i="19" s="1"/>
  <c r="T93" i="19" s="1"/>
  <c r="F93" i="19"/>
  <c r="R93" i="19" s="1"/>
  <c r="F230" i="19"/>
  <c r="R230" i="19" s="1"/>
  <c r="G33" i="22"/>
  <c r="H230" i="19" s="1"/>
  <c r="T230" i="19" s="1"/>
  <c r="F119" i="19"/>
  <c r="R119" i="19" s="1"/>
  <c r="I23" i="24"/>
  <c r="H119" i="19" s="1"/>
  <c r="T119" i="19" s="1"/>
  <c r="F86" i="19"/>
  <c r="R86" i="19" s="1"/>
  <c r="E24" i="24"/>
  <c r="H86" i="19" s="1"/>
  <c r="T86" i="19" s="1"/>
  <c r="G32" i="22"/>
  <c r="H229" i="19" s="1"/>
  <c r="T229" i="19" s="1"/>
  <c r="F229" i="19"/>
  <c r="R229" i="19" s="1"/>
  <c r="I25" i="24"/>
  <c r="H121" i="19" s="1"/>
  <c r="T121" i="19" s="1"/>
  <c r="F121" i="19"/>
  <c r="R121" i="19" s="1"/>
  <c r="G34" i="24"/>
  <c r="H113" i="19" s="1"/>
  <c r="T113" i="19" s="1"/>
  <c r="F113" i="19"/>
  <c r="R113" i="19" s="1"/>
  <c r="G23" i="22"/>
  <c r="H220" i="19" s="1"/>
  <c r="T220" i="19" s="1"/>
  <c r="F220" i="19"/>
  <c r="R220" i="19" s="1"/>
  <c r="G25" i="24"/>
  <c r="H104" i="19" s="1"/>
  <c r="T104" i="19" s="1"/>
  <c r="F104" i="19"/>
  <c r="R104" i="19" s="1"/>
  <c r="G13" i="9"/>
  <c r="I13" i="9" s="1"/>
  <c r="D16" i="9"/>
  <c r="C16" i="9"/>
  <c r="G31" i="24"/>
  <c r="H110" i="19" s="1"/>
  <c r="T110" i="19" s="1"/>
  <c r="F110" i="19"/>
  <c r="R110" i="19" s="1"/>
  <c r="P128" i="19"/>
  <c r="P246" i="19"/>
  <c r="P205" i="19"/>
  <c r="P28" i="19"/>
  <c r="P119" i="19"/>
  <c r="P121" i="19"/>
  <c r="P213" i="19"/>
  <c r="P221" i="19"/>
  <c r="P48" i="19"/>
  <c r="P22" i="19"/>
  <c r="P239" i="19"/>
  <c r="P38" i="19"/>
  <c r="P15" i="19"/>
  <c r="P101" i="19"/>
  <c r="P87" i="19"/>
  <c r="P29" i="19"/>
  <c r="P484" i="19"/>
  <c r="P96" i="19"/>
  <c r="P32" i="19"/>
  <c r="P37" i="19"/>
  <c r="P36" i="19"/>
  <c r="P20" i="19"/>
  <c r="P54" i="19"/>
  <c r="P88" i="19"/>
  <c r="P30" i="19"/>
  <c r="P10" i="19"/>
  <c r="P212" i="19"/>
  <c r="P230" i="19"/>
  <c r="P129" i="19"/>
  <c r="P218" i="19"/>
  <c r="P44" i="19"/>
  <c r="P204" i="19"/>
  <c r="P112" i="19"/>
  <c r="P231" i="19"/>
  <c r="P214" i="19"/>
  <c r="P53" i="19"/>
  <c r="P235" i="19"/>
  <c r="P229" i="19"/>
  <c r="P13" i="19"/>
  <c r="P330" i="19"/>
  <c r="P103" i="19"/>
  <c r="P486" i="19"/>
  <c r="P206" i="19"/>
  <c r="P47" i="19"/>
  <c r="P118" i="19"/>
  <c r="P120" i="19"/>
  <c r="P21" i="19"/>
  <c r="P14" i="19"/>
  <c r="P203" i="19"/>
  <c r="P55" i="19"/>
  <c r="P238" i="19"/>
  <c r="J238" i="19" s="1"/>
  <c r="P503" i="19"/>
  <c r="P19" i="19"/>
  <c r="P202" i="19"/>
  <c r="P39" i="19"/>
  <c r="P95" i="19"/>
  <c r="P49" i="19"/>
  <c r="P485" i="19"/>
  <c r="P84" i="19"/>
  <c r="P329" i="19"/>
  <c r="E15" i="3"/>
  <c r="H18" i="19" s="1"/>
  <c r="T18" i="19" s="1"/>
  <c r="P240" i="19"/>
  <c r="F42" i="6"/>
  <c r="F53" i="6"/>
  <c r="H333" i="19" s="1"/>
  <c r="T333" i="19" s="1"/>
  <c r="P514" i="19"/>
  <c r="P508" i="19"/>
  <c r="P491" i="19"/>
  <c r="D10" i="6"/>
  <c r="P237" i="19"/>
  <c r="P93" i="19"/>
  <c r="P533" i="19"/>
  <c r="B540" i="19"/>
  <c r="P122" i="19"/>
  <c r="P111" i="19"/>
  <c r="P86" i="19"/>
  <c r="P46" i="19"/>
  <c r="P222" i="19"/>
  <c r="P501" i="19"/>
  <c r="P12" i="19"/>
  <c r="P45" i="19"/>
  <c r="P201" i="19"/>
  <c r="P113" i="19"/>
  <c r="P127" i="19"/>
  <c r="P219" i="19"/>
  <c r="P27" i="19"/>
  <c r="P11" i="19"/>
  <c r="P236" i="19"/>
  <c r="P85" i="19"/>
  <c r="P529" i="19"/>
  <c r="P220" i="19"/>
  <c r="P104" i="19"/>
  <c r="I48" i="19" l="1"/>
  <c r="L48" i="19"/>
  <c r="K48" i="19" s="1"/>
  <c r="J48" i="19"/>
  <c r="I12" i="19"/>
  <c r="L12" i="19"/>
  <c r="K12" i="19" s="1"/>
  <c r="J12" i="19"/>
  <c r="I219" i="19"/>
  <c r="J219" i="19" s="1"/>
  <c r="L219" i="19"/>
  <c r="K219" i="19" s="1"/>
  <c r="J122" i="19"/>
  <c r="L122" i="19"/>
  <c r="K122" i="19" s="1"/>
  <c r="I514" i="19"/>
  <c r="L514" i="19"/>
  <c r="K514" i="19" s="1"/>
  <c r="J514" i="19"/>
  <c r="I39" i="19"/>
  <c r="J39" i="19"/>
  <c r="L39" i="19"/>
  <c r="K39" i="19" s="1"/>
  <c r="I231" i="19"/>
  <c r="J231" i="19"/>
  <c r="L231" i="19"/>
  <c r="K231" i="19" s="1"/>
  <c r="I20" i="19"/>
  <c r="J20" i="19"/>
  <c r="L20" i="19"/>
  <c r="K20" i="19" s="1"/>
  <c r="J22" i="19"/>
  <c r="L22" i="19"/>
  <c r="K22" i="19" s="1"/>
  <c r="I22" i="19"/>
  <c r="L128" i="19"/>
  <c r="K128" i="19" s="1"/>
  <c r="J128" i="19"/>
  <c r="L238" i="19"/>
  <c r="K238" i="19" s="1"/>
  <c r="L247" i="19"/>
  <c r="K247" i="19" s="1"/>
  <c r="J247" i="19"/>
  <c r="L127" i="19"/>
  <c r="K127" i="19" s="1"/>
  <c r="J127" i="19"/>
  <c r="I113" i="19"/>
  <c r="L113" i="19"/>
  <c r="K113" i="19" s="1"/>
  <c r="J113" i="19"/>
  <c r="I19" i="19"/>
  <c r="L19" i="19"/>
  <c r="K19" i="19" s="1"/>
  <c r="J19" i="19"/>
  <c r="L206" i="19"/>
  <c r="K206" i="19" s="1"/>
  <c r="J206" i="19"/>
  <c r="L204" i="19"/>
  <c r="K204" i="19" s="1"/>
  <c r="J204" i="19"/>
  <c r="I37" i="19"/>
  <c r="J37" i="19"/>
  <c r="L37" i="19"/>
  <c r="K37" i="19" s="1"/>
  <c r="L221" i="19"/>
  <c r="K221" i="19" s="1"/>
  <c r="J221" i="19"/>
  <c r="H41" i="9"/>
  <c r="H524" i="19" s="1"/>
  <c r="T524" i="19" s="1"/>
  <c r="J94" i="19"/>
  <c r="H322" i="19"/>
  <c r="T322" i="19" s="1"/>
  <c r="I503" i="19"/>
  <c r="L503" i="19"/>
  <c r="K503" i="19" s="1"/>
  <c r="J503" i="19"/>
  <c r="I486" i="19"/>
  <c r="L486" i="19"/>
  <c r="K486" i="19" s="1"/>
  <c r="J486" i="19"/>
  <c r="I44" i="19"/>
  <c r="J44" i="19" s="1"/>
  <c r="L44" i="19"/>
  <c r="K44" i="19" s="1"/>
  <c r="I32" i="19"/>
  <c r="J32" i="19"/>
  <c r="L32" i="19"/>
  <c r="K32" i="19" s="1"/>
  <c r="D13" i="6"/>
  <c r="J102" i="19"/>
  <c r="L36" i="19"/>
  <c r="K36" i="19" s="1"/>
  <c r="I36" i="19"/>
  <c r="J36" i="19"/>
  <c r="L104" i="19"/>
  <c r="K104" i="19" s="1"/>
  <c r="J104" i="19"/>
  <c r="I45" i="19"/>
  <c r="L45" i="19"/>
  <c r="K45" i="19" s="1"/>
  <c r="J45" i="19"/>
  <c r="I533" i="19"/>
  <c r="L533" i="19"/>
  <c r="K533" i="19" s="1"/>
  <c r="J533" i="19"/>
  <c r="L240" i="19"/>
  <c r="K240" i="19" s="1"/>
  <c r="J240" i="19"/>
  <c r="J96" i="19"/>
  <c r="L96" i="19"/>
  <c r="K96" i="19" s="1"/>
  <c r="I96" i="19"/>
  <c r="L213" i="19"/>
  <c r="K213" i="19" s="1"/>
  <c r="J213" i="19"/>
  <c r="H488" i="19"/>
  <c r="T488" i="19" s="1"/>
  <c r="L110" i="19"/>
  <c r="K110" i="19" s="1"/>
  <c r="J110" i="19"/>
  <c r="H201" i="19"/>
  <c r="T201" i="19" s="1"/>
  <c r="I201" i="19" s="1"/>
  <c r="J201" i="19" s="1"/>
  <c r="F209" i="19"/>
  <c r="R209" i="19" s="1"/>
  <c r="E29" i="22"/>
  <c r="H209" i="19" s="1"/>
  <c r="T209" i="19" s="1"/>
  <c r="L220" i="19"/>
  <c r="K220" i="19" s="1"/>
  <c r="J220" i="19"/>
  <c r="I220" i="19"/>
  <c r="F226" i="19"/>
  <c r="R226" i="19" s="1"/>
  <c r="G29" i="22"/>
  <c r="H226" i="19" s="1"/>
  <c r="T226" i="19" s="1"/>
  <c r="H489" i="19"/>
  <c r="T489" i="19" s="1"/>
  <c r="H235" i="19"/>
  <c r="T235" i="19" s="1"/>
  <c r="L235" i="19" s="1"/>
  <c r="K235" i="19" s="1"/>
  <c r="I55" i="19"/>
  <c r="L55" i="19"/>
  <c r="K55" i="19" s="1"/>
  <c r="J55" i="19"/>
  <c r="J501" i="19"/>
  <c r="I501" i="19"/>
  <c r="L501" i="19"/>
  <c r="K501" i="19" s="1"/>
  <c r="J237" i="19"/>
  <c r="L237" i="19"/>
  <c r="K237" i="19" s="1"/>
  <c r="I237" i="19"/>
  <c r="J203" i="19"/>
  <c r="I203" i="19"/>
  <c r="L203" i="19"/>
  <c r="K203" i="19" s="1"/>
  <c r="L330" i="19"/>
  <c r="K330" i="19" s="1"/>
  <c r="I330" i="19"/>
  <c r="J330" i="19"/>
  <c r="L230" i="19"/>
  <c r="K230" i="19" s="1"/>
  <c r="J230" i="19"/>
  <c r="I29" i="19"/>
  <c r="L29" i="19"/>
  <c r="K29" i="19" s="1"/>
  <c r="J29" i="19"/>
  <c r="L121" i="19"/>
  <c r="K121" i="19" s="1"/>
  <c r="J121" i="19"/>
  <c r="H484" i="19"/>
  <c r="T484" i="19" s="1"/>
  <c r="L484" i="19" s="1"/>
  <c r="K484" i="19" s="1"/>
  <c r="F492" i="19"/>
  <c r="R492" i="19" s="1"/>
  <c r="I16" i="9"/>
  <c r="I202" i="19"/>
  <c r="J202" i="19" s="1"/>
  <c r="L202" i="19"/>
  <c r="K202" i="19" s="1"/>
  <c r="J93" i="19"/>
  <c r="L93" i="19"/>
  <c r="K93" i="19" s="1"/>
  <c r="J222" i="19"/>
  <c r="L222" i="19"/>
  <c r="K222" i="19" s="1"/>
  <c r="I329" i="19"/>
  <c r="J329" i="19"/>
  <c r="L329" i="19"/>
  <c r="K329" i="19" s="1"/>
  <c r="I14" i="19"/>
  <c r="L14" i="19"/>
  <c r="K14" i="19" s="1"/>
  <c r="J14" i="19"/>
  <c r="I13" i="19"/>
  <c r="J13" i="19"/>
  <c r="L13" i="19"/>
  <c r="K13" i="19" s="1"/>
  <c r="J212" i="19"/>
  <c r="L212" i="19"/>
  <c r="K212" i="19" s="1"/>
  <c r="L87" i="19"/>
  <c r="K87" i="19" s="1"/>
  <c r="J87" i="19"/>
  <c r="L119" i="19"/>
  <c r="K119" i="19" s="1"/>
  <c r="J119" i="19"/>
  <c r="J214" i="19"/>
  <c r="L47" i="19"/>
  <c r="K47" i="19" s="1"/>
  <c r="I47" i="19"/>
  <c r="J47" i="19"/>
  <c r="L85" i="19"/>
  <c r="K85" i="19" s="1"/>
  <c r="J85" i="19"/>
  <c r="I46" i="19"/>
  <c r="J46" i="19"/>
  <c r="L46" i="19"/>
  <c r="K46" i="19" s="1"/>
  <c r="I84" i="19"/>
  <c r="J84" i="19" s="1"/>
  <c r="L84" i="19"/>
  <c r="K84" i="19" s="1"/>
  <c r="I21" i="19"/>
  <c r="L21" i="19"/>
  <c r="K21" i="19" s="1"/>
  <c r="J21" i="19"/>
  <c r="L229" i="19"/>
  <c r="K229" i="19" s="1"/>
  <c r="J229" i="19"/>
  <c r="I10" i="19"/>
  <c r="J10" i="19" s="1"/>
  <c r="L10" i="19"/>
  <c r="K10" i="19" s="1"/>
  <c r="I101" i="19"/>
  <c r="J101" i="19" s="1"/>
  <c r="L101" i="19"/>
  <c r="K101" i="19" s="1"/>
  <c r="I28" i="19"/>
  <c r="J28" i="19"/>
  <c r="L28" i="19"/>
  <c r="K28" i="19" s="1"/>
  <c r="J500" i="19"/>
  <c r="I500" i="19"/>
  <c r="L500" i="19"/>
  <c r="K500" i="19" s="1"/>
  <c r="H218" i="19"/>
  <c r="T218" i="19" s="1"/>
  <c r="L218" i="19" s="1"/>
  <c r="K218" i="19" s="1"/>
  <c r="J529" i="19"/>
  <c r="L529" i="19"/>
  <c r="K529" i="19" s="1"/>
  <c r="I529" i="19"/>
  <c r="L86" i="19"/>
  <c r="K86" i="19" s="1"/>
  <c r="J86" i="19"/>
  <c r="I485" i="19"/>
  <c r="L485" i="19"/>
  <c r="K485" i="19" s="1"/>
  <c r="J485" i="19"/>
  <c r="I30" i="19"/>
  <c r="J30" i="19"/>
  <c r="L30" i="19"/>
  <c r="K30" i="19" s="1"/>
  <c r="I15" i="19"/>
  <c r="J15" i="19"/>
  <c r="L15" i="19"/>
  <c r="K15" i="19" s="1"/>
  <c r="L205" i="19"/>
  <c r="K205" i="19" s="1"/>
  <c r="J205" i="19"/>
  <c r="F118" i="19"/>
  <c r="R118" i="19" s="1"/>
  <c r="I22" i="24"/>
  <c r="H118" i="19" s="1"/>
  <c r="T118" i="19" s="1"/>
  <c r="I118" i="19" s="1"/>
  <c r="J118" i="19" s="1"/>
  <c r="L319" i="19"/>
  <c r="K319" i="19" s="1"/>
  <c r="J319" i="19"/>
  <c r="I319" i="19"/>
  <c r="L129" i="19"/>
  <c r="K129" i="19" s="1"/>
  <c r="J129" i="19"/>
  <c r="I236" i="19"/>
  <c r="L236" i="19"/>
  <c r="K236" i="19" s="1"/>
  <c r="J236" i="19"/>
  <c r="L11" i="19"/>
  <c r="K11" i="19" s="1"/>
  <c r="I11" i="19"/>
  <c r="J11" i="19"/>
  <c r="F243" i="19"/>
  <c r="R243" i="19" s="1"/>
  <c r="I29" i="22"/>
  <c r="H243" i="19" s="1"/>
  <c r="T243" i="19" s="1"/>
  <c r="I491" i="19"/>
  <c r="J491" i="19"/>
  <c r="L491" i="19"/>
  <c r="K491" i="19" s="1"/>
  <c r="H12" i="6"/>
  <c r="H311" i="19" s="1"/>
  <c r="F310" i="19" s="1"/>
  <c r="I49" i="19"/>
  <c r="L49" i="19"/>
  <c r="K49" i="19" s="1"/>
  <c r="J49" i="19"/>
  <c r="I53" i="19"/>
  <c r="L53" i="19"/>
  <c r="K53" i="19" s="1"/>
  <c r="J53" i="19"/>
  <c r="L88" i="19"/>
  <c r="K88" i="19" s="1"/>
  <c r="J88" i="19"/>
  <c r="I38" i="19"/>
  <c r="L38" i="19"/>
  <c r="K38" i="19" s="1"/>
  <c r="J38" i="19"/>
  <c r="L246" i="19"/>
  <c r="K246" i="19" s="1"/>
  <c r="J246" i="19"/>
  <c r="H495" i="19"/>
  <c r="T495" i="19" s="1"/>
  <c r="L112" i="19"/>
  <c r="K112" i="19" s="1"/>
  <c r="J112" i="19"/>
  <c r="L27" i="19"/>
  <c r="K27" i="19" s="1"/>
  <c r="J27" i="19"/>
  <c r="I27" i="19"/>
  <c r="J111" i="19"/>
  <c r="L111" i="19"/>
  <c r="K111" i="19" s="1"/>
  <c r="I508" i="19"/>
  <c r="L508" i="19"/>
  <c r="K508" i="19" s="1"/>
  <c r="J508" i="19"/>
  <c r="L95" i="19"/>
  <c r="K95" i="19" s="1"/>
  <c r="J95" i="19"/>
  <c r="I214" i="19"/>
  <c r="L214" i="19"/>
  <c r="K214" i="19" s="1"/>
  <c r="I54" i="19"/>
  <c r="J54" i="19"/>
  <c r="L54" i="19"/>
  <c r="K54" i="19" s="1"/>
  <c r="L239" i="19"/>
  <c r="K239" i="19" s="1"/>
  <c r="J239" i="19"/>
  <c r="G6" i="6"/>
  <c r="G7" i="6" s="1"/>
  <c r="G8" i="6" s="1"/>
  <c r="D77" i="6" s="1"/>
  <c r="C27" i="9"/>
  <c r="F538" i="19" s="1"/>
  <c r="R538" i="19" s="1"/>
  <c r="F244" i="19"/>
  <c r="R244" i="19" s="1"/>
  <c r="I30" i="22"/>
  <c r="H244" i="19" s="1"/>
  <c r="T244" i="19" s="1"/>
  <c r="F210" i="19"/>
  <c r="R210" i="19" s="1"/>
  <c r="E30" i="22"/>
  <c r="H210" i="19" s="1"/>
  <c r="T210" i="19" s="1"/>
  <c r="I34" i="24"/>
  <c r="H130" i="19" s="1"/>
  <c r="T130" i="19" s="1"/>
  <c r="F130" i="19"/>
  <c r="R130" i="19" s="1"/>
  <c r="I24" i="24"/>
  <c r="H120" i="19" s="1"/>
  <c r="T120" i="19" s="1"/>
  <c r="J120" i="19" s="1"/>
  <c r="F120" i="19"/>
  <c r="R120" i="19" s="1"/>
  <c r="I30" i="24"/>
  <c r="H126" i="19" s="1"/>
  <c r="T126" i="19" s="1"/>
  <c r="F126" i="19"/>
  <c r="R126" i="19" s="1"/>
  <c r="C13" i="6"/>
  <c r="H6" i="6"/>
  <c r="H7" i="6" s="1"/>
  <c r="H8" i="6" s="1"/>
  <c r="P244" i="19"/>
  <c r="F103" i="19"/>
  <c r="R103" i="19" s="1"/>
  <c r="G24" i="24"/>
  <c r="H103" i="19" s="1"/>
  <c r="T103" i="19" s="1"/>
  <c r="J103" i="19" s="1"/>
  <c r="I28" i="24"/>
  <c r="H124" i="19" s="1"/>
  <c r="T124" i="19" s="1"/>
  <c r="F124" i="19"/>
  <c r="R124" i="19" s="1"/>
  <c r="E44" i="6"/>
  <c r="E48" i="6"/>
  <c r="C28" i="6"/>
  <c r="C25" i="6"/>
  <c r="H314" i="19" s="1"/>
  <c r="T314" i="19" s="1"/>
  <c r="E45" i="6"/>
  <c r="H25" i="6"/>
  <c r="C33" i="6" s="1"/>
  <c r="E51" i="6" s="1"/>
  <c r="F245" i="19"/>
  <c r="R245" i="19" s="1"/>
  <c r="I31" i="22"/>
  <c r="H245" i="19" s="1"/>
  <c r="T245" i="19" s="1"/>
  <c r="F248" i="19"/>
  <c r="R248" i="19" s="1"/>
  <c r="I34" i="22"/>
  <c r="H248" i="19" s="1"/>
  <c r="T248" i="19" s="1"/>
  <c r="G21" i="9"/>
  <c r="I21" i="9" s="1"/>
  <c r="H498" i="19" s="1"/>
  <c r="T498" i="19" s="1"/>
  <c r="E28" i="24"/>
  <c r="H90" i="19" s="1"/>
  <c r="T90" i="19" s="1"/>
  <c r="F90" i="19"/>
  <c r="R90" i="19" s="1"/>
  <c r="G20" i="9"/>
  <c r="I20" i="9" s="1"/>
  <c r="H497" i="19" s="1"/>
  <c r="T497" i="19" s="1"/>
  <c r="F228" i="19"/>
  <c r="R228" i="19" s="1"/>
  <c r="G31" i="22"/>
  <c r="H228" i="19" s="1"/>
  <c r="T228" i="19" s="1"/>
  <c r="P124" i="19"/>
  <c r="P534" i="19"/>
  <c r="P318" i="19"/>
  <c r="P248" i="19"/>
  <c r="I19" i="3"/>
  <c r="H56" i="19" s="1"/>
  <c r="T56" i="19" s="1"/>
  <c r="P130" i="19"/>
  <c r="P532" i="19"/>
  <c r="P316" i="19"/>
  <c r="P363" i="19"/>
  <c r="P536" i="19"/>
  <c r="P530" i="19"/>
  <c r="I15" i="3"/>
  <c r="H52" i="19" s="1"/>
  <c r="T52" i="19" s="1"/>
  <c r="P499" i="19"/>
  <c r="P496" i="19"/>
  <c r="P126" i="19"/>
  <c r="P315" i="19"/>
  <c r="P209" i="19"/>
  <c r="P90" i="19"/>
  <c r="P18" i="19"/>
  <c r="P243" i="19"/>
  <c r="P226" i="19"/>
  <c r="P513" i="19"/>
  <c r="P507" i="19"/>
  <c r="P490" i="19"/>
  <c r="P478" i="19"/>
  <c r="P333" i="19"/>
  <c r="L333" i="19" s="1"/>
  <c r="K333" i="19" s="1"/>
  <c r="P245" i="19"/>
  <c r="P479" i="19"/>
  <c r="F46" i="6"/>
  <c r="H326" i="19" s="1"/>
  <c r="T326" i="19" s="1"/>
  <c r="F54" i="6"/>
  <c r="H334" i="19" s="1"/>
  <c r="T334" i="19" s="1"/>
  <c r="F72" i="6"/>
  <c r="H351" i="19" s="1"/>
  <c r="T351" i="19" s="1"/>
  <c r="F43" i="6"/>
  <c r="H323" i="19" s="1"/>
  <c r="T323" i="19" s="1"/>
  <c r="F65" i="6"/>
  <c r="H344" i="19" s="1"/>
  <c r="T344" i="19" s="1"/>
  <c r="F64" i="6"/>
  <c r="H343" i="19" s="1"/>
  <c r="T343" i="19" s="1"/>
  <c r="F66" i="6"/>
  <c r="H345" i="19" s="1"/>
  <c r="T345" i="19" s="1"/>
  <c r="F69" i="6"/>
  <c r="H348" i="19" s="1"/>
  <c r="T348" i="19" s="1"/>
  <c r="F71" i="6"/>
  <c r="H350" i="19" s="1"/>
  <c r="T350" i="19" s="1"/>
  <c r="F70" i="6"/>
  <c r="H349" i="19" s="1"/>
  <c r="T349" i="19" s="1"/>
  <c r="F59" i="6"/>
  <c r="F62" i="6"/>
  <c r="H341" i="19" s="1"/>
  <c r="T341" i="19" s="1"/>
  <c r="F60" i="6"/>
  <c r="H339" i="19" s="1"/>
  <c r="T339" i="19" s="1"/>
  <c r="F67" i="6"/>
  <c r="H346" i="19" s="1"/>
  <c r="T346" i="19" s="1"/>
  <c r="F61" i="6"/>
  <c r="H340" i="19" s="1"/>
  <c r="T340" i="19" s="1"/>
  <c r="F44" i="6"/>
  <c r="H324" i="19" s="1"/>
  <c r="T324" i="19" s="1"/>
  <c r="F63" i="6"/>
  <c r="H342" i="19" s="1"/>
  <c r="T342" i="19" s="1"/>
  <c r="G92" i="6"/>
  <c r="P210" i="19"/>
  <c r="P228" i="19"/>
  <c r="P497" i="19"/>
  <c r="P495" i="19"/>
  <c r="E65" i="9" l="1"/>
  <c r="H538" i="19" s="1"/>
  <c r="T538" i="19" s="1"/>
  <c r="D27" i="9"/>
  <c r="I235" i="19"/>
  <c r="J235" i="19" s="1"/>
  <c r="F68" i="6"/>
  <c r="H347" i="19" s="1"/>
  <c r="T347" i="19" s="1"/>
  <c r="I484" i="19"/>
  <c r="J484" i="19" s="1"/>
  <c r="H506" i="19"/>
  <c r="T506" i="19" s="1"/>
  <c r="G29" i="9"/>
  <c r="H367" i="19"/>
  <c r="L507" i="19"/>
  <c r="K507" i="19" s="1"/>
  <c r="I507" i="19"/>
  <c r="J507" i="19"/>
  <c r="I27" i="9"/>
  <c r="H509" i="19" s="1"/>
  <c r="T509" i="19" s="1"/>
  <c r="L120" i="19"/>
  <c r="K120" i="19" s="1"/>
  <c r="F48" i="6"/>
  <c r="H328" i="19" s="1"/>
  <c r="T328" i="19" s="1"/>
  <c r="L226" i="19"/>
  <c r="K226" i="19" s="1"/>
  <c r="I226" i="19"/>
  <c r="J226" i="19" s="1"/>
  <c r="L536" i="19"/>
  <c r="K536" i="19" s="1"/>
  <c r="J536" i="19"/>
  <c r="I536" i="19"/>
  <c r="I530" i="19"/>
  <c r="L530" i="19"/>
  <c r="K530" i="19" s="1"/>
  <c r="J530" i="19"/>
  <c r="L243" i="19"/>
  <c r="K243" i="19" s="1"/>
  <c r="I243" i="19"/>
  <c r="J243" i="19" s="1"/>
  <c r="I363" i="19"/>
  <c r="L363" i="19"/>
  <c r="K363" i="19" s="1"/>
  <c r="J363" i="19"/>
  <c r="T311" i="19"/>
  <c r="R310" i="19"/>
  <c r="F12" i="6"/>
  <c r="H310" i="19" s="1"/>
  <c r="T310" i="19" s="1"/>
  <c r="I18" i="19"/>
  <c r="J18" i="19" s="1"/>
  <c r="L18" i="19"/>
  <c r="K18" i="19" s="1"/>
  <c r="L90" i="19"/>
  <c r="K90" i="19" s="1"/>
  <c r="J90" i="19"/>
  <c r="I90" i="19"/>
  <c r="L532" i="19"/>
  <c r="K532" i="19" s="1"/>
  <c r="J532" i="19"/>
  <c r="I532" i="19"/>
  <c r="L513" i="19"/>
  <c r="K513" i="19" s="1"/>
  <c r="I513" i="19"/>
  <c r="J513" i="19"/>
  <c r="I209" i="19"/>
  <c r="J209" i="19" s="1"/>
  <c r="L209" i="19"/>
  <c r="K209" i="19" s="1"/>
  <c r="I130" i="19"/>
  <c r="J130" i="19"/>
  <c r="L130" i="19"/>
  <c r="K130" i="19" s="1"/>
  <c r="L118" i="19"/>
  <c r="K118" i="19" s="1"/>
  <c r="I495" i="19"/>
  <c r="J495" i="19" s="1"/>
  <c r="L495" i="19"/>
  <c r="K495" i="19" s="1"/>
  <c r="I497" i="19"/>
  <c r="J497" i="19" s="1"/>
  <c r="L497" i="19"/>
  <c r="K497" i="19" s="1"/>
  <c r="J228" i="19"/>
  <c r="L228" i="19"/>
  <c r="K228" i="19" s="1"/>
  <c r="I479" i="19"/>
  <c r="J479" i="19" s="1"/>
  <c r="L479" i="19"/>
  <c r="K479" i="19" s="1"/>
  <c r="L315" i="19"/>
  <c r="K315" i="19" s="1"/>
  <c r="I315" i="19"/>
  <c r="J315" i="19"/>
  <c r="L245" i="19"/>
  <c r="K245" i="19" s="1"/>
  <c r="J245" i="19"/>
  <c r="I248" i="19"/>
  <c r="J248" i="19"/>
  <c r="L248" i="19"/>
  <c r="K248" i="19" s="1"/>
  <c r="I218" i="19"/>
  <c r="J218" i="19" s="1"/>
  <c r="F73" i="6"/>
  <c r="H338" i="19"/>
  <c r="T338" i="19" s="1"/>
  <c r="I316" i="19"/>
  <c r="L316" i="19"/>
  <c r="K316" i="19" s="1"/>
  <c r="J316" i="19"/>
  <c r="L126" i="19"/>
  <c r="K126" i="19" s="1"/>
  <c r="J126" i="19"/>
  <c r="I126" i="19"/>
  <c r="L318" i="19"/>
  <c r="K318" i="19" s="1"/>
  <c r="I318" i="19"/>
  <c r="J318" i="19"/>
  <c r="H492" i="19"/>
  <c r="T492" i="19" s="1"/>
  <c r="I478" i="19"/>
  <c r="J478" i="19" s="1"/>
  <c r="L478" i="19"/>
  <c r="K478" i="19" s="1"/>
  <c r="I496" i="19"/>
  <c r="J496" i="19" s="1"/>
  <c r="L496" i="19"/>
  <c r="K496" i="19" s="1"/>
  <c r="L534" i="19"/>
  <c r="K534" i="19" s="1"/>
  <c r="I534" i="19"/>
  <c r="J534" i="19"/>
  <c r="J244" i="19"/>
  <c r="I244" i="19"/>
  <c r="L244" i="19"/>
  <c r="K244" i="19" s="1"/>
  <c r="L103" i="19"/>
  <c r="K103" i="19" s="1"/>
  <c r="L201" i="19"/>
  <c r="K201" i="19" s="1"/>
  <c r="I333" i="19"/>
  <c r="J333" i="19" s="1"/>
  <c r="L210" i="19"/>
  <c r="K210" i="19" s="1"/>
  <c r="I210" i="19"/>
  <c r="J210" i="19"/>
  <c r="L490" i="19"/>
  <c r="K490" i="19" s="1"/>
  <c r="I490" i="19"/>
  <c r="J490" i="19"/>
  <c r="L499" i="19"/>
  <c r="K499" i="19" s="1"/>
  <c r="I499" i="19"/>
  <c r="J499" i="19" s="1"/>
  <c r="J124" i="19"/>
  <c r="L124" i="19"/>
  <c r="K124" i="19" s="1"/>
  <c r="I124" i="19"/>
  <c r="H505" i="19"/>
  <c r="T505" i="19" s="1"/>
  <c r="F509" i="19"/>
  <c r="R509" i="19" s="1"/>
  <c r="F45" i="6"/>
  <c r="H325" i="19" s="1"/>
  <c r="T325" i="19" s="1"/>
  <c r="F51" i="6"/>
  <c r="H331" i="19" s="1"/>
  <c r="D80" i="6"/>
  <c r="F80" i="6" s="1"/>
  <c r="D81" i="6"/>
  <c r="F81" i="6" s="1"/>
  <c r="H356" i="19" s="1"/>
  <c r="T356" i="19" s="1"/>
  <c r="P535" i="19"/>
  <c r="F107" i="19"/>
  <c r="R107" i="19" s="1"/>
  <c r="G28" i="24"/>
  <c r="H107" i="19" s="1"/>
  <c r="T107" i="19" s="1"/>
  <c r="P50" i="19"/>
  <c r="I13" i="3"/>
  <c r="H50" i="19" s="1"/>
  <c r="T50" i="19" s="1"/>
  <c r="F109" i="19"/>
  <c r="R109" i="19" s="1"/>
  <c r="G30" i="24"/>
  <c r="H109" i="19" s="1"/>
  <c r="T109" i="19" s="1"/>
  <c r="F211" i="19"/>
  <c r="R211" i="19" s="1"/>
  <c r="E31" i="22"/>
  <c r="H211" i="19" s="1"/>
  <c r="T211" i="19" s="1"/>
  <c r="P35" i="19"/>
  <c r="G15" i="3"/>
  <c r="H35" i="19" s="1"/>
  <c r="T35" i="19" s="1"/>
  <c r="F227" i="19"/>
  <c r="R227" i="19" s="1"/>
  <c r="G30" i="22"/>
  <c r="H227" i="19" s="1"/>
  <c r="T227" i="19" s="1"/>
  <c r="P92" i="19"/>
  <c r="F352" i="19"/>
  <c r="R352" i="19" s="1"/>
  <c r="G93" i="6"/>
  <c r="G94" i="6" s="1"/>
  <c r="H368" i="19" s="1"/>
  <c r="T368" i="19" s="1"/>
  <c r="H317" i="19"/>
  <c r="T317" i="19" s="1"/>
  <c r="P16" i="19"/>
  <c r="E13" i="3"/>
  <c r="H16" i="19" s="1"/>
  <c r="T16" i="19" s="1"/>
  <c r="C32" i="6"/>
  <c r="F20" i="6" s="1"/>
  <c r="P52" i="19"/>
  <c r="P56" i="19"/>
  <c r="G13" i="3"/>
  <c r="H33" i="19" s="1"/>
  <c r="T33" i="19" s="1"/>
  <c r="P531" i="19"/>
  <c r="P505" i="19"/>
  <c r="P506" i="19"/>
  <c r="P498" i="19"/>
  <c r="P109" i="19"/>
  <c r="P314" i="19"/>
  <c r="P317" i="19"/>
  <c r="P346" i="19"/>
  <c r="P342" i="19"/>
  <c r="P331" i="19"/>
  <c r="P351" i="19"/>
  <c r="P344" i="19"/>
  <c r="P341" i="19"/>
  <c r="P349" i="19"/>
  <c r="P328" i="19"/>
  <c r="P350" i="19"/>
  <c r="P334" i="19"/>
  <c r="I334" i="19" s="1"/>
  <c r="P324" i="19"/>
  <c r="P327" i="19"/>
  <c r="P325" i="19"/>
  <c r="P348" i="19"/>
  <c r="P326" i="19"/>
  <c r="P367" i="19"/>
  <c r="P489" i="19"/>
  <c r="P338" i="19"/>
  <c r="P345" i="19"/>
  <c r="P323" i="19"/>
  <c r="P343" i="19"/>
  <c r="D82" i="6"/>
  <c r="F82" i="6" s="1"/>
  <c r="H357" i="19" s="1"/>
  <c r="P211" i="19"/>
  <c r="P227" i="19"/>
  <c r="P322" i="19"/>
  <c r="P107" i="19"/>
  <c r="T367" i="19" l="1"/>
  <c r="F368" i="19"/>
  <c r="I346" i="19"/>
  <c r="J346" i="19" s="1"/>
  <c r="L346" i="19"/>
  <c r="K346" i="19" s="1"/>
  <c r="J317" i="19"/>
  <c r="L317" i="19"/>
  <c r="K317" i="19" s="1"/>
  <c r="I317" i="19"/>
  <c r="F52" i="6"/>
  <c r="I322" i="19"/>
  <c r="J322" i="19" s="1"/>
  <c r="L322" i="19"/>
  <c r="K322" i="19" s="1"/>
  <c r="I16" i="19"/>
  <c r="J16" i="19"/>
  <c r="L16" i="19"/>
  <c r="K16" i="19" s="1"/>
  <c r="L314" i="19"/>
  <c r="K314" i="19" s="1"/>
  <c r="J314" i="19"/>
  <c r="I314" i="19"/>
  <c r="I350" i="19"/>
  <c r="J350" i="19"/>
  <c r="L350" i="19"/>
  <c r="K350" i="19" s="1"/>
  <c r="L506" i="19"/>
  <c r="K506" i="19" s="1"/>
  <c r="I506" i="19"/>
  <c r="J506" i="19" s="1"/>
  <c r="I50" i="19"/>
  <c r="L50" i="19"/>
  <c r="K50" i="19" s="1"/>
  <c r="J50" i="19"/>
  <c r="I324" i="19"/>
  <c r="J324" i="19" s="1"/>
  <c r="L324" i="19"/>
  <c r="K324" i="19" s="1"/>
  <c r="J334" i="19"/>
  <c r="L334" i="19"/>
  <c r="K334" i="19" s="1"/>
  <c r="I345" i="19"/>
  <c r="J345" i="19" s="1"/>
  <c r="L345" i="19"/>
  <c r="K345" i="19" s="1"/>
  <c r="I349" i="19"/>
  <c r="J349" i="19" s="1"/>
  <c r="L349" i="19"/>
  <c r="K349" i="19" s="1"/>
  <c r="J505" i="19"/>
  <c r="I505" i="19"/>
  <c r="L505" i="19"/>
  <c r="K505" i="19" s="1"/>
  <c r="I327" i="19"/>
  <c r="L327" i="19"/>
  <c r="K327" i="19" s="1"/>
  <c r="J327" i="19"/>
  <c r="L211" i="19"/>
  <c r="K211" i="19" s="1"/>
  <c r="J211" i="19"/>
  <c r="L109" i="19"/>
  <c r="K109" i="19" s="1"/>
  <c r="I109" i="19"/>
  <c r="J109" i="19"/>
  <c r="I328" i="19"/>
  <c r="J328" i="19" s="1"/>
  <c r="L328" i="19"/>
  <c r="K328" i="19" s="1"/>
  <c r="I338" i="19"/>
  <c r="J338" i="19" s="1"/>
  <c r="L338" i="19"/>
  <c r="K338" i="19" s="1"/>
  <c r="L341" i="19"/>
  <c r="K341" i="19" s="1"/>
  <c r="I341" i="19"/>
  <c r="J341" i="19" s="1"/>
  <c r="J531" i="19"/>
  <c r="I531" i="19"/>
  <c r="L531" i="19"/>
  <c r="K531" i="19" s="1"/>
  <c r="H352" i="19"/>
  <c r="T352" i="19" s="1"/>
  <c r="H73" i="6"/>
  <c r="I344" i="19"/>
  <c r="J344" i="19"/>
  <c r="L344" i="19"/>
  <c r="K344" i="19" s="1"/>
  <c r="I535" i="19"/>
  <c r="L535" i="19"/>
  <c r="K535" i="19" s="1"/>
  <c r="J535" i="19"/>
  <c r="L498" i="19"/>
  <c r="K498" i="19" s="1"/>
  <c r="I498" i="19"/>
  <c r="J498" i="19" s="1"/>
  <c r="L489" i="19"/>
  <c r="K489" i="19" s="1"/>
  <c r="I489" i="19"/>
  <c r="J489" i="19" s="1"/>
  <c r="L351" i="19"/>
  <c r="K351" i="19" s="1"/>
  <c r="I351" i="19"/>
  <c r="J351" i="19" s="1"/>
  <c r="I56" i="19"/>
  <c r="L56" i="19"/>
  <c r="K56" i="19" s="1"/>
  <c r="J56" i="19"/>
  <c r="J325" i="19"/>
  <c r="L325" i="19"/>
  <c r="K325" i="19" s="1"/>
  <c r="I325" i="19"/>
  <c r="T357" i="19"/>
  <c r="L343" i="19"/>
  <c r="K343" i="19" s="1"/>
  <c r="I343" i="19"/>
  <c r="J343" i="19"/>
  <c r="L323" i="19"/>
  <c r="K323" i="19" s="1"/>
  <c r="I323" i="19"/>
  <c r="J323" i="19" s="1"/>
  <c r="I367" i="19"/>
  <c r="L367" i="19"/>
  <c r="K367" i="19" s="1"/>
  <c r="J367" i="19"/>
  <c r="L326" i="19"/>
  <c r="K326" i="19" s="1"/>
  <c r="I326" i="19"/>
  <c r="J326" i="19"/>
  <c r="I52" i="19"/>
  <c r="J52" i="19" s="1"/>
  <c r="L52" i="19"/>
  <c r="K52" i="19" s="1"/>
  <c r="G81" i="6"/>
  <c r="H358" i="19" s="1"/>
  <c r="T358" i="19" s="1"/>
  <c r="H355" i="19"/>
  <c r="T355" i="19" s="1"/>
  <c r="I29" i="9"/>
  <c r="F512" i="19"/>
  <c r="R512" i="19" s="1"/>
  <c r="L227" i="19"/>
  <c r="K227" i="19" s="1"/>
  <c r="J227" i="19"/>
  <c r="I227" i="19"/>
  <c r="J107" i="19"/>
  <c r="I107" i="19"/>
  <c r="L107" i="19"/>
  <c r="K107" i="19" s="1"/>
  <c r="L348" i="19"/>
  <c r="K348" i="19" s="1"/>
  <c r="I348" i="19"/>
  <c r="J348" i="19" s="1"/>
  <c r="I342" i="19"/>
  <c r="J342" i="19" s="1"/>
  <c r="L342" i="19"/>
  <c r="K342" i="19" s="1"/>
  <c r="L35" i="19"/>
  <c r="K35" i="19" s="1"/>
  <c r="I35" i="19"/>
  <c r="J35" i="19" s="1"/>
  <c r="F332" i="19"/>
  <c r="F335" i="19" s="1"/>
  <c r="R335" i="19" s="1"/>
  <c r="T331" i="19"/>
  <c r="L331" i="19" s="1"/>
  <c r="K331" i="19" s="1"/>
  <c r="P524" i="19"/>
  <c r="P310" i="19"/>
  <c r="L310" i="19" s="1"/>
  <c r="K310" i="19" s="1"/>
  <c r="P311" i="19"/>
  <c r="L311" i="19" s="1"/>
  <c r="K311" i="19" s="1"/>
  <c r="E30" i="24"/>
  <c r="H92" i="19" s="1"/>
  <c r="F92" i="19"/>
  <c r="R92" i="19" s="1"/>
  <c r="P509" i="19"/>
  <c r="I509" i="19" s="1"/>
  <c r="J509" i="19" s="1"/>
  <c r="P33" i="19"/>
  <c r="R368" i="19"/>
  <c r="P355" i="19"/>
  <c r="P340" i="19"/>
  <c r="P356" i="19"/>
  <c r="P339" i="19"/>
  <c r="P357" i="19"/>
  <c r="P347" i="19"/>
  <c r="G6" i="3"/>
  <c r="P332" i="19"/>
  <c r="I331" i="19" l="1"/>
  <c r="I310" i="19"/>
  <c r="J310" i="19" s="1"/>
  <c r="I357" i="19"/>
  <c r="L357" i="19"/>
  <c r="K357" i="19" s="1"/>
  <c r="J357" i="19"/>
  <c r="I33" i="19"/>
  <c r="L33" i="19"/>
  <c r="K33" i="19" s="1"/>
  <c r="J33" i="19"/>
  <c r="F358" i="19"/>
  <c r="R358" i="19" s="1"/>
  <c r="L509" i="19"/>
  <c r="K509" i="19" s="1"/>
  <c r="T92" i="19"/>
  <c r="F515" i="19"/>
  <c r="R515" i="19" s="1"/>
  <c r="H512" i="19"/>
  <c r="T512" i="19" s="1"/>
  <c r="I32" i="9"/>
  <c r="F55" i="6"/>
  <c r="H332" i="19"/>
  <c r="T332" i="19" s="1"/>
  <c r="L332" i="19" s="1"/>
  <c r="K332" i="19" s="1"/>
  <c r="H26" i="19"/>
  <c r="I524" i="19"/>
  <c r="J524" i="19" s="1"/>
  <c r="L524" i="19"/>
  <c r="K524" i="19" s="1"/>
  <c r="I347" i="19"/>
  <c r="J347" i="19" s="1"/>
  <c r="L347" i="19"/>
  <c r="K347" i="19" s="1"/>
  <c r="I339" i="19"/>
  <c r="J339" i="19" s="1"/>
  <c r="L339" i="19"/>
  <c r="K339" i="19" s="1"/>
  <c r="I356" i="19"/>
  <c r="J356" i="19" s="1"/>
  <c r="L356" i="19"/>
  <c r="K356" i="19" s="1"/>
  <c r="R332" i="19"/>
  <c r="L340" i="19"/>
  <c r="K340" i="19" s="1"/>
  <c r="I340" i="19"/>
  <c r="J340" i="19" s="1"/>
  <c r="J331" i="19"/>
  <c r="L355" i="19"/>
  <c r="K355" i="19" s="1"/>
  <c r="I355" i="19"/>
  <c r="J355" i="19" s="1"/>
  <c r="I311" i="19"/>
  <c r="J311" i="19" s="1"/>
  <c r="F361" i="19"/>
  <c r="P368" i="19"/>
  <c r="P358" i="19"/>
  <c r="L358" i="19" s="1"/>
  <c r="K358" i="19" s="1"/>
  <c r="P352" i="19"/>
  <c r="I352" i="19" s="1"/>
  <c r="J352" i="19" s="1"/>
  <c r="P26" i="19"/>
  <c r="P335" i="19"/>
  <c r="I358" i="19" l="1"/>
  <c r="J358" i="19" s="1"/>
  <c r="F117" i="19"/>
  <c r="R117" i="19" s="1"/>
  <c r="I21" i="24"/>
  <c r="I332" i="19"/>
  <c r="J332" i="19" s="1"/>
  <c r="G74" i="6"/>
  <c r="H335" i="19"/>
  <c r="T335" i="19" s="1"/>
  <c r="H55" i="6"/>
  <c r="L368" i="19"/>
  <c r="K368" i="19" s="1"/>
  <c r="I368" i="19"/>
  <c r="J368" i="19" s="1"/>
  <c r="H515" i="19"/>
  <c r="T515" i="19" s="1"/>
  <c r="T26" i="19"/>
  <c r="I26" i="19" s="1"/>
  <c r="L352" i="19"/>
  <c r="K352" i="19" s="1"/>
  <c r="J92" i="19"/>
  <c r="L92" i="19"/>
  <c r="K92" i="19" s="1"/>
  <c r="I92" i="19"/>
  <c r="F362" i="19"/>
  <c r="R361" i="19"/>
  <c r="P117" i="19"/>
  <c r="P361" i="19"/>
  <c r="L335" i="19" l="1"/>
  <c r="K335" i="19" s="1"/>
  <c r="I335" i="19"/>
  <c r="J335" i="19" s="1"/>
  <c r="H117" i="19"/>
  <c r="G83" i="6"/>
  <c r="H361" i="19"/>
  <c r="T361" i="19" s="1"/>
  <c r="L361" i="19" s="1"/>
  <c r="K361" i="19" s="1"/>
  <c r="L26" i="19"/>
  <c r="K26" i="19" s="1"/>
  <c r="J26" i="19"/>
  <c r="F100" i="19"/>
  <c r="R100" i="19" s="1"/>
  <c r="G21" i="24"/>
  <c r="F364" i="19"/>
  <c r="R362" i="19"/>
  <c r="I6" i="3"/>
  <c r="P512" i="19"/>
  <c r="P100" i="19"/>
  <c r="P43" i="19"/>
  <c r="P362" i="19"/>
  <c r="H100" i="19" l="1"/>
  <c r="G89" i="6"/>
  <c r="H362" i="19"/>
  <c r="T362" i="19" s="1"/>
  <c r="L362" i="19" s="1"/>
  <c r="K362" i="19" s="1"/>
  <c r="L512" i="19"/>
  <c r="K512" i="19" s="1"/>
  <c r="I512" i="19"/>
  <c r="J512" i="19" s="1"/>
  <c r="T117" i="19"/>
  <c r="H43" i="19"/>
  <c r="I361" i="19"/>
  <c r="J361" i="19" s="1"/>
  <c r="R364" i="19"/>
  <c r="F369" i="19"/>
  <c r="R369" i="19" s="1"/>
  <c r="P515" i="19"/>
  <c r="P364" i="19"/>
  <c r="E6" i="3"/>
  <c r="I117" i="19" l="1"/>
  <c r="J117" i="19" s="1"/>
  <c r="L117" i="19"/>
  <c r="K117" i="19" s="1"/>
  <c r="J515" i="19"/>
  <c r="L515" i="19"/>
  <c r="K515" i="19" s="1"/>
  <c r="I515" i="19"/>
  <c r="H9" i="19"/>
  <c r="T9" i="19"/>
  <c r="G95" i="6"/>
  <c r="H369" i="19" s="1"/>
  <c r="T369" i="19" s="1"/>
  <c r="H364" i="19"/>
  <c r="T364" i="19" s="1"/>
  <c r="L364" i="19" s="1"/>
  <c r="K364" i="19" s="1"/>
  <c r="I362" i="19"/>
  <c r="J362" i="19" s="1"/>
  <c r="T100" i="19"/>
  <c r="T43" i="19"/>
  <c r="P488" i="19"/>
  <c r="P369" i="19"/>
  <c r="L369" i="19" l="1"/>
  <c r="K369" i="19" s="1"/>
  <c r="F83" i="19"/>
  <c r="R83" i="19" s="1"/>
  <c r="E21" i="24"/>
  <c r="I364" i="19"/>
  <c r="J364" i="19" s="1"/>
  <c r="I9" i="19"/>
  <c r="L9" i="19"/>
  <c r="K9" i="19" s="1"/>
  <c r="J9" i="19"/>
  <c r="I43" i="19"/>
  <c r="J43" i="19"/>
  <c r="L43" i="19"/>
  <c r="K43" i="19" s="1"/>
  <c r="I369" i="19"/>
  <c r="J369" i="19" s="1"/>
  <c r="L488" i="19"/>
  <c r="K488" i="19" s="1"/>
  <c r="J488" i="19"/>
  <c r="I488" i="19"/>
  <c r="I100" i="19"/>
  <c r="J100" i="19" s="1"/>
  <c r="L100" i="19"/>
  <c r="K100" i="19" s="1"/>
  <c r="P83" i="19"/>
  <c r="H83" i="19" l="1"/>
  <c r="P538" i="19"/>
  <c r="T83" i="19" l="1"/>
  <c r="L538" i="19"/>
  <c r="K538" i="19" s="1"/>
  <c r="I538" i="19"/>
  <c r="J538" i="19" s="1"/>
  <c r="I83" i="19" l="1"/>
  <c r="J83" i="19" s="1"/>
  <c r="L83" i="19"/>
  <c r="K83" i="19" s="1"/>
  <c r="I28" i="22"/>
  <c r="F242" i="19"/>
  <c r="R242" i="19" s="1"/>
  <c r="P242" i="19"/>
  <c r="I14" i="3"/>
  <c r="F125" i="19" l="1"/>
  <c r="R125" i="19" s="1"/>
  <c r="I29" i="24"/>
  <c r="H242" i="19"/>
  <c r="I38" i="22"/>
  <c r="H51" i="19"/>
  <c r="I23" i="3"/>
  <c r="H57" i="19" s="1"/>
  <c r="T57" i="19" s="1"/>
  <c r="P125" i="19"/>
  <c r="P51" i="19"/>
  <c r="P249" i="19"/>
  <c r="T51" i="19" l="1"/>
  <c r="F57" i="19"/>
  <c r="R57" i="19" s="1"/>
  <c r="I51" i="19"/>
  <c r="J51" i="19" s="1"/>
  <c r="L51" i="19"/>
  <c r="K51" i="19" s="1"/>
  <c r="H249" i="19"/>
  <c r="T249" i="19" s="1"/>
  <c r="L249" i="19" s="1"/>
  <c r="K249" i="19" s="1"/>
  <c r="F249" i="19"/>
  <c r="R249" i="19" s="1"/>
  <c r="I249" i="19" s="1"/>
  <c r="J249" i="19" s="1"/>
  <c r="T242" i="19"/>
  <c r="H125" i="19"/>
  <c r="I38" i="24"/>
  <c r="P131" i="19"/>
  <c r="P492" i="19"/>
  <c r="P57" i="19"/>
  <c r="L57" i="19" s="1"/>
  <c r="K57" i="19" s="1"/>
  <c r="T125" i="19" l="1"/>
  <c r="F131" i="19"/>
  <c r="R131" i="19" s="1"/>
  <c r="T199" i="20"/>
  <c r="F200" i="20"/>
  <c r="T198" i="20"/>
  <c r="F198" i="20"/>
  <c r="T197" i="20"/>
  <c r="F202" i="20"/>
  <c r="H131" i="19"/>
  <c r="T131" i="19" s="1"/>
  <c r="L131" i="19" s="1"/>
  <c r="K131" i="19" s="1"/>
  <c r="I57" i="19"/>
  <c r="J57" i="19" s="1"/>
  <c r="J242" i="19"/>
  <c r="L242" i="19"/>
  <c r="K242" i="19" s="1"/>
  <c r="I242" i="19"/>
  <c r="I492" i="19"/>
  <c r="J492" i="19" s="1"/>
  <c r="L492" i="19"/>
  <c r="K492" i="19" s="1"/>
  <c r="T91" i="20" l="1"/>
  <c r="F96" i="20"/>
  <c r="T93" i="20"/>
  <c r="F92" i="20"/>
  <c r="F94" i="20"/>
  <c r="T92" i="20"/>
  <c r="I131" i="19"/>
  <c r="J131" i="19" s="1"/>
  <c r="I125" i="19"/>
  <c r="J125" i="19" s="1"/>
  <c r="L125" i="19"/>
  <c r="K125" i="19" s="1"/>
  <c r="G60" i="9"/>
  <c r="G61" i="9" s="1"/>
  <c r="I40" i="9"/>
  <c r="I41" i="9" s="1"/>
  <c r="H525" i="19" s="1"/>
  <c r="T525" i="19" s="1"/>
  <c r="G34" i="9"/>
  <c r="I34" i="9" s="1"/>
  <c r="I35" i="9" l="1"/>
  <c r="F519" i="19"/>
  <c r="R519" i="19" s="1"/>
  <c r="H518" i="19"/>
  <c r="T518" i="19" s="1"/>
  <c r="P518" i="19"/>
  <c r="P525" i="19"/>
  <c r="L525" i="19" l="1"/>
  <c r="K525" i="19" s="1"/>
  <c r="I525" i="19"/>
  <c r="J525" i="19" s="1"/>
  <c r="L518" i="19"/>
  <c r="K518" i="19" s="1"/>
  <c r="I518" i="19"/>
  <c r="J518" i="19" s="1"/>
  <c r="H519" i="19"/>
  <c r="T519" i="19" s="1"/>
  <c r="I36" i="9"/>
  <c r="F520" i="19"/>
  <c r="R520" i="19" s="1"/>
  <c r="P519" i="19"/>
  <c r="I37" i="9" l="1"/>
  <c r="H520" i="19"/>
  <c r="T520" i="19" s="1"/>
  <c r="F521" i="19"/>
  <c r="R521" i="19" s="1"/>
  <c r="I519" i="19"/>
  <c r="L519" i="19"/>
  <c r="K519" i="19" s="1"/>
  <c r="J519" i="19"/>
  <c r="P520" i="19"/>
  <c r="I520" i="19" s="1"/>
  <c r="J520" i="19" s="1"/>
  <c r="G14" i="3"/>
  <c r="F225" i="19"/>
  <c r="R225" i="19" s="1"/>
  <c r="G28" i="22"/>
  <c r="P225" i="19"/>
  <c r="H34" i="19" l="1"/>
  <c r="G23" i="3"/>
  <c r="H40" i="19" s="1"/>
  <c r="T40" i="19" s="1"/>
  <c r="L520" i="19"/>
  <c r="K520" i="19" s="1"/>
  <c r="F108" i="19"/>
  <c r="R108" i="19" s="1"/>
  <c r="G29" i="24"/>
  <c r="F528" i="19"/>
  <c r="R528" i="19" s="1"/>
  <c r="E44" i="9"/>
  <c r="H521" i="19"/>
  <c r="T521" i="19" s="1"/>
  <c r="H225" i="19"/>
  <c r="G38" i="22"/>
  <c r="P108" i="19"/>
  <c r="P40" i="19"/>
  <c r="P34" i="19"/>
  <c r="P232" i="19"/>
  <c r="P521" i="19"/>
  <c r="L521" i="19" l="1"/>
  <c r="K521" i="19" s="1"/>
  <c r="I521" i="19"/>
  <c r="J521" i="19" s="1"/>
  <c r="L40" i="19"/>
  <c r="K40" i="19" s="1"/>
  <c r="H108" i="19"/>
  <c r="G38" i="24"/>
  <c r="T34" i="19"/>
  <c r="I34" i="19" s="1"/>
  <c r="J34" i="19" s="1"/>
  <c r="F40" i="19"/>
  <c r="R40" i="19" s="1"/>
  <c r="I40" i="19" s="1"/>
  <c r="J40" i="19" s="1"/>
  <c r="H528" i="19"/>
  <c r="T528" i="19" s="1"/>
  <c r="F537" i="19"/>
  <c r="R537" i="19" s="1"/>
  <c r="E64" i="9"/>
  <c r="H232" i="19"/>
  <c r="T232" i="19" s="1"/>
  <c r="L232" i="19" s="1"/>
  <c r="K232" i="19" s="1"/>
  <c r="F232" i="19"/>
  <c r="R232" i="19" s="1"/>
  <c r="T225" i="19"/>
  <c r="P528" i="19"/>
  <c r="P114" i="19"/>
  <c r="I232" i="19" l="1"/>
  <c r="J232" i="19" s="1"/>
  <c r="F221" i="20"/>
  <c r="F215" i="20"/>
  <c r="T215" i="20"/>
  <c r="F223" i="20"/>
  <c r="T214" i="20"/>
  <c r="T216" i="20"/>
  <c r="F219" i="20"/>
  <c r="F217" i="20"/>
  <c r="L528" i="19"/>
  <c r="K528" i="19" s="1"/>
  <c r="J528" i="19"/>
  <c r="I528" i="19"/>
  <c r="L34" i="19"/>
  <c r="K34" i="19" s="1"/>
  <c r="L225" i="19"/>
  <c r="K225" i="19" s="1"/>
  <c r="I225" i="19"/>
  <c r="J225" i="19"/>
  <c r="H114" i="19"/>
  <c r="T114" i="19" s="1"/>
  <c r="L114" i="19" s="1"/>
  <c r="K114" i="19" s="1"/>
  <c r="E66" i="9"/>
  <c r="H539" i="19" s="1"/>
  <c r="T539" i="19" s="1"/>
  <c r="H537" i="19"/>
  <c r="T537" i="19" s="1"/>
  <c r="F539" i="19"/>
  <c r="R539" i="19" s="1"/>
  <c r="F540" i="19"/>
  <c r="R540" i="19" s="1"/>
  <c r="G66" i="9"/>
  <c r="H540" i="19" s="1"/>
  <c r="T540" i="19" s="1"/>
  <c r="T108" i="19"/>
  <c r="F114" i="19"/>
  <c r="R114" i="19" s="1"/>
  <c r="I114" i="19" s="1"/>
  <c r="J114" i="19" s="1"/>
  <c r="P540" i="19"/>
  <c r="P537" i="19"/>
  <c r="P539" i="19"/>
  <c r="I539" i="19" l="1"/>
  <c r="J539" i="19" s="1"/>
  <c r="L537" i="19"/>
  <c r="K537" i="19" s="1"/>
  <c r="L539" i="19"/>
  <c r="K539" i="19" s="1"/>
  <c r="L108" i="19"/>
  <c r="K108" i="19" s="1"/>
  <c r="I108" i="19"/>
  <c r="J108" i="19" s="1"/>
  <c r="F109" i="20"/>
  <c r="T109" i="20"/>
  <c r="F117" i="20"/>
  <c r="F113" i="20"/>
  <c r="T110" i="20"/>
  <c r="F111" i="20"/>
  <c r="T108" i="20"/>
  <c r="F115" i="20"/>
  <c r="I537" i="19"/>
  <c r="J537" i="19" s="1"/>
  <c r="I540" i="19"/>
  <c r="L540" i="19"/>
  <c r="K540" i="19" s="1"/>
  <c r="J540" i="19"/>
  <c r="P208" i="19" l="1"/>
  <c r="E14" i="3"/>
  <c r="F208" i="19"/>
  <c r="R208" i="19" s="1"/>
  <c r="E28" i="22"/>
  <c r="H208" i="19" l="1"/>
  <c r="T208" i="19" s="1"/>
  <c r="J208" i="19" s="1"/>
  <c r="E35" i="22"/>
  <c r="H17" i="19"/>
  <c r="E20" i="3"/>
  <c r="I208" i="19"/>
  <c r="L208" i="19"/>
  <c r="K208" i="19" s="1"/>
  <c r="F91" i="19"/>
  <c r="R91" i="19" s="1"/>
  <c r="E29" i="24"/>
  <c r="P215" i="19"/>
  <c r="P257" i="19"/>
  <c r="F215" i="19"/>
  <c r="R215" i="19" s="1"/>
  <c r="P91" i="19"/>
  <c r="P17" i="19"/>
  <c r="E37" i="3" l="1"/>
  <c r="H23" i="19"/>
  <c r="T17" i="19"/>
  <c r="L17" i="19" s="1"/>
  <c r="F23" i="19"/>
  <c r="R23" i="19" s="1"/>
  <c r="H91" i="19"/>
  <c r="E35" i="24"/>
  <c r="E52" i="22"/>
  <c r="H215" i="19"/>
  <c r="P23" i="19"/>
  <c r="P97" i="19"/>
  <c r="P254" i="19"/>
  <c r="P259" i="19"/>
  <c r="P258" i="19"/>
  <c r="K17" i="19" l="1"/>
  <c r="I17" i="19"/>
  <c r="J17" i="19" s="1"/>
  <c r="T23" i="19"/>
  <c r="L23" i="19" s="1"/>
  <c r="K23" i="19" s="1"/>
  <c r="F62" i="19"/>
  <c r="H62" i="19"/>
  <c r="T62" i="19" s="1"/>
  <c r="E39" i="3"/>
  <c r="E52" i="24"/>
  <c r="H97" i="19"/>
  <c r="T91" i="19"/>
  <c r="F97" i="19"/>
  <c r="R97" i="19" s="1"/>
  <c r="H254" i="19"/>
  <c r="E57" i="22"/>
  <c r="T215" i="19"/>
  <c r="F254" i="19"/>
  <c r="R254" i="19" s="1"/>
  <c r="F257" i="19"/>
  <c r="R257" i="19" s="1"/>
  <c r="P62" i="19"/>
  <c r="P260" i="19"/>
  <c r="P136" i="19"/>
  <c r="L62" i="19" l="1"/>
  <c r="K62" i="19" s="1"/>
  <c r="F136" i="19"/>
  <c r="R136" i="19" s="1"/>
  <c r="T97" i="19"/>
  <c r="L97" i="19" s="1"/>
  <c r="K97" i="19" s="1"/>
  <c r="F139" i="19"/>
  <c r="R139" i="19" s="1"/>
  <c r="H136" i="19"/>
  <c r="E57" i="24"/>
  <c r="H63" i="19"/>
  <c r="E15" i="21"/>
  <c r="E43" i="3"/>
  <c r="E40" i="3"/>
  <c r="E15" i="23"/>
  <c r="R62" i="19"/>
  <c r="I62" i="19" s="1"/>
  <c r="J62" i="19" s="1"/>
  <c r="F63" i="19"/>
  <c r="R63" i="19" s="1"/>
  <c r="L215" i="19"/>
  <c r="K215" i="19" s="1"/>
  <c r="I215" i="19"/>
  <c r="J215" i="19" s="1"/>
  <c r="E58" i="22"/>
  <c r="H259" i="19" s="1"/>
  <c r="T259" i="19" s="1"/>
  <c r="L259" i="19" s="1"/>
  <c r="K259" i="19" s="1"/>
  <c r="H258" i="19"/>
  <c r="E56" i="22"/>
  <c r="H257" i="19" s="1"/>
  <c r="T257" i="19" s="1"/>
  <c r="E61" i="22"/>
  <c r="H260" i="19" s="1"/>
  <c r="T260" i="19" s="1"/>
  <c r="L260" i="19" s="1"/>
  <c r="K260" i="19" s="1"/>
  <c r="E14" i="21"/>
  <c r="I97" i="19"/>
  <c r="J97" i="19" s="1"/>
  <c r="I23" i="19"/>
  <c r="J23" i="19" s="1"/>
  <c r="T254" i="19"/>
  <c r="L254" i="19" s="1"/>
  <c r="K254" i="19" s="1"/>
  <c r="F258" i="19"/>
  <c r="R258" i="19" s="1"/>
  <c r="I91" i="19"/>
  <c r="J91" i="19" s="1"/>
  <c r="L91" i="19"/>
  <c r="K91" i="19" s="1"/>
  <c r="P276" i="19"/>
  <c r="P278" i="19"/>
  <c r="P64" i="19"/>
  <c r="P63" i="19"/>
  <c r="P141" i="19"/>
  <c r="P140" i="19"/>
  <c r="P139" i="19"/>
  <c r="I254" i="19" l="1"/>
  <c r="J254" i="19" s="1"/>
  <c r="H64" i="19"/>
  <c r="L40" i="3"/>
  <c r="F277" i="19"/>
  <c r="R277" i="19" s="1"/>
  <c r="D14" i="21"/>
  <c r="E16" i="21"/>
  <c r="F14" i="21"/>
  <c r="H65" i="19"/>
  <c r="I29" i="3"/>
  <c r="I32" i="3" s="1"/>
  <c r="F15" i="23"/>
  <c r="D15" i="23"/>
  <c r="F14" i="23"/>
  <c r="F15" i="21"/>
  <c r="D15" i="21"/>
  <c r="L257" i="19"/>
  <c r="K257" i="19" s="1"/>
  <c r="I257" i="19"/>
  <c r="J257" i="19" s="1"/>
  <c r="F65" i="19"/>
  <c r="R65" i="19" s="1"/>
  <c r="F64" i="19"/>
  <c r="R64" i="19" s="1"/>
  <c r="T63" i="19"/>
  <c r="I63" i="19" s="1"/>
  <c r="J63" i="19" s="1"/>
  <c r="L278" i="19"/>
  <c r="K278" i="19" s="1"/>
  <c r="J278" i="19"/>
  <c r="L276" i="19"/>
  <c r="K276" i="19" s="1"/>
  <c r="J276" i="19"/>
  <c r="F259" i="19"/>
  <c r="R259" i="19" s="1"/>
  <c r="I259" i="19" s="1"/>
  <c r="J259" i="19" s="1"/>
  <c r="T258" i="19"/>
  <c r="F260" i="19"/>
  <c r="R260" i="19" s="1"/>
  <c r="I260" i="19" s="1"/>
  <c r="J260" i="19" s="1"/>
  <c r="E56" i="24"/>
  <c r="H139" i="19" s="1"/>
  <c r="T139" i="19" s="1"/>
  <c r="L139" i="19" s="1"/>
  <c r="K139" i="19" s="1"/>
  <c r="E14" i="23"/>
  <c r="H140" i="19"/>
  <c r="E61" i="24"/>
  <c r="H142" i="19" s="1"/>
  <c r="T142" i="19" s="1"/>
  <c r="E58" i="24"/>
  <c r="T136" i="19"/>
  <c r="L136" i="19" s="1"/>
  <c r="K136" i="19" s="1"/>
  <c r="F140" i="19"/>
  <c r="R140" i="19" s="1"/>
  <c r="O155" i="20"/>
  <c r="P65" i="19"/>
  <c r="P158" i="19"/>
  <c r="P160" i="19"/>
  <c r="P277" i="19"/>
  <c r="P142" i="19"/>
  <c r="I136" i="19" l="1"/>
  <c r="J136" i="19" s="1"/>
  <c r="L142" i="19"/>
  <c r="K142" i="19" s="1"/>
  <c r="F16" i="20"/>
  <c r="F21" i="20"/>
  <c r="T15" i="20"/>
  <c r="T17" i="20"/>
  <c r="T16" i="20"/>
  <c r="F19" i="20"/>
  <c r="F142" i="19"/>
  <c r="R142" i="19" s="1"/>
  <c r="I142" i="19" s="1"/>
  <c r="J142" i="19" s="1"/>
  <c r="T140" i="19"/>
  <c r="F141" i="19"/>
  <c r="R141" i="19" s="1"/>
  <c r="H277" i="19"/>
  <c r="T277" i="19" s="1"/>
  <c r="L277" i="19" s="1"/>
  <c r="K277" i="19" s="1"/>
  <c r="B23" i="21"/>
  <c r="I45" i="22"/>
  <c r="F278" i="19"/>
  <c r="R278" i="19" s="1"/>
  <c r="F276" i="19"/>
  <c r="R276" i="19" s="1"/>
  <c r="L63" i="19"/>
  <c r="L258" i="19"/>
  <c r="K258" i="19" s="1"/>
  <c r="I258" i="19"/>
  <c r="J258" i="19" s="1"/>
  <c r="I139" i="19"/>
  <c r="J139" i="19" s="1"/>
  <c r="D14" i="23"/>
  <c r="E16" i="23"/>
  <c r="F159" i="19"/>
  <c r="R159" i="19" s="1"/>
  <c r="T64" i="19"/>
  <c r="L64" i="19" s="1"/>
  <c r="K64" i="19" s="1"/>
  <c r="H141" i="19"/>
  <c r="T141" i="19" s="1"/>
  <c r="L58" i="24"/>
  <c r="L160" i="19"/>
  <c r="K160" i="19" s="1"/>
  <c r="J160" i="19"/>
  <c r="H68" i="19"/>
  <c r="I35" i="3"/>
  <c r="L158" i="19"/>
  <c r="K158" i="19" s="1"/>
  <c r="J158" i="19"/>
  <c r="T65" i="19"/>
  <c r="F68" i="19"/>
  <c r="R68" i="19" s="1"/>
  <c r="O49" i="20"/>
  <c r="O14" i="20"/>
  <c r="P68" i="19"/>
  <c r="P281" i="19"/>
  <c r="P159" i="19"/>
  <c r="I277" i="19" l="1"/>
  <c r="J277" i="19" s="1"/>
  <c r="I64" i="19"/>
  <c r="J64" i="19" s="1"/>
  <c r="I44" i="22"/>
  <c r="H69" i="19"/>
  <c r="T69" i="19" s="1"/>
  <c r="I44" i="24"/>
  <c r="L140" i="19"/>
  <c r="K140" i="19" s="1"/>
  <c r="I140" i="19"/>
  <c r="J140" i="19" s="1"/>
  <c r="F160" i="19"/>
  <c r="R160" i="19" s="1"/>
  <c r="F158" i="19"/>
  <c r="R158" i="19" s="1"/>
  <c r="F69" i="19"/>
  <c r="R69" i="19" s="1"/>
  <c r="T68" i="19"/>
  <c r="K63" i="19"/>
  <c r="D229" i="20"/>
  <c r="F163" i="20"/>
  <c r="F159" i="20"/>
  <c r="T158" i="20"/>
  <c r="T157" i="20"/>
  <c r="T156" i="20"/>
  <c r="F161" i="20"/>
  <c r="F157" i="20"/>
  <c r="L141" i="19"/>
  <c r="K141" i="19" s="1"/>
  <c r="I141" i="19"/>
  <c r="J141" i="19" s="1"/>
  <c r="F23" i="21"/>
  <c r="F281" i="19"/>
  <c r="R281" i="19" s="1"/>
  <c r="L65" i="19"/>
  <c r="K65" i="19" s="1"/>
  <c r="I65" i="19"/>
  <c r="J65" i="19" s="1"/>
  <c r="I45" i="24"/>
  <c r="B23" i="23"/>
  <c r="H159" i="19"/>
  <c r="T159" i="19" s="1"/>
  <c r="I159" i="19" s="1"/>
  <c r="J159" i="19" s="1"/>
  <c r="P282" i="19"/>
  <c r="L282" i="19" s="1"/>
  <c r="K282" i="19" s="1"/>
  <c r="P163" i="19"/>
  <c r="T243" i="20"/>
  <c r="P69" i="19"/>
  <c r="I69" i="19" l="1"/>
  <c r="J69" i="19" s="1"/>
  <c r="L68" i="19"/>
  <c r="K68" i="19" s="1"/>
  <c r="I68" i="19"/>
  <c r="J68" i="19" s="1"/>
  <c r="F145" i="19"/>
  <c r="R145" i="19" s="1"/>
  <c r="I46" i="24"/>
  <c r="D228" i="20"/>
  <c r="F55" i="20"/>
  <c r="T52" i="20"/>
  <c r="F51" i="20"/>
  <c r="T50" i="20"/>
  <c r="T51" i="20"/>
  <c r="F53" i="20"/>
  <c r="F57" i="20"/>
  <c r="L159" i="19"/>
  <c r="K159" i="19" s="1"/>
  <c r="L69" i="19"/>
  <c r="K69" i="19" s="1"/>
  <c r="H281" i="19"/>
  <c r="I46" i="22"/>
  <c r="F263" i="19"/>
  <c r="R263" i="19" s="1"/>
  <c r="F163" i="19"/>
  <c r="R163" i="19" s="1"/>
  <c r="F23" i="23"/>
  <c r="T27" i="20"/>
  <c r="F33" i="20"/>
  <c r="T28" i="20"/>
  <c r="F27" i="20"/>
  <c r="F30" i="20"/>
  <c r="T26" i="20"/>
  <c r="P164" i="19"/>
  <c r="L164" i="19" s="1"/>
  <c r="K164" i="19" s="1"/>
  <c r="P263" i="19"/>
  <c r="T249" i="20"/>
  <c r="O25" i="20"/>
  <c r="T247" i="20"/>
  <c r="T245" i="20"/>
  <c r="T241" i="20"/>
  <c r="H163" i="19" l="1"/>
  <c r="H263" i="19"/>
  <c r="T263" i="19" s="1"/>
  <c r="L263" i="19" s="1"/>
  <c r="K263" i="19" s="1"/>
  <c r="T281" i="19"/>
  <c r="F282" i="19"/>
  <c r="R282" i="19" s="1"/>
  <c r="I282" i="19" s="1"/>
  <c r="J282" i="19" s="1"/>
  <c r="H145" i="19"/>
  <c r="D963" i="19"/>
  <c r="P145" i="19"/>
  <c r="T234" i="20"/>
  <c r="T251" i="20"/>
  <c r="T253" i="20"/>
  <c r="T267" i="20"/>
  <c r="T265" i="20"/>
  <c r="O175" i="20"/>
  <c r="T236" i="20"/>
  <c r="T263" i="20"/>
  <c r="T257" i="20"/>
  <c r="T255" i="20"/>
  <c r="O255" i="20" s="1"/>
  <c r="T261" i="20"/>
  <c r="T259" i="20"/>
  <c r="O69" i="20"/>
  <c r="T238" i="20" l="1"/>
  <c r="D231" i="20"/>
  <c r="T72" i="20"/>
  <c r="F76" i="20"/>
  <c r="T71" i="20"/>
  <c r="F71" i="20"/>
  <c r="F73" i="20"/>
  <c r="T70" i="20"/>
  <c r="I281" i="19"/>
  <c r="J281" i="19" s="1"/>
  <c r="L281" i="19"/>
  <c r="K281" i="19" s="1"/>
  <c r="D232" i="20"/>
  <c r="F179" i="20"/>
  <c r="F182" i="20"/>
  <c r="T178" i="20"/>
  <c r="T176" i="20"/>
  <c r="T177" i="20"/>
  <c r="F177" i="20"/>
  <c r="I263" i="19"/>
  <c r="J263" i="19" s="1"/>
  <c r="T145" i="19"/>
  <c r="H963" i="19"/>
  <c r="F164" i="19"/>
  <c r="R164" i="19" s="1"/>
  <c r="I164" i="19" s="1"/>
  <c r="J164" i="19" s="1"/>
  <c r="T163" i="19"/>
  <c r="O241" i="20"/>
  <c r="O234" i="20"/>
  <c r="O536" i="20" l="1"/>
  <c r="J961" i="19" s="1"/>
  <c r="L145" i="19"/>
  <c r="I145" i="19"/>
  <c r="J145" i="19" s="1"/>
  <c r="I163" i="19"/>
  <c r="J163" i="19" s="1"/>
  <c r="L163" i="19"/>
  <c r="K163" i="19" s="1"/>
  <c r="J963" i="19" l="1"/>
  <c r="K145" i="19"/>
  <c r="L963" i="19"/>
  <c r="I971" i="19" l="1"/>
  <c r="K963" i="19"/>
  <c r="C966" i="19"/>
  <c r="C967" i="19"/>
  <c r="B967" i="19" l="1"/>
  <c r="C968" i="19" s="1"/>
  <c r="B968" i="19" s="1"/>
  <c r="C969" i="19" s="1"/>
  <c r="B969" i="19" s="1"/>
  <c r="E967" i="19"/>
  <c r="E968" i="19"/>
  <c r="D968" i="19"/>
  <c r="D967" i="19" l="1"/>
  <c r="C970" i="19"/>
  <c r="B970" i="19" s="1"/>
  <c r="D969" i="19"/>
  <c r="E969" i="19"/>
  <c r="C971" i="19" l="1"/>
  <c r="D970" i="19"/>
  <c r="E970" i="19"/>
  <c r="E971" i="19" l="1"/>
  <c r="D97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2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B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C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D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E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F00-000001000000}">
      <text>
        <r>
          <rPr>
            <b/>
            <sz val="8"/>
            <color indexed="81"/>
            <rFont val="Tahoma"/>
            <family val="2"/>
          </rPr>
          <t>Tipp:</t>
        </r>
        <r>
          <rPr>
            <sz val="8"/>
            <color indexed="81"/>
            <rFont val="Tahoma"/>
            <family val="2"/>
          </rPr>
          <t xml:space="preserve"> Wenn du die Summenformel benötigst, solltest du folgendermaßen vorgehen:
◙ </t>
        </r>
        <r>
          <rPr>
            <sz val="8"/>
            <color indexed="81"/>
            <rFont val="Arial"/>
            <family val="2"/>
          </rPr>
          <t>gib</t>
        </r>
        <r>
          <rPr>
            <sz val="8"/>
            <color indexed="81"/>
            <rFont val="Tahoma"/>
            <family val="2"/>
          </rPr>
          <t xml:space="preserve">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 ref="D13" authorId="0" shapeId="0" xr:uid="{00000000-0006-0000-0F00-000002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 ref="D14" authorId="0" shapeId="0" xr:uid="{00000000-0006-0000-0F00-000003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1000-000001000000}">
      <text>
        <r>
          <rPr>
            <b/>
            <sz val="8"/>
            <color indexed="81"/>
            <rFont val="Tahoma"/>
            <family val="2"/>
          </rPr>
          <t>Tipp:</t>
        </r>
        <r>
          <rPr>
            <sz val="8"/>
            <color indexed="81"/>
            <rFont val="Tahoma"/>
            <family val="2"/>
          </rPr>
          <t xml:space="preserve"> Wenn du die Summenformel benötigst, solltest du folgendermaßen vorgehen:
◙ </t>
        </r>
        <r>
          <rPr>
            <sz val="8"/>
            <color indexed="81"/>
            <rFont val="Arial"/>
            <family val="2"/>
          </rPr>
          <t>gib</t>
        </r>
        <r>
          <rPr>
            <sz val="8"/>
            <color indexed="81"/>
            <rFont val="Tahoma"/>
            <family val="2"/>
          </rPr>
          <t xml:space="preserve">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 ref="D13" authorId="0" shapeId="0" xr:uid="{00000000-0006-0000-1000-000002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 ref="D14" authorId="0" shapeId="0" xr:uid="{00000000-0006-0000-1000-000003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3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4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5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6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7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8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9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A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sharedStrings.xml><?xml version="1.0" encoding="utf-8"?>
<sst xmlns="http://schemas.openxmlformats.org/spreadsheetml/2006/main" count="1861" uniqueCount="734">
  <si>
    <t>Ergebnis</t>
  </si>
  <si>
    <t>x</t>
  </si>
  <si>
    <t>Rohertrag</t>
  </si>
  <si>
    <t>DB je AK/Stunde</t>
  </si>
  <si>
    <t>Zwischensumme I</t>
  </si>
  <si>
    <t>Zwischensumme II</t>
  </si>
  <si>
    <t>Zwischensumme III</t>
  </si>
  <si>
    <t>Variable Kosten</t>
  </si>
  <si>
    <t>Fixkosten</t>
  </si>
  <si>
    <t>Summe Fixkosten pro Jahr</t>
  </si>
  <si>
    <t>Summe variable Kosten pro Jahr</t>
  </si>
  <si>
    <t>Notizen/
Nebenrechnungen</t>
  </si>
  <si>
    <t>Ankreuzen</t>
  </si>
  <si>
    <t xml:space="preserve"> ja</t>
  </si>
  <si>
    <t xml:space="preserve"> nein</t>
  </si>
  <si>
    <t>MJ NEL</t>
  </si>
  <si>
    <t>Betriebliche Ausgangssituation</t>
  </si>
  <si>
    <t>Produktions-verfahren</t>
  </si>
  <si>
    <t>Anzahl:
ha, Stk.</t>
  </si>
  <si>
    <t>Deckungsbeitrag (+) bzw. Variable Kosten (-)</t>
  </si>
  <si>
    <t>Ertrag (+) bzw Bedarf (-) an KStE oder MJ NEL</t>
  </si>
  <si>
    <t>Jahresarbeits-
zeit in Akh</t>
  </si>
  <si>
    <t>verfahren</t>
  </si>
  <si>
    <t>ha;Stk</t>
  </si>
  <si>
    <t>bzw. VK (-)</t>
  </si>
  <si>
    <t>(-) an KStE oder NEL</t>
  </si>
  <si>
    <t>bedarf in AKh</t>
  </si>
  <si>
    <t>je ha; Stk.</t>
  </si>
  <si>
    <t>gesamt</t>
  </si>
  <si>
    <t>je ha; Stk</t>
  </si>
  <si>
    <t>Gesamt DB</t>
  </si>
  <si>
    <t>Sonstige betriebliche Erträge       +</t>
  </si>
  <si>
    <t>Energie- und Arbeitszeitbilanz</t>
  </si>
  <si>
    <t xml:space="preserve"> +/- Ges.
Energie</t>
  </si>
  <si>
    <t>Gesamt
Akh</t>
  </si>
  <si>
    <t>Summe Sonstige Erträge</t>
  </si>
  <si>
    <t>Förderungen</t>
  </si>
  <si>
    <t>+</t>
  </si>
  <si>
    <t>Kapitaldienstgrenze</t>
  </si>
  <si>
    <t>Gesamteinkommen</t>
  </si>
  <si>
    <t>Lebenshaltungskosten</t>
  </si>
  <si>
    <t>Kapitaldienst für bestehende Kredite</t>
  </si>
  <si>
    <t>Vorläufige Kapitaldienstgrenze</t>
  </si>
  <si>
    <t>Afa für Gebäude und Maschinen, die während der Kreditlaufzeit nicht erneuert werden müssen.</t>
  </si>
  <si>
    <t>SUMME FÖRDERUNGEN</t>
  </si>
  <si>
    <t>GDB einschl. Förd. und sonst. Erträge</t>
  </si>
  <si>
    <t>Feste Kosten bei IST-Organisation</t>
  </si>
  <si>
    <t>LANDWIRTSCHAFTLICHES EINKOMMEN - Gesamt</t>
  </si>
  <si>
    <t>SOZIALEINKOMMEN</t>
  </si>
  <si>
    <t>NEBEEINKOMMEN</t>
  </si>
  <si>
    <t>GESAMTEINKOMMEN</t>
  </si>
  <si>
    <t>Betrag</t>
  </si>
  <si>
    <t>Zinssatz</t>
  </si>
  <si>
    <t>Laufzeit</t>
  </si>
  <si>
    <t>-</t>
  </si>
  <si>
    <t>Deckungsbeitragsermittlung für Milchkühe</t>
  </si>
  <si>
    <t>Zu erhebende Ausgagnsdaten:</t>
  </si>
  <si>
    <t>Futterbedarfserhebung</t>
  </si>
  <si>
    <t>Gesamt/Tag</t>
  </si>
  <si>
    <t>Betrieb</t>
  </si>
  <si>
    <t>je/Kuh</t>
  </si>
  <si>
    <t>Gesamtenergiebedarf</t>
  </si>
  <si>
    <t>Gehaltswerte</t>
  </si>
  <si>
    <t>NST-Ergänzungsfutter</t>
  </si>
  <si>
    <t xml:space="preserve">Milchleistung </t>
  </si>
  <si>
    <t>Grundfutter-
leistung</t>
  </si>
  <si>
    <t xml:space="preserve">Leistung aus Ergänzungs-
futter </t>
  </si>
  <si>
    <t>kg Milch</t>
  </si>
  <si>
    <t>Gehaltswerte der Milch</t>
  </si>
  <si>
    <t>Milchverwertung</t>
  </si>
  <si>
    <t>Lieferung an Molkerei</t>
  </si>
  <si>
    <t>Kontrolle</t>
  </si>
  <si>
    <t>Produkterzeugung - Verarbeitungsmilch</t>
  </si>
  <si>
    <t>kg Milchä-quivalent</t>
  </si>
  <si>
    <t>am HOF</t>
  </si>
  <si>
    <t>Almprodukte</t>
  </si>
  <si>
    <t>Zeit in h/100
kg ver. Milch</t>
  </si>
  <si>
    <t>Verwertungs-
schlüssel</t>
  </si>
  <si>
    <t>Magermilch</t>
  </si>
  <si>
    <t>Futtermilch</t>
  </si>
  <si>
    <t>Vollmilch</t>
  </si>
  <si>
    <t>Rohertragsdaten</t>
  </si>
  <si>
    <t>VK eigene Bestadnesergänzung</t>
  </si>
  <si>
    <t>ROHERTRAG:</t>
  </si>
  <si>
    <t>Preis/Einheit</t>
  </si>
  <si>
    <t>Gesamt</t>
  </si>
  <si>
    <t>Summe Milcherlös</t>
  </si>
  <si>
    <t>Altkuherlös</t>
  </si>
  <si>
    <t>Kälbererlös</t>
  </si>
  <si>
    <t>SUMME ROHERTRAG</t>
  </si>
  <si>
    <t>VK Ermittlung</t>
  </si>
  <si>
    <t>VK</t>
  </si>
  <si>
    <t>Menge</t>
  </si>
  <si>
    <t>SUMME VK</t>
  </si>
  <si>
    <t>DBK  Kalkulation (vorläufiger DB)</t>
  </si>
  <si>
    <t>VK-Eigene Futtermittel</t>
  </si>
  <si>
    <t>Grundfutter:</t>
  </si>
  <si>
    <t>Rationsanteil</t>
  </si>
  <si>
    <t>VK je MJ NEL</t>
  </si>
  <si>
    <t>in %</t>
  </si>
  <si>
    <t>in MJ NEL</t>
  </si>
  <si>
    <t>Summe Grundfutterkosten</t>
  </si>
  <si>
    <t>DB mit Berücksichtigung der Futterkosten</t>
  </si>
  <si>
    <t>DB mit Berücksichtigung der Futterkosten und Förderungen</t>
  </si>
  <si>
    <t>Arbeitszeitermittlung (DB je Akh)</t>
  </si>
  <si>
    <t>Stallarbeitszeit</t>
  </si>
  <si>
    <t>Min/Tag</t>
  </si>
  <si>
    <t>Verarbeitungszeit</t>
  </si>
  <si>
    <t>Gesamtstunden an Arbeitszeit</t>
  </si>
  <si>
    <t>Deckungsbeitragsermittlung für Mutterkuhhaltung</t>
  </si>
  <si>
    <t>BETRIEBSDATEN</t>
  </si>
  <si>
    <t>Futterbedarf</t>
  </si>
  <si>
    <t>Leistungsdaten</t>
  </si>
  <si>
    <t>Variantenzu-/-abschläge</t>
  </si>
  <si>
    <t>MJ NEL/Tag</t>
  </si>
  <si>
    <t>Bedarf/Tag</t>
  </si>
  <si>
    <t>Bedarf je Mutterkuh</t>
  </si>
  <si>
    <t>Geschlechterverhältnis</t>
  </si>
  <si>
    <t>Jahresbedarf ink. Nachkommen</t>
  </si>
  <si>
    <t>Weiblich</t>
  </si>
  <si>
    <t>Männlich</t>
  </si>
  <si>
    <t>Wichtige Kenndaten der zu verkaufenden Nakommen</t>
  </si>
  <si>
    <t>Fleischpreise</t>
  </si>
  <si>
    <t>Metzgereivermarktung</t>
  </si>
  <si>
    <t>€/kg Lebendgewicht-Altkuh</t>
  </si>
  <si>
    <t>Ausschlachtung und Ernährungszustand</t>
  </si>
  <si>
    <t/>
  </si>
  <si>
    <t>Lebend-
gewicht</t>
  </si>
  <si>
    <t>Ernährungs-
zustand</t>
  </si>
  <si>
    <t>Ausschlacht-
ung in %</t>
  </si>
  <si>
    <t>Direktvermarktung</t>
  </si>
  <si>
    <t>€/kg Schlachtgewicht</t>
  </si>
  <si>
    <t>Variante</t>
  </si>
  <si>
    <t>Gewicht</t>
  </si>
  <si>
    <t>ø</t>
  </si>
  <si>
    <t>Kalbin</t>
  </si>
  <si>
    <t>Stier</t>
  </si>
  <si>
    <t>Preis</t>
  </si>
  <si>
    <t>Bestandsergänzung</t>
  </si>
  <si>
    <t>DB ohne Grundfutterkosten und Förderungen</t>
  </si>
  <si>
    <t>Variable Grundfutterkosten</t>
  </si>
  <si>
    <t>DB mit Grundfutterkosten</t>
  </si>
  <si>
    <t>DB inkl Förderungen für MUKUH</t>
  </si>
  <si>
    <t>Arbeitszeitbedarf</t>
  </si>
  <si>
    <t>DB/Stunde</t>
  </si>
  <si>
    <t>VK-Ermittlung: Wirtschaftsdüngerausbringung</t>
  </si>
  <si>
    <t>Ladeleistung</t>
  </si>
  <si>
    <t xml:space="preserve"> Min</t>
  </si>
  <si>
    <t>Leistung</t>
  </si>
  <si>
    <t>min.</t>
  </si>
  <si>
    <t>Akh</t>
  </si>
  <si>
    <t>€/h</t>
  </si>
  <si>
    <t>€ gesamt</t>
  </si>
  <si>
    <t>Laden</t>
  </si>
  <si>
    <t>Transport</t>
  </si>
  <si>
    <t>Ausbringung</t>
  </si>
  <si>
    <t>Summe variable Maschinenkosten inkl. MWSt</t>
  </si>
  <si>
    <t>Aufschlag für Rüstzeit</t>
  </si>
  <si>
    <t>Ausbringungsmenge/ha und Jahr</t>
  </si>
  <si>
    <t>Netto (ohne MWSt)</t>
  </si>
  <si>
    <t>Brutto</t>
  </si>
  <si>
    <t>Arbeitszeit/ha und Jahr</t>
  </si>
  <si>
    <t>Leistung/KW</t>
  </si>
  <si>
    <t>Min.</t>
  </si>
  <si>
    <t>Warnung!</t>
  </si>
  <si>
    <t>Fläche</t>
  </si>
  <si>
    <t xml:space="preserve"> ha</t>
  </si>
  <si>
    <t>Gesamtstickstoff pro Hektar und Jahr</t>
  </si>
  <si>
    <t xml:space="preserve"> kg Rein-N</t>
  </si>
  <si>
    <t>ARBEITSBEDARF UND VARIABLE MASCHINENKOSTEN</t>
  </si>
  <si>
    <t>Produktionsverfahren:</t>
  </si>
  <si>
    <t>Anzahl der Schnitte:</t>
  </si>
  <si>
    <t>Arbeitsgänge</t>
  </si>
  <si>
    <t>AKh</t>
  </si>
  <si>
    <t>Traktorstunden pro ha</t>
  </si>
  <si>
    <t>Mh</t>
  </si>
  <si>
    <t>Variable Maschinenkosten</t>
  </si>
  <si>
    <t>1 x pro Jahr   → 1 x</t>
  </si>
  <si>
    <t>pro ha</t>
  </si>
  <si>
    <t>€/Mh</t>
  </si>
  <si>
    <t>Trh</t>
  </si>
  <si>
    <t>€/Trh</t>
  </si>
  <si>
    <t>kg TM</t>
  </si>
  <si>
    <t>€/kg TM</t>
  </si>
  <si>
    <t>Zwischensumme IV</t>
  </si>
  <si>
    <t xml:space="preserve"> MWSt)</t>
  </si>
  <si>
    <t>Ermittlung des Rohertrages für 1 ha Feldfutter</t>
  </si>
  <si>
    <t>je kg</t>
  </si>
  <si>
    <t>je ha</t>
  </si>
  <si>
    <t>Bruttoertrag</t>
  </si>
  <si>
    <t xml:space="preserve"> Bruttoenergiegehalt in MJ NEL</t>
  </si>
  <si>
    <t>Verluste</t>
  </si>
  <si>
    <t xml:space="preserve"> Nettoertrag in MJ NEL</t>
  </si>
  <si>
    <t>Ermittlung der variablen Kosten für 1 ha Feldfutter</t>
  </si>
  <si>
    <t>VK Maschinen</t>
  </si>
  <si>
    <t>VK Aussaat/Übersaat</t>
  </si>
  <si>
    <t>Summe Aussaat/Übersaat</t>
  </si>
  <si>
    <t>VK Minaeraldüngung</t>
  </si>
  <si>
    <t>Summe Mineraldünger</t>
  </si>
  <si>
    <t>Sonstige variable Kosten</t>
  </si>
  <si>
    <t>Summe sonstige variable Kosten</t>
  </si>
  <si>
    <t>Ergebnisse</t>
  </si>
  <si>
    <t>Umgelegt auf …</t>
  </si>
  <si>
    <t>Summe variable Kosten</t>
  </si>
  <si>
    <t>AK-Stunden/ha</t>
  </si>
  <si>
    <t>Kosten je MJ NEL/Nettoertrag</t>
  </si>
  <si>
    <t>Maschinenkostenrechnung:</t>
  </si>
  <si>
    <t>Ausgangsdaten</t>
  </si>
  <si>
    <t>Anschaffungswert</t>
  </si>
  <si>
    <t>Anschaffungsjahr</t>
  </si>
  <si>
    <t>Nutzungsdauer</t>
  </si>
  <si>
    <t>Auslastung/Betriebsstunden</t>
  </si>
  <si>
    <t>Zeitwert 1.1.</t>
  </si>
  <si>
    <t>Eingabe</t>
  </si>
  <si>
    <t>Berechnung</t>
  </si>
  <si>
    <t>Kosten/Jahr</t>
  </si>
  <si>
    <t>Jährliche Afa (A)</t>
  </si>
  <si>
    <t>Fixkosten
pro Jahr</t>
  </si>
  <si>
    <t>Verzinsung (Z)</t>
  </si>
  <si>
    <t>Berechnung/Eingabe</t>
  </si>
  <si>
    <t>Energiekosten/h</t>
  </si>
  <si>
    <t>Variable Kosten pro Jahr</t>
  </si>
  <si>
    <t>Kosten/Stunde</t>
  </si>
  <si>
    <t>Fixkosten pro Betriebsstunde</t>
  </si>
  <si>
    <t>Variable Kosten pro Betriebsstunde</t>
  </si>
  <si>
    <t>Gesamtkosten pro Betriebsstunde</t>
  </si>
  <si>
    <t>Sorte:</t>
  </si>
  <si>
    <t>LEISTUNG</t>
  </si>
  <si>
    <t>in Litern</t>
  </si>
  <si>
    <t>in Gläsern</t>
  </si>
  <si>
    <t>KOSTEN</t>
  </si>
  <si>
    <t>Spezialkosten</t>
  </si>
  <si>
    <t>Preis/
Einheit</t>
  </si>
  <si>
    <t>Kosten 
pro Glas</t>
  </si>
  <si>
    <t>Rohstoffkosten</t>
  </si>
  <si>
    <t>Summe Rohstoffkosten</t>
  </si>
  <si>
    <t>Verarbeitungskosten</t>
  </si>
  <si>
    <t>Preis /</t>
  </si>
  <si>
    <t>Einheit</t>
  </si>
  <si>
    <t>pro Woche</t>
  </si>
  <si>
    <t>pro Stk.</t>
  </si>
  <si>
    <t>Summe Verarbeitungskosten</t>
  </si>
  <si>
    <t>Arbeitskosten</t>
  </si>
  <si>
    <t>Menge od. Preis /</t>
  </si>
  <si>
    <t>Summe Arbeitskosten</t>
  </si>
  <si>
    <t>Summe Fixkosten</t>
  </si>
  <si>
    <t>Herstellungskosten</t>
  </si>
  <si>
    <t>Gemein- und Vermarktungskosten</t>
  </si>
  <si>
    <t>Vollkosten</t>
  </si>
  <si>
    <t>Preisuntergrenze</t>
  </si>
  <si>
    <t>Fixkostenart</t>
  </si>
  <si>
    <t>€/Jahr</t>
  </si>
  <si>
    <t>Verzeichnis des Umlaufvermögens und der Finanzbestände</t>
  </si>
  <si>
    <t>Bestand am 01. 01.</t>
  </si>
  <si>
    <t>Bestand am 31. 12.</t>
  </si>
  <si>
    <t>Mehr- Minderwert</t>
  </si>
  <si>
    <t>V IEHBESTAND</t>
  </si>
  <si>
    <t>€/Stück</t>
  </si>
  <si>
    <t>Mehrwert</t>
  </si>
  <si>
    <t>Kreuze zutreffendes an! (ACHTUNG: Nur eine Antwort ist richtig!!)</t>
  </si>
  <si>
    <t>gleich geblieben</t>
  </si>
  <si>
    <t>Minderwert</t>
  </si>
  <si>
    <t>VORRÄTE</t>
  </si>
  <si>
    <t>Selbst erzeugte Vorräte</t>
  </si>
  <si>
    <t>Summe selbst erzeugte Vorräte</t>
  </si>
  <si>
    <t>Zugekaufte Vorräte</t>
  </si>
  <si>
    <t>Summe zugekaufte Vorräte</t>
  </si>
  <si>
    <t>FINANZBESTÄNDE</t>
  </si>
  <si>
    <t>ha; m²</t>
  </si>
  <si>
    <t>Ansch</t>
  </si>
  <si>
    <t>Anschaf-</t>
  </si>
  <si>
    <t>ND</t>
  </si>
  <si>
    <t>betr.</t>
  </si>
  <si>
    <t>Wert 01.01.</t>
  </si>
  <si>
    <t>jährliche</t>
  </si>
  <si>
    <t>Wert 31.12.</t>
  </si>
  <si>
    <t>m³</t>
  </si>
  <si>
    <t>Jahr</t>
  </si>
  <si>
    <t>fungswert</t>
  </si>
  <si>
    <t>Jahre</t>
  </si>
  <si>
    <t>Alter</t>
  </si>
  <si>
    <t>Afa</t>
  </si>
  <si>
    <t>Bewertung von Zweinutzungsgebäuden</t>
  </si>
  <si>
    <t>akt. Jahr =</t>
  </si>
  <si>
    <t>Stalleinbau =</t>
  </si>
  <si>
    <t>AJ =</t>
  </si>
  <si>
    <t>Länge =</t>
  </si>
  <si>
    <t>m</t>
  </si>
  <si>
    <t xml:space="preserve"> m</t>
  </si>
  <si>
    <t>ND =</t>
  </si>
  <si>
    <t xml:space="preserve"> Jahre</t>
  </si>
  <si>
    <t>Breite =</t>
  </si>
  <si>
    <t>Höhe =</t>
  </si>
  <si>
    <t>BK-Richtsatz =</t>
  </si>
  <si>
    <t>€</t>
  </si>
  <si>
    <t xml:space="preserve"> €</t>
  </si>
  <si>
    <t>Kubatur</t>
  </si>
  <si>
    <t>=</t>
  </si>
  <si>
    <t>Formel</t>
  </si>
  <si>
    <r>
      <t>≤</t>
    </r>
    <r>
      <rPr>
        <sz val="8"/>
        <rFont val="Arial"/>
        <family val="2"/>
      </rPr>
      <t xml:space="preserve"> 1/4 Nutzungsdauer</t>
    </r>
  </si>
  <si>
    <t>&gt; 1/4 und &lt;1/2 Nutzungsdauer</t>
  </si>
  <si>
    <t>≥ 1/2 Nutzungsdauer</t>
  </si>
  <si>
    <t>BK-Richtsatz</t>
  </si>
  <si>
    <t>…………..</t>
  </si>
  <si>
    <t>reduzierter BK-Richtsatz</t>
  </si>
  <si>
    <t>WW</t>
  </si>
  <si>
    <t xml:space="preserve"> m³</t>
  </si>
  <si>
    <t>jAfa</t>
  </si>
  <si>
    <t>bAfa</t>
  </si>
  <si>
    <t>Das Anlagegut ist bereits abgeschrieben:</t>
  </si>
  <si>
    <t>Größe</t>
  </si>
  <si>
    <t>Formelliste</t>
  </si>
  <si>
    <t>Operatorenliste</t>
  </si>
  <si>
    <t>AJ</t>
  </si>
  <si>
    <t>akt. Jahr</t>
  </si>
  <si>
    <t>bish. Afa</t>
  </si>
  <si>
    <t>:</t>
  </si>
  <si>
    <t>Breite</t>
  </si>
  <si>
    <t>Höhe</t>
  </si>
  <si>
    <t>jährl. Afa</t>
  </si>
  <si>
    <t>Länge</t>
  </si>
  <si>
    <t>red. BK-Richtsatz</t>
  </si>
  <si>
    <r>
      <t>Erhaltung</t>
    </r>
    <r>
      <rPr>
        <sz val="8"/>
        <rFont val="Arial"/>
        <family val="2"/>
      </rPr>
      <t>/Tag</t>
    </r>
  </si>
  <si>
    <r>
      <t>Leistung</t>
    </r>
    <r>
      <rPr>
        <sz val="8"/>
        <rFont val="Arial"/>
        <family val="2"/>
      </rPr>
      <t>/Tag</t>
    </r>
  </si>
  <si>
    <r>
      <t>Variable Traktorkosten</t>
    </r>
    <r>
      <rPr>
        <b/>
        <sz val="8"/>
        <color indexed="43"/>
        <rFont val="Arial"/>
        <family val="2"/>
      </rPr>
      <t xml:space="preserve">   → 1 x</t>
    </r>
  </si>
  <si>
    <r>
      <t xml:space="preserve">Variable Kosten der Trocknung  </t>
    </r>
    <r>
      <rPr>
        <b/>
        <sz val="8"/>
        <color indexed="43"/>
        <rFont val="Arial"/>
        <family val="2"/>
      </rPr>
      <t xml:space="preserve"> → 1 x</t>
    </r>
  </si>
  <si>
    <r>
      <t xml:space="preserve">Variable Kosten insgesamt </t>
    </r>
    <r>
      <rPr>
        <sz val="8"/>
        <rFont val="Arial"/>
        <family val="2"/>
      </rPr>
      <t>bei</t>
    </r>
  </si>
  <si>
    <r>
      <t xml:space="preserve">Variable Kosten insgesamt </t>
    </r>
    <r>
      <rPr>
        <sz val="8"/>
        <rFont val="Arial"/>
        <family val="2"/>
      </rPr>
      <t>(inkl.</t>
    </r>
  </si>
  <si>
    <r>
      <t xml:space="preserve">Alter </t>
    </r>
    <r>
      <rPr>
        <sz val="8"/>
        <rFont val="Arial"/>
        <family val="2"/>
      </rPr>
      <t>(bisherige Nutzungsdauer - bND)</t>
    </r>
  </si>
  <si>
    <r>
      <t xml:space="preserve">m    </t>
    </r>
    <r>
      <rPr>
        <sz val="6"/>
        <rFont val="Arial"/>
        <family val="2"/>
      </rPr>
      <t>(inkl. ½ Dachstuhlhöhe)</t>
    </r>
  </si>
  <si>
    <r>
      <t>ZW</t>
    </r>
    <r>
      <rPr>
        <b/>
        <vertAlign val="subscript"/>
        <sz val="8"/>
        <rFont val="Arial"/>
        <family val="2"/>
      </rPr>
      <t>1.1.</t>
    </r>
  </si>
  <si>
    <r>
      <t>ZW</t>
    </r>
    <r>
      <rPr>
        <b/>
        <vertAlign val="subscript"/>
        <sz val="8"/>
        <rFont val="Arial"/>
        <family val="2"/>
      </rPr>
      <t>31.12.</t>
    </r>
  </si>
  <si>
    <r>
      <t>Zeitwert</t>
    </r>
    <r>
      <rPr>
        <vertAlign val="subscript"/>
        <sz val="8"/>
        <rFont val="Arial"/>
        <family val="2"/>
      </rPr>
      <t>1.1.</t>
    </r>
  </si>
  <si>
    <r>
      <t>Zeitwert</t>
    </r>
    <r>
      <rPr>
        <vertAlign val="subscript"/>
        <sz val="8"/>
        <rFont val="Arial"/>
        <family val="2"/>
      </rPr>
      <t>31.12.</t>
    </r>
  </si>
  <si>
    <r>
      <t>ZW</t>
    </r>
    <r>
      <rPr>
        <vertAlign val="subscript"/>
        <sz val="10"/>
        <rFont val="Arial"/>
        <family val="2"/>
      </rPr>
      <t>1.1.</t>
    </r>
  </si>
  <si>
    <r>
      <t>ZW</t>
    </r>
    <r>
      <rPr>
        <vertAlign val="subscript"/>
        <sz val="10"/>
        <rFont val="Arial"/>
        <family val="2"/>
      </rPr>
      <t>31.12.</t>
    </r>
  </si>
  <si>
    <t>MJ NEL/Jahr</t>
  </si>
  <si>
    <t>U</t>
  </si>
  <si>
    <t>V</t>
  </si>
  <si>
    <t>Z</t>
  </si>
  <si>
    <t>E</t>
  </si>
  <si>
    <t>R</t>
  </si>
  <si>
    <t xml:space="preserve"> Akh/ha</t>
  </si>
  <si>
    <r>
      <t>LANDWIRTSCHAFTLICHES EINKOMMEN</t>
    </r>
    <r>
      <rPr>
        <sz val="7"/>
        <rFont val="Arial"/>
        <family val="2"/>
      </rPr>
      <t xml:space="preserve"> - EK/Akh</t>
    </r>
  </si>
  <si>
    <t>Grundfutterbedarf in MJ NEL</t>
  </si>
  <si>
    <t>Arbeitszeit - gesamt</t>
  </si>
  <si>
    <t>DB I</t>
  </si>
  <si>
    <t>DB II</t>
  </si>
  <si>
    <t>DB III</t>
  </si>
  <si>
    <t>Annuitätentabelle</t>
  </si>
  <si>
    <t>nuitätentabelle</t>
  </si>
  <si>
    <t>n</t>
  </si>
  <si>
    <t>Kapital</t>
  </si>
  <si>
    <t>Zinssprung</t>
  </si>
  <si>
    <t>ZinsMINIMUM</t>
  </si>
  <si>
    <t>AF</t>
  </si>
  <si>
    <t>LZ</t>
  </si>
  <si>
    <t>Korrekturblatt</t>
  </si>
  <si>
    <t>Kalkulation fertig?</t>
  </si>
  <si>
    <t>Berechnen?</t>
  </si>
  <si>
    <t>unabhängige Ergebnisse</t>
  </si>
  <si>
    <t>abhängige Ergebnisse (werden wenn die Formel korrekt ist, als Folgefehler mit 0,5 Punkten bewertet)</t>
  </si>
  <si>
    <t>IST-ORGANISATION</t>
  </si>
  <si>
    <t>Formel-
prüfung</t>
  </si>
  <si>
    <t>Deine Be-rechnung</t>
  </si>
  <si>
    <t>Punkte</t>
  </si>
  <si>
    <t>1.</t>
  </si>
  <si>
    <t>Deckungsbeitrag / Variable Kosten</t>
  </si>
  <si>
    <t>2.</t>
  </si>
  <si>
    <t>Ertrag / Bedarf MJ NEL</t>
  </si>
  <si>
    <t>3.</t>
  </si>
  <si>
    <t>Jahresarbeitszeit</t>
  </si>
  <si>
    <t>Gesamt Akh</t>
  </si>
  <si>
    <t>4.</t>
  </si>
  <si>
    <t>Einkommensermittlung</t>
  </si>
  <si>
    <t>5.</t>
  </si>
  <si>
    <t>Ermittlung der Kapitaldienstgrenze</t>
  </si>
  <si>
    <t>Plan I</t>
  </si>
  <si>
    <t>Sonstige Einkommensbestandteile</t>
  </si>
  <si>
    <t>6.</t>
  </si>
  <si>
    <t>7.</t>
  </si>
  <si>
    <t>Fin I</t>
  </si>
  <si>
    <t>Vergleich</t>
  </si>
  <si>
    <t>Leistung und Kosten der Investition</t>
  </si>
  <si>
    <t>Beurteilung der Wirtschaftlichkeit</t>
  </si>
  <si>
    <t>Kapitaltilgung</t>
  </si>
  <si>
    <t>Schuldzinsen</t>
  </si>
  <si>
    <t>Plan II</t>
  </si>
  <si>
    <t>Fin II</t>
  </si>
  <si>
    <t>DB Milchkuhhaltung</t>
  </si>
  <si>
    <t>1. Milchleistung</t>
  </si>
  <si>
    <t>Grundfutterleistung</t>
  </si>
  <si>
    <t xml:space="preserve">Leistung aus Ergänzungsfutter </t>
  </si>
  <si>
    <t>2. Milchäquivalent</t>
  </si>
  <si>
    <t>VK-Ermittlung</t>
  </si>
  <si>
    <t>Variabele Grundfutterkosten</t>
  </si>
  <si>
    <t>Deckungsbeiträge und Förderungen</t>
  </si>
  <si>
    <t>Arbeitszeitermittlung und DB/Akh</t>
  </si>
  <si>
    <t>DB Mutterkuh</t>
  </si>
  <si>
    <t>1. Futterbedarf</t>
  </si>
  <si>
    <t>2. Rohgertrag</t>
  </si>
  <si>
    <t>3. Variable Kosten</t>
  </si>
  <si>
    <t>4. Variable Grundfutterkosten</t>
  </si>
  <si>
    <t>5. Förderungen</t>
  </si>
  <si>
    <t>6. Arbeitszeitbedarf</t>
  </si>
  <si>
    <t>Arbeitszeit pro Fuhre in Akh</t>
  </si>
  <si>
    <t>Arbeitszeit je 100 dt in Akh</t>
  </si>
  <si>
    <t>Variable Kosten und Arbeitszeitbedarf</t>
  </si>
  <si>
    <t>Arbeitszeit je 10 M³ in Akh</t>
  </si>
  <si>
    <t>Arbeitsgänge - 1x pro Jahr</t>
  </si>
  <si>
    <t>Arbeitsgänge - 1x je Schnitt</t>
  </si>
  <si>
    <t>Variable Traktorkosten</t>
  </si>
  <si>
    <t>Variable Kosten der Trocknung</t>
  </si>
  <si>
    <t>Ertrag</t>
  </si>
  <si>
    <t>Nettoernergie in MJ NEL je kg TM</t>
  </si>
  <si>
    <t>Nettoernergie in MJ NEL gesamt</t>
  </si>
  <si>
    <t>MASCHINEN-KORE - MASCHINE 1</t>
  </si>
  <si>
    <t>Alter und Zeitwert</t>
  </si>
  <si>
    <t>Alter (bisherige Nutzungsdauer)</t>
  </si>
  <si>
    <t>Jährliche Afa</t>
  </si>
  <si>
    <t>Unterbringung in €</t>
  </si>
  <si>
    <t>Versicherung in €</t>
  </si>
  <si>
    <t>Verzinsung in €</t>
  </si>
  <si>
    <t>Energie pro Jahr</t>
  </si>
  <si>
    <t>Reparatur je 100 Stunden</t>
  </si>
  <si>
    <t>Reparatur pro Jahr</t>
  </si>
  <si>
    <t>Durchschnitts- oder Stückkosten</t>
  </si>
  <si>
    <t>FK pro Stunde</t>
  </si>
  <si>
    <t>VK pro Stunde</t>
  </si>
  <si>
    <t>GK pro Stunde</t>
  </si>
  <si>
    <t>MASCHINEN-KORE - MASCHINE 2</t>
  </si>
  <si>
    <t>Vollkostenrechnung</t>
  </si>
  <si>
    <t>Anlagevermögen</t>
  </si>
  <si>
    <t>Bisherige Nutzungsdauer</t>
  </si>
  <si>
    <t>Zeitwert 1. Jänner</t>
  </si>
  <si>
    <t>Zeitwert 31. Dezember</t>
  </si>
  <si>
    <t>Umlaufvermögen</t>
  </si>
  <si>
    <t>Wert 1. Jänner</t>
  </si>
  <si>
    <t>Wert 31. Dezember</t>
  </si>
  <si>
    <t>Mehrwert/Minderwert</t>
  </si>
  <si>
    <t>Kreuze an!</t>
  </si>
  <si>
    <t>│</t>
  </si>
  <si>
    <t>Gebäudebewertung</t>
  </si>
  <si>
    <t>Teil 1</t>
  </si>
  <si>
    <t>Teil 2</t>
  </si>
  <si>
    <t>Teil 3</t>
  </si>
  <si>
    <t>Teil 4</t>
  </si>
  <si>
    <t>Teil 5</t>
  </si>
  <si>
    <t>Reduktion</t>
  </si>
  <si>
    <t>Ergebnisinterpretation</t>
  </si>
  <si>
    <t>Punktezahl</t>
  </si>
  <si>
    <t>Gesamtpunktezahl</t>
  </si>
  <si>
    <t>Note</t>
  </si>
  <si>
    <t>Abstufung 1</t>
  </si>
  <si>
    <t>Abstufung 2</t>
  </si>
  <si>
    <t>Abstufung:</t>
  </si>
  <si>
    <t>Schüler</t>
  </si>
  <si>
    <t>(1.)</t>
  </si>
  <si>
    <t>Analyse der betriebliche Ausganssituation (IST)</t>
  </si>
  <si>
    <t>a.</t>
  </si>
  <si>
    <t>Beschreibe die finanzielle Situation des Betriebes vor Umsetzung des Projektes!</t>
  </si>
  <si>
    <t>Gesamteinkommen:</t>
  </si>
  <si>
    <t>*)</t>
  </si>
  <si>
    <t>/</t>
  </si>
  <si>
    <t>Lebenhaltungskosten:</t>
  </si>
  <si>
    <t>Kapitaldienstgrenze:</t>
  </si>
  <si>
    <t>Kapitaldienst-IST:</t>
  </si>
  <si>
    <t>b.</t>
  </si>
  <si>
    <t>Wie beurteilst du diese Zahlen?</t>
  </si>
  <si>
    <t>VglLHK_GEK</t>
  </si>
  <si>
    <t>VglKD_KDG</t>
  </si>
  <si>
    <t>(2.)</t>
  </si>
  <si>
    <t>Ist die Umsetzung des Projektes wirtschaftlich?</t>
  </si>
  <si>
    <t>Leistung der Investition</t>
  </si>
  <si>
    <t>Kapitalkosten der Investition</t>
  </si>
  <si>
    <t>ACHTUNG: muss negatvi sein!</t>
  </si>
  <si>
    <t>Differenz</t>
  </si>
  <si>
    <t>Begründung:</t>
  </si>
  <si>
    <t>Wirtschaftlichkeit</t>
  </si>
  <si>
    <t>Kannst du das Projekt auch finanzieren?</t>
  </si>
  <si>
    <t>Kapitaldienstgrenze bei Plan-Variante</t>
  </si>
  <si>
    <t>Kapitaldienst für die Investition</t>
  </si>
  <si>
    <t>Finanzierbarkeit</t>
  </si>
  <si>
    <t>c.</t>
  </si>
  <si>
    <t>Euer Betrieb soll vergrößert werden. Das bedeutet in der Regel, auch eine höhere Arbeitsbelastung. Einige Rationalisierungsmaßnahmen werden zwar die Arbeitsbelastung pro Einheit verringern, insgesamt wird der Arbeitszeitbedarf jedoch größer werden. Kann euer Betrieb trotz dieser arbeitswirtschaftlichen Veränderung mit der künftig vorhandenen Arbeitskräfteausstattung bewirtschaftet werden?</t>
  </si>
  <si>
    <t>künftiger Akh-Bedarf</t>
  </si>
  <si>
    <t>Künftige AK-Ausstattung</t>
  </si>
  <si>
    <t>das sind etwa</t>
  </si>
  <si>
    <t>Arbeitskräfte</t>
  </si>
  <si>
    <t>d.</t>
  </si>
  <si>
    <t>Kannst du den Energiebedarf durch den geänderten Viehbestand mit wirtschaftseigenem Grundfutter abdecken oder musst du Futter zukaufen?</t>
  </si>
  <si>
    <t xml:space="preserve"> kann mit Grundfutter gedeckt werden</t>
  </si>
  <si>
    <t xml:space="preserve"> ich habe zu wenig Grundfutter</t>
  </si>
  <si>
    <t>Energiebilanz</t>
  </si>
  <si>
    <t>e.</t>
  </si>
  <si>
    <t>Thema Wirtschaftlichkeit:</t>
  </si>
  <si>
    <t>Wäre die Investition unter diesen Umständen wirtschaftlich?</t>
  </si>
  <si>
    <t>Thema Finanzierbarkeit</t>
  </si>
  <si>
    <t>KDGvsKD</t>
  </si>
  <si>
    <t>Wäre die Investition unter diesen Umständen finanzierbar?</t>
  </si>
  <si>
    <t>(3.)</t>
  </si>
  <si>
    <t>(4.)</t>
  </si>
  <si>
    <t>Erstelle einenTilgungsplan:</t>
  </si>
  <si>
    <t>Tilgung in gleichen Jahresraten (= Annuitätentilgung)</t>
  </si>
  <si>
    <t>Kapitalbetrag:</t>
  </si>
  <si>
    <t>Zinssatz:</t>
  </si>
  <si>
    <t>Laufzeit:</t>
  </si>
  <si>
    <t>Annuitätenfaktor:</t>
  </si>
  <si>
    <t>*) Hole dir den Annuitätenfaktor aus der Annuitäten-
    tabelle! (Lege dazu eine "Verknüpfung" mit "=")!!!</t>
  </si>
  <si>
    <t>Restschuld</t>
  </si>
  <si>
    <t>Zinsen</t>
  </si>
  <si>
    <t>Tilgungsrate</t>
  </si>
  <si>
    <t>Annuität</t>
  </si>
  <si>
    <t>Einzelkorrektur</t>
  </si>
  <si>
    <t>Bilanz</t>
  </si>
  <si>
    <t>Erstelle eine Tilgungsplan: Tilgung in ungleichen Jahresraten (= Kapitalratentilgung)</t>
  </si>
  <si>
    <t>Jahresrate</t>
  </si>
  <si>
    <t>Einzelbewertung</t>
  </si>
  <si>
    <t>(5.)</t>
  </si>
  <si>
    <t>Erstelle bie Eröffnungsbilanz deines Betriebes für das Jahr !</t>
  </si>
  <si>
    <t xml:space="preserve">Eröffnungsbilanz 1. 1. </t>
  </si>
  <si>
    <t>Aktiva</t>
  </si>
  <si>
    <t>Passiva</t>
  </si>
  <si>
    <t>Bilanz 1.1.</t>
  </si>
  <si>
    <t>V-B</t>
  </si>
  <si>
    <t>V-W</t>
  </si>
  <si>
    <t>K-B</t>
  </si>
  <si>
    <t>K-W</t>
  </si>
  <si>
    <t>Fremdkapital</t>
  </si>
  <si>
    <t>AV</t>
  </si>
  <si>
    <t>FK</t>
  </si>
  <si>
    <t>UV</t>
  </si>
  <si>
    <t>Eigenkapital =</t>
  </si>
  <si>
    <t>EK</t>
  </si>
  <si>
    <t>Summe Aktiva</t>
  </si>
  <si>
    <t>Summe Passiva</t>
  </si>
  <si>
    <t>Summa Aktiv</t>
  </si>
  <si>
    <t>Summe Passiv</t>
  </si>
  <si>
    <t>(6.)</t>
  </si>
  <si>
    <t>Fragen zum Grundbuchsauszug</t>
  </si>
  <si>
    <t>Lage</t>
  </si>
  <si>
    <t>Welche Einlagezahl hat diese Liegenschaft und was bedeutet der Begriff Liegenschaft?</t>
  </si>
  <si>
    <t>EZ</t>
  </si>
  <si>
    <t>Trage die entsprechende Einlagezahl ein!</t>
  </si>
  <si>
    <t>Wann wurde die letzte Veränderung an diesem Grundbuchskörper (an dieser Liegenschaft) vorgenommen?</t>
  </si>
  <si>
    <t>Trage das Jahr ein! (z.B. 1978)</t>
  </si>
  <si>
    <t>Wo findest du die Angaben über die Grundstücke einer Liegenschaft?</t>
  </si>
  <si>
    <t>Wähle aus!</t>
  </si>
  <si>
    <t>und die Rechte, die mit dem Besitz der Liegenschaft verbunden sind?</t>
  </si>
  <si>
    <t>Wie viele Grundstücke gehören zu dieser Liegenschaft?</t>
  </si>
  <si>
    <t>Trage die richtige Zahl ein!</t>
  </si>
  <si>
    <t>f.</t>
  </si>
  <si>
    <t>Wie groß ist die Gesamtfläche in m² und in ha?</t>
  </si>
  <si>
    <t>g</t>
  </si>
  <si>
    <t>In welchem Teil des Grundbuches findest du Angaben über den/die Eigentümer der Liegenschaft?</t>
  </si>
  <si>
    <t>h.</t>
  </si>
  <si>
    <t>Wie vielen Eigentümern gehört die Liegenschaft, wie heißt die/der erste davon und wie groß ist ihr/sein Anteile?</t>
  </si>
  <si>
    <t>Eigentümer</t>
  </si>
  <si>
    <t>i.</t>
  </si>
  <si>
    <t>Wo sind etwaige Belastungen, die auf der Liegenschaft ruhen, zu finden?</t>
  </si>
  <si>
    <t>Rechte</t>
  </si>
  <si>
    <t>j.</t>
  </si>
  <si>
    <t>Welche Rechte sind mit dem Eigentum der Liegenschaft verbunden? Nenne die beiden ersten Rechte und beschreibe sie!</t>
  </si>
  <si>
    <t>Gst</t>
  </si>
  <si>
    <t>Ist nur ein Grundstück betroffen, bleibt diese Zelle leer!</t>
  </si>
  <si>
    <t>Für welches Grundstück der Liegenschaft? (Nenne die entsprechende Grundstücksnummer!)</t>
  </si>
  <si>
    <t>Trifft dieser Punkt zu, schreibe die Gst-Nummer ein!</t>
  </si>
  <si>
    <t>Gesamte Liegenschaft</t>
  </si>
  <si>
    <t>k.</t>
  </si>
  <si>
    <t>Pflichten</t>
  </si>
  <si>
    <t>Begünstigte</t>
  </si>
  <si>
    <t>l.</t>
  </si>
  <si>
    <t>Ausnahme</t>
  </si>
  <si>
    <t>Punkte:</t>
  </si>
  <si>
    <t>Einfache Methode: Kreditlaufzeit und Nutzungsdauer sind identisch!</t>
  </si>
  <si>
    <t>(also wieviel kostet mich die Investition pro Jahr - Rückgewinnung des eingesetzten Kapitals und Zinsen)</t>
  </si>
  <si>
    <t>Kapitalart</t>
  </si>
  <si>
    <t>Annuitäten-
faktor</t>
  </si>
  <si>
    <t>Nd</t>
  </si>
  <si>
    <t>SUMME DER ANNUITÄTEN = KAPITALKOSTEN</t>
  </si>
  <si>
    <t>Berechnung der Leistung der Investition</t>
  </si>
  <si>
    <t>= LEISTUNG DER INVESTITION</t>
  </si>
  <si>
    <t>VERGLEICH</t>
  </si>
  <si>
    <t>LEISTUNG DER INVESTITION          -</t>
  </si>
  <si>
    <t>KOSTEN DER INVESTITION</t>
  </si>
  <si>
    <t>Gesamtdeckungsbeitrag</t>
  </si>
  <si>
    <t>Landwirtschaftliches Einkommen</t>
  </si>
  <si>
    <t xml:space="preserve"> =</t>
  </si>
  <si>
    <t>Ist diese Investition nun wirtschaftlich?</t>
  </si>
  <si>
    <t>Ja</t>
  </si>
  <si>
    <t>Nein</t>
  </si>
  <si>
    <t>Kreuze bitte zutreffendes an! Tippe dazu einfach ein x ein!</t>
  </si>
  <si>
    <t>Ermittlung des Kapitaldienstes</t>
  </si>
  <si>
    <t>(also wie viel muss ich jährlich dem Kreditinstitut überweisen)</t>
  </si>
  <si>
    <t>Fremdkapitalart</t>
  </si>
  <si>
    <t>Summe Annuität = Kapitaldienst</t>
  </si>
  <si>
    <t>Ermittlung der jährlichen Schuldzinsen</t>
  </si>
  <si>
    <t>jährlicher Kapitaldienst</t>
  </si>
  <si>
    <t>davon Kapitaltilgung</t>
  </si>
  <si>
    <t>daher Schuldzinsen</t>
  </si>
  <si>
    <t>Summe</t>
  </si>
  <si>
    <t>Die durchschnittlichen Schuldzinsen betragen für das erforderliche Fremdkapital</t>
  </si>
  <si>
    <t>Berechnung geplanten Investition</t>
  </si>
  <si>
    <t>Investitionsvolumen</t>
  </si>
  <si>
    <t>Art der Investition</t>
  </si>
  <si>
    <t>Nd/Jahre</t>
  </si>
  <si>
    <t>Jährl. Afa</t>
  </si>
  <si>
    <t>Investitionssumme</t>
  </si>
  <si>
    <t>Finanzbedarf</t>
  </si>
  <si>
    <t>Steigerung der DB's</t>
  </si>
  <si>
    <t>Arbeitszeiteffekte</t>
  </si>
  <si>
    <t>Verringerung der VK's</t>
  </si>
  <si>
    <t>Steigerung der Energieausbeute</t>
  </si>
  <si>
    <t>Produktionsverfahren</t>
  </si>
  <si>
    <t>Jahresarbeitszeit 
in Akh</t>
  </si>
  <si>
    <t>Kapitaldienstgrenze bei IST-Organisation</t>
  </si>
  <si>
    <t>Kapitaldienstgrenze bei PLAN-Variante</t>
  </si>
  <si>
    <t>Kapitaldienst bei PLAN-Variante</t>
  </si>
  <si>
    <t>Kapitalbedarf für die Investition</t>
  </si>
  <si>
    <t>Davon Fremdkapital</t>
  </si>
  <si>
    <t>Afa für geplante Investition</t>
  </si>
  <si>
    <t>Schuldzinsen für geplante Investition</t>
  </si>
  <si>
    <t>Landwirtschaftliches Einkommen ohne Förderungen</t>
  </si>
  <si>
    <r>
      <t>ACHTUNG!</t>
    </r>
    <r>
      <rPr>
        <i/>
        <sz val="7"/>
        <color indexed="17"/>
        <rFont val="Arial"/>
        <family val="2"/>
      </rPr>
      <t xml:space="preserve"> Du musst unbedingt die fehlenden Werte aus den Kalkulationen übertragen, sonst werden die Antwortvorgaben ausgeblendet!</t>
    </r>
  </si>
  <si>
    <r>
      <t xml:space="preserve">Begründung: </t>
    </r>
    <r>
      <rPr>
        <sz val="8"/>
        <color indexed="10"/>
        <rFont val="Arial"/>
        <family val="2"/>
      </rPr>
      <t>Kreuze zutreffendes an. ACHTUNG: Es ist nur eine Antwort richtig!!!</t>
    </r>
  </si>
  <si>
    <r>
      <t xml:space="preserve">Vollarbeitskräfte </t>
    </r>
    <r>
      <rPr>
        <b/>
        <i/>
        <sz val="7"/>
        <color indexed="17"/>
        <rFont val="Arial"/>
        <family val="2"/>
      </rPr>
      <t>(Aus dem Angabentext zu entnehmen!)</t>
    </r>
  </si>
  <si>
    <r>
      <t xml:space="preserve">Arbeitskraftstunden </t>
    </r>
    <r>
      <rPr>
        <b/>
        <i/>
        <sz val="7"/>
        <color indexed="17"/>
        <rFont val="Arial"/>
        <family val="2"/>
      </rPr>
      <t>(Eigene Berechnung)</t>
    </r>
  </si>
  <si>
    <r>
      <t>Σ</t>
    </r>
    <r>
      <rPr>
        <b/>
        <sz val="9.6"/>
        <rFont val="Arial"/>
        <family val="2"/>
      </rPr>
      <t xml:space="preserve"> Akt</t>
    </r>
  </si>
  <si>
    <r>
      <t>Σ</t>
    </r>
    <r>
      <rPr>
        <b/>
        <sz val="9.6"/>
        <rFont val="Arial"/>
        <family val="2"/>
      </rPr>
      <t xml:space="preserve"> Pas</t>
    </r>
  </si>
  <si>
    <r>
      <t xml:space="preserve">Wo liegt diese Liegenschaft? </t>
    </r>
    <r>
      <rPr>
        <i/>
        <sz val="8"/>
        <color indexed="10"/>
        <rFont val="Arial"/>
        <family val="2"/>
      </rPr>
      <t>(Kreuze zutreffendes an!)</t>
    </r>
  </si>
  <si>
    <r>
      <t xml:space="preserve">Woran erkennst du das? </t>
    </r>
    <r>
      <rPr>
        <i/>
        <sz val="8"/>
        <color indexed="10"/>
        <rFont val="Arial"/>
        <family val="2"/>
      </rPr>
      <t>(Kreuze zutreffendes an!)</t>
    </r>
  </si>
  <si>
    <r>
      <t xml:space="preserve">oder </t>
    </r>
    <r>
      <rPr>
        <i/>
        <sz val="8"/>
        <color indexed="10"/>
        <rFont val="Arial"/>
        <family val="2"/>
      </rPr>
      <t>(Welchen Namen hat der ausgewählte Teil des Grundbuchsauszuges noch?)</t>
    </r>
  </si>
  <si>
    <r>
      <t xml:space="preserve">m² </t>
    </r>
    <r>
      <rPr>
        <i/>
        <sz val="8"/>
        <color indexed="10"/>
        <rFont val="Arial"/>
        <family val="2"/>
      </rPr>
      <t>(Trage den richtigen Wert ein!)</t>
    </r>
  </si>
  <si>
    <r>
      <t xml:space="preserve">ha </t>
    </r>
    <r>
      <rPr>
        <i/>
        <sz val="8"/>
        <color indexed="10"/>
        <rFont val="Arial"/>
        <family val="2"/>
      </rPr>
      <t>(Rechne jetzt in Hektar um!)</t>
    </r>
  </si>
  <si>
    <r>
      <t>Wie viele?</t>
    </r>
    <r>
      <rPr>
        <b/>
        <i/>
        <sz val="8"/>
        <color indexed="17"/>
        <rFont val="Arial"/>
        <family val="2"/>
      </rPr>
      <t xml:space="preserve"> </t>
    </r>
    <r>
      <rPr>
        <i/>
        <sz val="8"/>
        <color indexed="10"/>
        <rFont val="Arial"/>
        <family val="2"/>
      </rPr>
      <t>(Trage die richtige Anzahl ein!)</t>
    </r>
  </si>
  <si>
    <r>
      <t xml:space="preserve">Name: </t>
    </r>
    <r>
      <rPr>
        <i/>
        <sz val="8"/>
        <color indexed="10"/>
        <rFont val="Arial"/>
        <family val="2"/>
      </rPr>
      <t>(Wähle aus!)</t>
    </r>
  </si>
  <si>
    <r>
      <t xml:space="preserve">Anteil: </t>
    </r>
    <r>
      <rPr>
        <i/>
        <sz val="8"/>
        <color indexed="10"/>
        <rFont val="Arial"/>
        <family val="2"/>
      </rPr>
      <t>(Trage den betreffenden Anteil ein!)</t>
    </r>
  </si>
  <si>
    <r>
      <t xml:space="preserve">Recht 1: </t>
    </r>
    <r>
      <rPr>
        <i/>
        <sz val="8"/>
        <color indexed="10"/>
        <rFont val="Arial"/>
        <family val="2"/>
      </rPr>
      <t>(Wähle aus!)</t>
    </r>
  </si>
  <si>
    <r>
      <t xml:space="preserve">An welchem Grundstück? </t>
    </r>
    <r>
      <rPr>
        <i/>
        <sz val="8"/>
        <color indexed="10"/>
        <rFont val="Arial"/>
        <family val="2"/>
      </rPr>
      <t>(Trage die entsprechende(n) Grundstücksnummer(n) ein!)</t>
    </r>
  </si>
  <si>
    <r>
      <t xml:space="preserve">Recht 2: </t>
    </r>
    <r>
      <rPr>
        <i/>
        <sz val="8"/>
        <color indexed="10"/>
        <rFont val="Arial"/>
        <family val="2"/>
      </rPr>
      <t>(Wähle aus!)</t>
    </r>
  </si>
  <si>
    <r>
      <t xml:space="preserve">Für welches Grundstück der Liegenschaft? </t>
    </r>
    <r>
      <rPr>
        <i/>
        <sz val="8"/>
        <color indexed="10"/>
        <rFont val="Arial"/>
        <family val="2"/>
      </rPr>
      <t>(Wähle aus!)</t>
    </r>
  </si>
  <si>
    <r>
      <t xml:space="preserve">Pflicht 1: </t>
    </r>
    <r>
      <rPr>
        <i/>
        <sz val="8"/>
        <color indexed="10"/>
        <rFont val="Arial"/>
        <family val="2"/>
      </rPr>
      <t>(Wähle aus!)</t>
    </r>
  </si>
  <si>
    <r>
      <t xml:space="preserve">Wer hat den Vorteil aus der Verpflichtung? </t>
    </r>
    <r>
      <rPr>
        <i/>
        <sz val="8"/>
        <color indexed="10"/>
        <rFont val="Arial"/>
        <family val="2"/>
      </rPr>
      <t>(Wähle aus?)</t>
    </r>
  </si>
  <si>
    <r>
      <t xml:space="preserve">Pflicht 2: </t>
    </r>
    <r>
      <rPr>
        <i/>
        <sz val="8"/>
        <color indexed="10"/>
        <rFont val="Arial"/>
        <family val="2"/>
      </rPr>
      <t>(Wähle aus!)</t>
    </r>
  </si>
  <si>
    <r>
      <t xml:space="preserve">Pflicht 3: </t>
    </r>
    <r>
      <rPr>
        <i/>
        <sz val="8"/>
        <color indexed="10"/>
        <rFont val="Arial"/>
        <family val="2"/>
      </rPr>
      <t>(Wähle aus!)</t>
    </r>
  </si>
  <si>
    <r>
      <t xml:space="preserve">Pflicht 4: </t>
    </r>
    <r>
      <rPr>
        <i/>
        <sz val="8"/>
        <color indexed="10"/>
        <rFont val="Arial"/>
        <family val="2"/>
      </rPr>
      <t>(Wähle aus!)</t>
    </r>
  </si>
  <si>
    <r>
      <t xml:space="preserve">Nach welcher Rangordnung werden die Pflichten bedient? </t>
    </r>
    <r>
      <rPr>
        <i/>
        <sz val="8"/>
        <color indexed="10"/>
        <rFont val="Arial"/>
        <family val="2"/>
      </rPr>
      <t>(Kreuze zutreffendes an!)</t>
    </r>
  </si>
  <si>
    <r>
      <t xml:space="preserve">Ausnahme: </t>
    </r>
    <r>
      <rPr>
        <i/>
        <sz val="8"/>
        <color indexed="10"/>
        <rFont val="Arial"/>
        <family val="2"/>
      </rPr>
      <t>(Wähle aus!)</t>
    </r>
  </si>
  <si>
    <r>
      <t>Berechnung der Kapitalkosten</t>
    </r>
    <r>
      <rPr>
        <sz val="8"/>
        <color indexed="9"/>
        <rFont val="Arial Black"/>
        <family val="2"/>
      </rPr>
      <t/>
    </r>
  </si>
  <si>
    <r>
      <t>∑</t>
    </r>
    <r>
      <rPr>
        <b/>
        <i/>
        <sz val="8"/>
        <rFont val="Arial"/>
        <family val="2"/>
      </rPr>
      <t xml:space="preserve"> Afa</t>
    </r>
  </si>
  <si>
    <t>Interpretiere die betrieblichen Entwicklung bei Umsetzung deines Betriebskonzeptes (PLAN I und FINANZ I)</t>
  </si>
  <si>
    <t xml:space="preserve">Variante II *** Variante II  *** Variante II  *** Variante II  *** Variante II  *** Variante II  *** Variante II  *** Variante II  *** Variante II  *** Variante II  *** Variante II  *** Variante II  *** Variante II  *** Variante II  *** Variante II  *** Variante II  *** Variante II  *** Variante II  *** Variante II  *** Variante II  *** Variante II  *** Variante II  *** Variante II  *** Variante II </t>
  </si>
  <si>
    <t>Vergleiche die beiden Projekte!</t>
  </si>
  <si>
    <t>Welches Projekt würdest du aus rein wirtschaftlichen Überlegungen heraus bevorzugen?</t>
  </si>
  <si>
    <t xml:space="preserve"> Planvariante I (deine eigenen Überlegungen)</t>
  </si>
  <si>
    <t xml:space="preserve"> Weder Variante I noch Variante II</t>
  </si>
  <si>
    <t>Wirtschftlichkeit</t>
  </si>
  <si>
    <t xml:space="preserve"> Nur Variante I ist wirtschaftlich.</t>
  </si>
  <si>
    <t>* Variante I</t>
  </si>
  <si>
    <t xml:space="preserve"> Nur Variante II ist wirtschaftlich.</t>
  </si>
  <si>
    <t>* Variante II</t>
  </si>
  <si>
    <t xml:space="preserve"> Weder Variante I noch Variante II sind wirtschaftlich.</t>
  </si>
  <si>
    <t xml:space="preserve"> Beide Varianten sind zwar wirtschaftlich aber Variante I ist nicht finanzierbar.</t>
  </si>
  <si>
    <t xml:space="preserve"> Beide Varianten sind zwar wirtschaftlich aber Variante II ist nicht finanzierbar.</t>
  </si>
  <si>
    <t xml:space="preserve"> Beide Varianten sind wirtschaftlich und finanzierbar.
 Variante I bringt aber bei der Wirtschaftlichkeit das bessere Ergebnis.</t>
  </si>
  <si>
    <t xml:space="preserve"> Beide Varianten sind wirtschaftlich und finanzierbar.
 Variante II bringt aber bei der Wirtschaftlichkeit das bessere Ergebnis.</t>
  </si>
  <si>
    <t xml:space="preserve"> Nur Variante I ist finanzierbar.</t>
  </si>
  <si>
    <t xml:space="preserve"> Nur Variante II ist finanzierbar.</t>
  </si>
  <si>
    <t xml:space="preserve"> Weder Variante I noch Variante II sind finanzierbar.</t>
  </si>
  <si>
    <t xml:space="preserve"> Beide Varianten sind zwar finanzierbar aber Variante I ist nicht wirtschaftlich.</t>
  </si>
  <si>
    <t xml:space="preserve"> Beide Varianten sind zwar finanzierbar aber Variante II ist nicht wirtschaftlich.</t>
  </si>
  <si>
    <t xml:space="preserve"> Beide Varianten sind wirtschaftlich und finanzierbar.
 Variante I birgt in Sachen Finanzierbarkeit das höhere Risiko.</t>
  </si>
  <si>
    <t xml:space="preserve"> Beide Varianten sind wirtschaftlich und finanzierbar.
 Variante II birgt in Sachen Finanzierbarkeit das höhere Risiko.</t>
  </si>
  <si>
    <t>(7.)</t>
  </si>
  <si>
    <t>Achenrainer Christoph</t>
  </si>
  <si>
    <t>Auer Thomas</t>
  </si>
  <si>
    <t>Drexel Dominik</t>
  </si>
  <si>
    <t>Egger Christian</t>
  </si>
  <si>
    <t>Falkner Mario</t>
  </si>
  <si>
    <t>Föger Martin</t>
  </si>
  <si>
    <t>Gapp Benjamin</t>
  </si>
  <si>
    <t>Gaßler Bernhard</t>
  </si>
  <si>
    <t>Grissemann Daniel</t>
  </si>
  <si>
    <t>Gufler Michael</t>
  </si>
  <si>
    <t>Haslwanter Christoph</t>
  </si>
  <si>
    <t>Holzknecht Johannes</t>
  </si>
  <si>
    <t>Holzknecht Raffael</t>
  </si>
  <si>
    <t>Jenewein Mario</t>
  </si>
  <si>
    <t>Juen Matthäus</t>
  </si>
  <si>
    <t>Knittel Marcus</t>
  </si>
  <si>
    <t>Knittel Pirmin</t>
  </si>
  <si>
    <t>Köfler Andreas</t>
  </si>
  <si>
    <t>Köhle Christian</t>
  </si>
  <si>
    <t>Schimpfößl Johannes</t>
  </si>
  <si>
    <t>Krug Markus</t>
  </si>
  <si>
    <t>Kuprian Renè</t>
  </si>
  <si>
    <t>Kuprian Sandro</t>
  </si>
  <si>
    <t>Maaß Matthäus</t>
  </si>
  <si>
    <t>Muigg Simon</t>
  </si>
  <si>
    <t>Neuner Wendelin</t>
  </si>
  <si>
    <t>Neururer Bernhard</t>
  </si>
  <si>
    <t>Ostermann Christoph</t>
  </si>
  <si>
    <t>Pedroß Matthias</t>
  </si>
  <si>
    <t>Pfeifer Gregor</t>
  </si>
  <si>
    <t>Pichler Fabian</t>
  </si>
  <si>
    <t>Regensburger Thomas</t>
  </si>
  <si>
    <t>Rief Christian</t>
  </si>
  <si>
    <t>Schaffenrath Sandro</t>
  </si>
  <si>
    <t>Scheiber Michael</t>
  </si>
  <si>
    <t>Schöpf Florian</t>
  </si>
  <si>
    <t>Schuster Michael</t>
  </si>
  <si>
    <t>Weiß Patrick</t>
  </si>
  <si>
    <t>Weistreicher Christoph</t>
  </si>
  <si>
    <t>Zangerl Alexander</t>
  </si>
  <si>
    <t>Zöhrer Stefan</t>
  </si>
  <si>
    <t>WirtschaftlichkeitII</t>
  </si>
  <si>
    <t>FinanzierbarkeitII</t>
  </si>
  <si>
    <t>ArbeitskräfteII</t>
  </si>
  <si>
    <t>EnergiebilanzII</t>
  </si>
  <si>
    <r>
      <t xml:space="preserve">Begründe deine Entscheidung! </t>
    </r>
    <r>
      <rPr>
        <b/>
        <sz val="8"/>
        <color indexed="17"/>
        <rFont val="Arial"/>
        <family val="2"/>
      </rPr>
      <t>(Mehrere Antworten sind möglich!)</t>
    </r>
  </si>
  <si>
    <t>Welche Pflichten sind mit dem Grundstück verbunden? Nenne zumindest die ersten 4 Pflichten (IN DER REIHENFOLGE IHRER ENTSTEHUNG!) und die jeweiligen Berechtigen!</t>
  </si>
  <si>
    <t>Beurteilung</t>
  </si>
  <si>
    <t>Gerundet auf:</t>
  </si>
  <si>
    <t>Stellen</t>
  </si>
  <si>
    <t>ZW1.1.</t>
  </si>
  <si>
    <t>Leistung der Investition unter Berücksichtigung der höheren Eigenkapitalausstattung</t>
  </si>
  <si>
    <t>Kosten der Investition unter Berücksichtigung der höheren Eigenkapitalausstattung</t>
  </si>
  <si>
    <t>Der tatsächliche Kapitaldienst wäre dann (bereits bzw. immer) noch gleich hoch wie die Kapitaldienstgrenze!</t>
  </si>
  <si>
    <t>Der tatsächliche Kapitaldienst wäre dann (bereits bzw. immer noch) größer als die Kapitaldienstgrenze!</t>
  </si>
  <si>
    <t>Der tatsächliche Kapitaldienst wäre dann (bereits bzw. immer noch) kleiner als die Kapitaldienstgrenze!</t>
  </si>
  <si>
    <t>Kapitaldienstgrenze unter Berücksichtigung der höheren Eigenkapitalausstattung</t>
  </si>
  <si>
    <t>Tatsächlicher Kapitaldienst unter Berücksichtigung der höheren Eigenkapitalausstattung</t>
  </si>
  <si>
    <t>Interpretation der betrieblichen Entwicklung für das Entwicklungskonzept deines Partners/deiner Partnerin (PLAN II und FINANZ II)</t>
  </si>
  <si>
    <t xml:space="preserve"> Planvariante II (die Vorstellungen deiner Partnerin/deines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</si>
</sst>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2">
    <numFmt numFmtId="164" formatCode="_-* #,##0.00\ _D_M_-;\-* #,##0.00\ _D_M_-;_-* &quot;-&quot;??\ _D_M_-;_-@_-"/>
    <numFmt numFmtId="165" formatCode="0.0"/>
    <numFmt numFmtId="166" formatCode="#,##0.0"/>
    <numFmt numFmtId="167" formatCode="#,###"/>
    <numFmt numFmtId="168" formatCode="_-* #,##0.00\ [$€-1]_-;\-* #,##0.00\ [$€-1]_-;_-* &quot;-&quot;??\ [$€-1]_-"/>
    <numFmt numFmtId="169" formatCode="#,##0.\-"/>
    <numFmt numFmtId="170" formatCode="&quot;€&quot;\ #,##0.00"/>
    <numFmt numFmtId="171" formatCode="#,##0.00\ &quot;€&quot;"/>
    <numFmt numFmtId="172" formatCode="#,##0.0?"/>
    <numFmt numFmtId="173" formatCode="0\ %\ &quot;Lieferantenrabatt&quot;"/>
    <numFmt numFmtId="174" formatCode="0\ %\ &quot;Lieferantenskonto&quot;"/>
    <numFmt numFmtId="175" formatCode="#,##0.\-\ &quot;€&quot;"/>
    <numFmt numFmtId="176" formatCode="0&quot;%&quot;"/>
    <numFmt numFmtId="177" formatCode="&quot;Reparaturkosten/&quot;0&quot;h&quot;"/>
    <numFmt numFmtId="178" formatCode="0.0%"/>
    <numFmt numFmtId="179" formatCode="0\ &quot;Jahre&quot;"/>
    <numFmt numFmtId="180" formatCode="0\ &quot;h&quot;"/>
    <numFmt numFmtId="181" formatCode="0.0?\ %"/>
    <numFmt numFmtId="182" formatCode="#,##0\ &quot;h&quot;"/>
    <numFmt numFmtId="183" formatCode="#,##0.00\ &quot;€/100 h&quot;"/>
    <numFmt numFmtId="184" formatCode="#,##0&quot;kg&quot;"/>
    <numFmt numFmtId="185" formatCode="#,##0\k\g"/>
    <numFmt numFmtId="186" formatCode="#,##0\ &quot;g/Tag&quot;"/>
    <numFmt numFmtId="187" formatCode="#,##0\ &quot;NEL&quot;"/>
    <numFmt numFmtId="188" formatCode="&quot;€&quot;\ 0.00"/>
    <numFmt numFmtId="189" formatCode="#,##0.000"/>
    <numFmt numFmtId="190" formatCode="0.00\ &quot;Std&quot;"/>
    <numFmt numFmtId="191" formatCode="#,##0\ &quot;kg&quot;"/>
    <numFmt numFmtId="192" formatCode="#,##0.0\ &quot;NEL&quot;"/>
    <numFmt numFmtId="193" formatCode="#,##0.0\ &quot;g&quot;"/>
    <numFmt numFmtId="194" formatCode="0.00\ &quot;kg&quot;"/>
    <numFmt numFmtId="195" formatCode="0.00\ &quot;€/kg Milch&quot;"/>
    <numFmt numFmtId="196" formatCode="&quot;€&quot;\ #,##0.000"/>
    <numFmt numFmtId="197" formatCode="#,##0\ &quot;MJ NEL&quot;"/>
    <numFmt numFmtId="198" formatCode="#,##0\ %"/>
    <numFmt numFmtId="199" formatCode="[$€-2]\ #,##0.00"/>
    <numFmt numFmtId="200" formatCode="&quot;€&quot;\ #,##0.\-"/>
    <numFmt numFmtId="201" formatCode="&quot;öS&quot;\ #,##0.\-"/>
    <numFmt numFmtId="202" formatCode="0\ %"/>
    <numFmt numFmtId="203" formatCode="&quot;GESAMTE MASCHINENKOSTEN für&quot;\ 0\ &quot;dt&quot;"/>
    <numFmt numFmtId="204" formatCode="#,##0\ &quot;dt&quot;"/>
    <numFmt numFmtId="205" formatCode="#,##0.0#\ &quot;kg Stickstoff/t&quot;"/>
    <numFmt numFmtId="206" formatCode="#,##0.0#\ &quot;kg Rein-N&quot;"/>
    <numFmt numFmtId="207" formatCode="0.0\ &quot;m³&quot;"/>
    <numFmt numFmtId="208" formatCode="0.00\ &quot;kg Stickstoff/t&quot;"/>
    <numFmt numFmtId="209" formatCode="0\ &quot;m³&quot;"/>
    <numFmt numFmtId="210" formatCode="#,##0.0#"/>
    <numFmt numFmtId="211" formatCode="0\ &quot;KW&quot;"/>
    <numFmt numFmtId="212" formatCode="#,##0.000\ &quot;€&quot;"/>
    <numFmt numFmtId="213" formatCode="#,##0.0#\ &quot;kg&quot;"/>
    <numFmt numFmtId="214" formatCode="#,##0\ &quot;Schnitt(e)&quot;"/>
    <numFmt numFmtId="215" formatCode="#,##0\ &quot;kg TM&quot;"/>
    <numFmt numFmtId="216" formatCode="#,##0\ &quot;kg Heu&quot;"/>
    <numFmt numFmtId="217" formatCode="#,##0\ %\ &quot;Trockenmasse&quot;"/>
    <numFmt numFmtId="218" formatCode="#,##0.000\ &quot;€/kg&quot;"/>
    <numFmt numFmtId="219" formatCode="#,##0.0#\ %"/>
    <numFmt numFmtId="220" formatCode="0.000&quot;.&quot;000"/>
    <numFmt numFmtId="221" formatCode="0.0\ &quot;AKh&quot;"/>
    <numFmt numFmtId="222" formatCode="0.00\ &quot;L Alkohol&quot;"/>
    <numFmt numFmtId="223" formatCode="&quot;je&quot;\ 0\ &quot;kg Obst&quot;"/>
    <numFmt numFmtId="224" formatCode="0\ &quot;kg&quot;"/>
    <numFmt numFmtId="225" formatCode="#,##0\ &quot;Stk.&quot;"/>
    <numFmt numFmtId="226" formatCode="0\ &quot;Gläser&quot;"/>
    <numFmt numFmtId="227" formatCode="#,##0\ &quot;L&quot;"/>
    <numFmt numFmtId="228" formatCode="#,##0\ &quot;Kaffeelöffel&quot;"/>
    <numFmt numFmtId="229" formatCode="0\ &quot;KWh&quot;"/>
    <numFmt numFmtId="230" formatCode="0.00\ &quot;h&quot;"/>
    <numFmt numFmtId="231" formatCode="#,##0.00\ &quot;AKh&quot;"/>
    <numFmt numFmtId="232" formatCode="&quot;Vollkostenrechnung &quot;0"/>
    <numFmt numFmtId="233" formatCode="#,##0.00\ &quot;€/Woche&quot;"/>
    <numFmt numFmtId="234" formatCode="&quot;Pro Glas&quot;"/>
    <numFmt numFmtId="235" formatCode="#,##0.00\ &quot;€/Glas&quot;"/>
    <numFmt numFmtId="236" formatCode="##,##0.00\ &quot;€/Glas&quot;"/>
    <numFmt numFmtId="237" formatCode="0.00\ &quot;lt&quot;"/>
    <numFmt numFmtId="238" formatCode="0.0#\ &quot;lt&quot;"/>
    <numFmt numFmtId="239" formatCode="0.0#\ %"/>
    <numFmt numFmtId="240" formatCode="#,##0\ \k\g"/>
    <numFmt numFmtId="241" formatCode="0\ \k\g"/>
    <numFmt numFmtId="242" formatCode="0\ &quot;AKh&quot;"/>
    <numFmt numFmtId="243" formatCode="0.0?\ &quot;Stk.&quot;"/>
    <numFmt numFmtId="244" formatCode="&quot;Variante&quot;\ 0"/>
    <numFmt numFmtId="245" formatCode="\+\ 0\ %;\-\ 0\ %"/>
    <numFmt numFmtId="246" formatCode="0.0#\ %\ &quot;vom Rohertrag&quot;"/>
    <numFmt numFmtId="247" formatCode="#,##0\ &quot;kg GM&quot;"/>
    <numFmt numFmtId="248" formatCode="&quot;je&quot;\ #,##0.00\ &quot;lt&quot;"/>
    <numFmt numFmtId="249" formatCode="\ \ \ \ \ #,##0.\-"/>
    <numFmt numFmtId="250" formatCode="General\ &quot;Jahre&quot;"/>
    <numFmt numFmtId="251" formatCode="General&quot;.&quot;"/>
    <numFmt numFmtId="252" formatCode="&quot;Ergebnis in Prozent:&quot;\ 0\ %"/>
    <numFmt numFmtId="253" formatCode="0\ &quot;bis&quot;"/>
    <numFmt numFmtId="254" formatCode="&quot;oder&quot;\ 0\ &quot;Punkte&quot;"/>
    <numFmt numFmtId="255" formatCode="#,##0\ \ &quot;bis&quot;"/>
  </numFmts>
  <fonts count="136" x14ac:knownFonts="1">
    <font>
      <sz val="10"/>
      <name val="Arial"/>
    </font>
    <font>
      <b/>
      <sz val="10"/>
      <name val="Arial"/>
      <family val="2"/>
    </font>
    <font>
      <sz val="12"/>
      <name val="Arial"/>
      <family val="2"/>
    </font>
    <font>
      <b/>
      <sz val="12"/>
      <name val="Arial"/>
      <family val="2"/>
    </font>
    <font>
      <sz val="8"/>
      <name val="Arial"/>
      <family val="2"/>
    </font>
    <font>
      <sz val="10"/>
      <name val="Arial"/>
      <family val="2"/>
    </font>
    <font>
      <b/>
      <sz val="10"/>
      <color indexed="16"/>
      <name val="Arial"/>
      <family val="2"/>
    </font>
    <font>
      <sz val="12"/>
      <color indexed="9"/>
      <name val="Arial Black"/>
      <family val="2"/>
    </font>
    <font>
      <sz val="10"/>
      <name val="Arial Black"/>
      <family val="2"/>
    </font>
    <font>
      <b/>
      <sz val="8"/>
      <color indexed="12"/>
      <name val="Arial"/>
      <family val="2"/>
    </font>
    <font>
      <b/>
      <sz val="8"/>
      <name val="Arial"/>
      <family val="2"/>
    </font>
    <font>
      <b/>
      <sz val="8"/>
      <color indexed="10"/>
      <name val="Arial"/>
      <family val="2"/>
    </font>
    <font>
      <sz val="8"/>
      <name val="Arial Black"/>
      <family val="2"/>
    </font>
    <font>
      <sz val="6"/>
      <color indexed="12"/>
      <name val="Arial"/>
      <family val="2"/>
    </font>
    <font>
      <sz val="10"/>
      <name val="Helv"/>
    </font>
    <font>
      <b/>
      <sz val="10"/>
      <name val="Helv"/>
    </font>
    <font>
      <b/>
      <sz val="12"/>
      <color indexed="10"/>
      <name val="Arial"/>
      <family val="2"/>
    </font>
    <font>
      <b/>
      <sz val="8"/>
      <color indexed="10"/>
      <name val="Arial"/>
      <family val="2"/>
    </font>
    <font>
      <sz val="14"/>
      <color indexed="9"/>
      <name val="Arial Black"/>
      <family val="2"/>
    </font>
    <font>
      <sz val="18"/>
      <name val="Arial"/>
      <family val="2"/>
    </font>
    <font>
      <b/>
      <sz val="8"/>
      <name val="Helv"/>
    </font>
    <font>
      <sz val="10"/>
      <color indexed="21"/>
      <name val="Helv"/>
    </font>
    <font>
      <b/>
      <sz val="10"/>
      <color indexed="18"/>
      <name val="Helv"/>
    </font>
    <font>
      <b/>
      <i/>
      <sz val="10"/>
      <color indexed="9"/>
      <name val="Helv"/>
    </font>
    <font>
      <sz val="10"/>
      <name val="Times New Roman"/>
      <family val="1"/>
    </font>
    <font>
      <sz val="10"/>
      <name val="Arial"/>
      <family val="2"/>
    </font>
    <font>
      <b/>
      <sz val="8"/>
      <name val="Arial"/>
      <family val="2"/>
    </font>
    <font>
      <b/>
      <sz val="10"/>
      <name val="Arial"/>
      <family val="2"/>
    </font>
    <font>
      <sz val="8"/>
      <name val="Arial"/>
      <family val="2"/>
    </font>
    <font>
      <sz val="6"/>
      <name val="Arial"/>
      <family val="2"/>
    </font>
    <font>
      <sz val="14"/>
      <name val="Arial Black"/>
      <family val="2"/>
    </font>
    <font>
      <b/>
      <sz val="8"/>
      <color indexed="9"/>
      <name val="Arial"/>
      <family val="2"/>
    </font>
    <font>
      <sz val="10"/>
      <color indexed="9"/>
      <name val="Arial Black"/>
      <family val="2"/>
    </font>
    <font>
      <sz val="8"/>
      <color indexed="10"/>
      <name val="Arial"/>
      <family val="2"/>
    </font>
    <font>
      <sz val="8"/>
      <color indexed="9"/>
      <name val="Arial"/>
      <family val="2"/>
    </font>
    <font>
      <b/>
      <sz val="8"/>
      <color indexed="43"/>
      <name val="Arial"/>
      <family val="2"/>
    </font>
    <font>
      <b/>
      <i/>
      <sz val="8"/>
      <name val="Arial"/>
      <family val="2"/>
    </font>
    <font>
      <b/>
      <sz val="8"/>
      <color indexed="81"/>
      <name val="Tahoma"/>
      <family val="2"/>
    </font>
    <font>
      <sz val="8"/>
      <color indexed="81"/>
      <name val="Tahoma"/>
      <family val="2"/>
    </font>
    <font>
      <sz val="8"/>
      <color indexed="81"/>
      <name val="Wingdings"/>
      <charset val="2"/>
    </font>
    <font>
      <b/>
      <sz val="8"/>
      <color indexed="10"/>
      <name val="Tahoma"/>
      <family val="2"/>
    </font>
    <font>
      <sz val="8"/>
      <color indexed="9"/>
      <name val="Arial Black"/>
      <family val="2"/>
    </font>
    <font>
      <sz val="14"/>
      <color indexed="9"/>
      <name val="Arial"/>
      <family val="2"/>
    </font>
    <font>
      <b/>
      <sz val="6"/>
      <name val="Arial"/>
      <family val="2"/>
    </font>
    <font>
      <i/>
      <sz val="8"/>
      <name val="Arial"/>
      <family val="2"/>
    </font>
    <font>
      <sz val="18"/>
      <color indexed="9"/>
      <name val="Arial"/>
      <family val="2"/>
    </font>
    <font>
      <sz val="10"/>
      <color indexed="9"/>
      <name val="Arial"/>
      <family val="2"/>
    </font>
    <font>
      <sz val="8"/>
      <color indexed="55"/>
      <name val="Arial"/>
      <family val="2"/>
    </font>
    <font>
      <sz val="6"/>
      <color indexed="54"/>
      <name val="Arial"/>
      <family val="2"/>
    </font>
    <font>
      <sz val="9"/>
      <name val="Arial"/>
      <family val="2"/>
    </font>
    <font>
      <sz val="8"/>
      <color indexed="12"/>
      <name val="Arial"/>
      <family val="2"/>
    </font>
    <font>
      <sz val="16"/>
      <color indexed="9"/>
      <name val="Arial Black"/>
      <family val="2"/>
    </font>
    <font>
      <b/>
      <i/>
      <sz val="10"/>
      <name val="Arial"/>
      <family val="2"/>
    </font>
    <font>
      <b/>
      <i/>
      <sz val="10"/>
      <color indexed="9"/>
      <name val="Arial"/>
      <family val="2"/>
    </font>
    <font>
      <sz val="8"/>
      <color indexed="22"/>
      <name val="Arial"/>
      <family val="2"/>
    </font>
    <font>
      <b/>
      <sz val="14"/>
      <color indexed="9"/>
      <name val="Arial Black"/>
      <family val="2"/>
    </font>
    <font>
      <sz val="6"/>
      <name val="Arial"/>
      <family val="2"/>
    </font>
    <font>
      <i/>
      <sz val="6"/>
      <name val="Arial"/>
      <family val="2"/>
    </font>
    <font>
      <b/>
      <sz val="10"/>
      <color indexed="9"/>
      <name val="Arial"/>
      <family val="2"/>
    </font>
    <font>
      <sz val="5"/>
      <name val="Arial"/>
      <family val="2"/>
    </font>
    <font>
      <sz val="8"/>
      <color indexed="81"/>
      <name val="Arial"/>
      <family val="2"/>
    </font>
    <font>
      <sz val="8"/>
      <color indexed="10"/>
      <name val="Tahoma"/>
      <family val="2"/>
    </font>
    <font>
      <sz val="7"/>
      <color indexed="81"/>
      <name val="Wingdings"/>
      <charset val="2"/>
    </font>
    <font>
      <sz val="7"/>
      <color indexed="81"/>
      <name val="Tahoma"/>
      <family val="2"/>
    </font>
    <font>
      <b/>
      <sz val="7"/>
      <color indexed="81"/>
      <name val="Tahoma"/>
      <family val="2"/>
    </font>
    <font>
      <b/>
      <sz val="7"/>
      <name val="Arial"/>
      <family val="2"/>
    </font>
    <font>
      <sz val="8"/>
      <color indexed="9"/>
      <name val="Arial"/>
      <family val="2"/>
    </font>
    <font>
      <i/>
      <u/>
      <sz val="8"/>
      <name val="Arial"/>
      <family val="2"/>
    </font>
    <font>
      <sz val="14"/>
      <color indexed="9"/>
      <name val="Arial"/>
      <family val="2"/>
    </font>
    <font>
      <sz val="6"/>
      <color indexed="48"/>
      <name val="Arial"/>
      <family val="2"/>
    </font>
    <font>
      <sz val="6"/>
      <color indexed="12"/>
      <name val="Arial"/>
      <family val="2"/>
    </font>
    <font>
      <b/>
      <sz val="8"/>
      <name val="Wingdings 3"/>
      <family val="1"/>
      <charset val="2"/>
    </font>
    <font>
      <b/>
      <sz val="6"/>
      <name val="Arial"/>
      <family val="2"/>
    </font>
    <font>
      <b/>
      <vertAlign val="subscript"/>
      <sz val="8"/>
      <name val="Arial"/>
      <family val="2"/>
    </font>
    <font>
      <vertAlign val="subscript"/>
      <sz val="8"/>
      <name val="Arial"/>
      <family val="2"/>
    </font>
    <font>
      <vertAlign val="subscript"/>
      <sz val="10"/>
      <name val="Arial"/>
      <family val="2"/>
    </font>
    <font>
      <sz val="10"/>
      <color indexed="9"/>
      <name val="Arial"/>
      <family val="2"/>
    </font>
    <font>
      <sz val="12"/>
      <color indexed="9"/>
      <name val="Arial"/>
      <family val="2"/>
    </font>
    <font>
      <sz val="7"/>
      <name val="Arial"/>
      <family val="2"/>
    </font>
    <font>
      <sz val="7"/>
      <color indexed="42"/>
      <name val="Arial"/>
      <family val="2"/>
    </font>
    <font>
      <sz val="16"/>
      <name val="Arial Black"/>
      <family val="2"/>
    </font>
    <font>
      <sz val="12"/>
      <name val="Arial Black"/>
      <family val="2"/>
    </font>
    <font>
      <sz val="24"/>
      <name val="Arial"/>
      <family val="2"/>
    </font>
    <font>
      <sz val="18"/>
      <name val="Arial"/>
      <family val="2"/>
    </font>
    <font>
      <b/>
      <sz val="8"/>
      <name val="Arial Narrow"/>
      <family val="2"/>
    </font>
    <font>
      <sz val="4"/>
      <name val="Arial"/>
      <family val="2"/>
    </font>
    <font>
      <sz val="22"/>
      <name val="Arial"/>
      <family val="2"/>
    </font>
    <font>
      <sz val="16"/>
      <color indexed="53"/>
      <name val="Arial Black"/>
      <family val="2"/>
    </font>
    <font>
      <b/>
      <sz val="10"/>
      <color indexed="10"/>
      <name val="Arial"/>
      <family val="2"/>
    </font>
    <font>
      <sz val="10"/>
      <color indexed="10"/>
      <name val="Arial"/>
      <family val="2"/>
    </font>
    <font>
      <sz val="9"/>
      <color indexed="9"/>
      <name val="Arial Black"/>
      <family val="2"/>
    </font>
    <font>
      <sz val="12"/>
      <color indexed="34"/>
      <name val="Arial Black"/>
      <family val="2"/>
    </font>
    <font>
      <sz val="14"/>
      <color indexed="10"/>
      <name val="Arial Black"/>
      <family val="2"/>
    </font>
    <font>
      <b/>
      <sz val="10"/>
      <color indexed="17"/>
      <name val="Arial"/>
      <family val="2"/>
    </font>
    <font>
      <u/>
      <sz val="10"/>
      <name val="Arial"/>
      <family val="2"/>
    </font>
    <font>
      <sz val="10"/>
      <color indexed="12"/>
      <name val="Arial"/>
      <family val="2"/>
    </font>
    <font>
      <sz val="12"/>
      <color indexed="10"/>
      <name val="Arial Black"/>
      <family val="2"/>
    </font>
    <font>
      <b/>
      <sz val="10"/>
      <color indexed="43"/>
      <name val="Arial"/>
      <family val="2"/>
    </font>
    <font>
      <b/>
      <sz val="9"/>
      <name val="Arial"/>
      <family val="2"/>
    </font>
    <font>
      <u/>
      <sz val="8"/>
      <name val="Arial"/>
      <family val="2"/>
    </font>
    <font>
      <sz val="10"/>
      <color indexed="50"/>
      <name val="Arial Black"/>
      <family val="2"/>
    </font>
    <font>
      <sz val="9"/>
      <color indexed="50"/>
      <name val="Arial Black"/>
      <family val="2"/>
    </font>
    <font>
      <b/>
      <sz val="18"/>
      <name val="Wingdings 2"/>
      <family val="1"/>
      <charset val="2"/>
    </font>
    <font>
      <b/>
      <sz val="18"/>
      <name val="Arial"/>
      <family val="2"/>
    </font>
    <font>
      <sz val="8"/>
      <color indexed="9"/>
      <name val="Times New Roman"/>
      <family val="1"/>
    </font>
    <font>
      <sz val="9"/>
      <name val="Times New Roman"/>
      <family val="1"/>
    </font>
    <font>
      <sz val="6"/>
      <color indexed="9"/>
      <name val="Arial"/>
      <family val="2"/>
    </font>
    <font>
      <b/>
      <sz val="8"/>
      <color indexed="9"/>
      <name val="Arial Black"/>
      <family val="2"/>
    </font>
    <font>
      <b/>
      <i/>
      <sz val="8"/>
      <color indexed="12"/>
      <name val="Arial"/>
      <family val="2"/>
    </font>
    <font>
      <b/>
      <sz val="7"/>
      <color indexed="17"/>
      <name val="Arial"/>
      <family val="2"/>
    </font>
    <font>
      <sz val="7"/>
      <color indexed="10"/>
      <name val="Arial"/>
      <family val="2"/>
    </font>
    <font>
      <i/>
      <sz val="7"/>
      <color indexed="17"/>
      <name val="Arial"/>
      <family val="2"/>
    </font>
    <font>
      <i/>
      <u/>
      <sz val="7"/>
      <color indexed="17"/>
      <name val="Arial"/>
      <family val="2"/>
    </font>
    <font>
      <b/>
      <sz val="8"/>
      <color indexed="17"/>
      <name val="Arial"/>
      <family val="2"/>
    </font>
    <font>
      <b/>
      <i/>
      <sz val="7"/>
      <color indexed="17"/>
      <name val="Arial"/>
      <family val="2"/>
    </font>
    <font>
      <b/>
      <sz val="8"/>
      <color indexed="16"/>
      <name val="Arial"/>
      <family val="2"/>
    </font>
    <font>
      <sz val="8"/>
      <color indexed="17"/>
      <name val="Arial"/>
      <family val="2"/>
    </font>
    <font>
      <i/>
      <sz val="8"/>
      <color indexed="12"/>
      <name val="Arial"/>
      <family val="2"/>
    </font>
    <font>
      <i/>
      <sz val="8"/>
      <color indexed="16"/>
      <name val="Arial"/>
      <family val="2"/>
    </font>
    <font>
      <i/>
      <sz val="10"/>
      <name val="Arial"/>
      <family val="2"/>
    </font>
    <font>
      <b/>
      <sz val="9.6"/>
      <name val="Arial"/>
      <family val="2"/>
    </font>
    <font>
      <i/>
      <sz val="8"/>
      <color indexed="10"/>
      <name val="Arial"/>
      <family val="2"/>
    </font>
    <font>
      <b/>
      <i/>
      <sz val="8"/>
      <color indexed="17"/>
      <name val="Arial"/>
      <family val="2"/>
    </font>
    <font>
      <i/>
      <sz val="8"/>
      <color indexed="17"/>
      <name val="Arial"/>
      <family val="2"/>
    </font>
    <font>
      <sz val="6"/>
      <color indexed="43"/>
      <name val="Arial"/>
      <family val="2"/>
    </font>
    <font>
      <sz val="6"/>
      <color indexed="43"/>
      <name val="Wingdings"/>
      <charset val="2"/>
    </font>
    <font>
      <sz val="6"/>
      <name val="Wingdings"/>
      <charset val="2"/>
    </font>
    <font>
      <b/>
      <sz val="7"/>
      <color indexed="43"/>
      <name val="Arial"/>
      <family val="2"/>
    </font>
    <font>
      <sz val="12"/>
      <color indexed="9"/>
      <name val="Arial Black"/>
      <family val="2"/>
    </font>
    <font>
      <sz val="12"/>
      <color indexed="9"/>
      <name val="Arial"/>
      <family val="2"/>
    </font>
    <font>
      <sz val="10"/>
      <color indexed="9"/>
      <name val="Arial"/>
      <family val="2"/>
    </font>
    <font>
      <b/>
      <sz val="8"/>
      <color indexed="9"/>
      <name val="Arial"/>
      <family val="2"/>
    </font>
    <font>
      <b/>
      <sz val="10"/>
      <color indexed="9"/>
      <name val="Arial"/>
      <family val="2"/>
    </font>
    <font>
      <sz val="8"/>
      <color theme="0" tint="-0.499984740745262"/>
      <name val="Arial"/>
      <family val="2"/>
    </font>
    <font>
      <b/>
      <sz val="16"/>
      <color indexed="9"/>
      <name val="Arial"/>
      <family val="2"/>
    </font>
    <font>
      <sz val="10"/>
      <color rgb="FFFF0000"/>
      <name val="Arial"/>
      <family val="2"/>
    </font>
  </fonts>
  <fills count="44">
    <fill>
      <patternFill patternType="none"/>
    </fill>
    <fill>
      <patternFill patternType="gray125"/>
    </fill>
    <fill>
      <patternFill patternType="solid">
        <fgColor indexed="22"/>
      </patternFill>
    </fill>
    <fill>
      <patternFill patternType="solid">
        <fgColor indexed="15"/>
      </patternFill>
    </fill>
    <fill>
      <patternFill patternType="solid">
        <fgColor indexed="13"/>
      </patternFill>
    </fill>
    <fill>
      <patternFill patternType="solid">
        <fgColor indexed="10"/>
      </patternFill>
    </fill>
    <fill>
      <patternFill patternType="solid">
        <fgColor indexed="42"/>
        <bgColor indexed="64"/>
      </patternFill>
    </fill>
    <fill>
      <patternFill patternType="mediumGray">
        <fgColor indexed="21"/>
      </patternFill>
    </fill>
    <fill>
      <patternFill patternType="darkGray">
        <fgColor indexed="22"/>
        <bgColor indexed="11"/>
      </patternFill>
    </fill>
    <fill>
      <patternFill patternType="mediumGray">
        <fgColor indexed="22"/>
        <bgColor indexed="21"/>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mediumGray">
        <fgColor indexed="22"/>
        <bgColor indexed="10"/>
      </patternFill>
    </fill>
    <fill>
      <patternFill patternType="mediumGray">
        <fgColor indexed="13"/>
      </patternFill>
    </fill>
    <fill>
      <patternFill patternType="solid">
        <fgColor indexed="40"/>
        <bgColor indexed="64"/>
      </patternFill>
    </fill>
    <fill>
      <patternFill patternType="solid">
        <fgColor indexed="8"/>
        <bgColor indexed="64"/>
      </patternFill>
    </fill>
    <fill>
      <patternFill patternType="mediumGray">
        <fgColor indexed="21"/>
        <bgColor indexed="9"/>
      </patternFill>
    </fill>
    <fill>
      <patternFill patternType="mediumGray">
        <fgColor indexed="22"/>
      </patternFill>
    </fill>
    <fill>
      <patternFill patternType="solid">
        <fgColor indexed="23"/>
      </patternFill>
    </fill>
    <fill>
      <patternFill patternType="mediumGray">
        <fgColor indexed="9"/>
        <bgColor indexed="15"/>
      </patternFill>
    </fill>
    <fill>
      <patternFill patternType="lightGray">
        <fgColor indexed="13"/>
        <bgColor indexed="9"/>
      </patternFill>
    </fill>
    <fill>
      <patternFill patternType="lightGray">
        <fgColor indexed="11"/>
      </patternFill>
    </fill>
    <fill>
      <patternFill patternType="mediumGray">
        <fgColor indexed="13"/>
        <bgColor indexed="9"/>
      </patternFill>
    </fill>
    <fill>
      <patternFill patternType="mediumGray">
        <fgColor indexed="15"/>
      </patternFill>
    </fill>
    <fill>
      <patternFill patternType="mediumGray">
        <fgColor indexed="11"/>
        <bgColor indexed="9"/>
      </patternFill>
    </fill>
    <fill>
      <patternFill patternType="lightGray">
        <fgColor indexed="13"/>
      </patternFill>
    </fill>
    <fill>
      <patternFill patternType="solid">
        <fgColor indexed="18"/>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indexed="53"/>
        <bgColor indexed="64"/>
      </patternFill>
    </fill>
    <fill>
      <patternFill patternType="solid">
        <fgColor indexed="14"/>
        <bgColor indexed="64"/>
      </patternFill>
    </fill>
    <fill>
      <patternFill patternType="solid">
        <fgColor indexed="12"/>
        <bgColor indexed="64"/>
      </patternFill>
    </fill>
    <fill>
      <patternFill patternType="solid">
        <fgColor indexed="45"/>
        <bgColor indexed="64"/>
      </patternFill>
    </fill>
    <fill>
      <patternFill patternType="solid">
        <fgColor indexed="17"/>
        <bgColor indexed="64"/>
      </patternFill>
    </fill>
    <fill>
      <patternFill patternType="solid">
        <fgColor indexed="63"/>
        <bgColor indexed="64"/>
      </patternFill>
    </fill>
  </fills>
  <borders count="90">
    <border>
      <left/>
      <right/>
      <top/>
      <bottom/>
      <diagonal/>
    </border>
    <border>
      <left style="hair">
        <color indexed="10"/>
      </left>
      <right/>
      <top style="hair">
        <color indexed="10"/>
      </top>
      <bottom/>
      <diagonal/>
    </border>
    <border>
      <left/>
      <right/>
      <top style="hair">
        <color indexed="10"/>
      </top>
      <bottom/>
      <diagonal/>
    </border>
    <border>
      <left style="thin">
        <color indexed="23"/>
      </left>
      <right style="thin">
        <color indexed="22"/>
      </right>
      <top style="thin">
        <color indexed="23"/>
      </top>
      <bottom style="thin">
        <color indexed="22"/>
      </bottom>
      <diagonal/>
    </border>
    <border>
      <left/>
      <right/>
      <top/>
      <bottom style="thin">
        <color indexed="22"/>
      </bottom>
      <diagonal/>
    </border>
    <border>
      <left style="medium">
        <color indexed="64"/>
      </left>
      <right/>
      <top style="thin">
        <color indexed="64"/>
      </top>
      <bottom/>
      <diagonal/>
    </border>
    <border>
      <left style="medium">
        <color indexed="64"/>
      </left>
      <right style="medium">
        <color indexed="64"/>
      </right>
      <top/>
      <bottom/>
      <diagonal/>
    </border>
    <border>
      <left style="thin">
        <color indexed="23"/>
      </left>
      <right/>
      <top style="thin">
        <color indexed="23"/>
      </top>
      <bottom style="thin">
        <color indexed="22"/>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hair">
        <color indexed="9"/>
      </left>
      <right/>
      <top/>
      <bottom/>
      <diagonal/>
    </border>
    <border>
      <left style="hair">
        <color indexed="9"/>
      </left>
      <right style="hair">
        <color indexed="9"/>
      </right>
      <top style="hair">
        <color indexed="9"/>
      </top>
      <bottom style="hair">
        <color indexed="9"/>
      </bottom>
      <diagonal/>
    </border>
    <border>
      <left style="hair">
        <color indexed="9"/>
      </left>
      <right style="hair">
        <color indexed="9"/>
      </right>
      <top/>
      <bottom style="hair">
        <color indexed="9"/>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8"/>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hair">
        <color indexed="8"/>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hair">
        <color indexed="8"/>
      </top>
      <bottom style="double">
        <color indexed="64"/>
      </bottom>
      <diagonal/>
    </border>
    <border>
      <left style="thin">
        <color indexed="64"/>
      </left>
      <right style="hair">
        <color indexed="8"/>
      </right>
      <top style="hair">
        <color indexed="8"/>
      </top>
      <bottom style="double">
        <color indexed="64"/>
      </bottom>
      <diagonal/>
    </border>
    <border>
      <left/>
      <right style="hair">
        <color indexed="8"/>
      </right>
      <top style="hair">
        <color indexed="8"/>
      </top>
      <bottom style="double">
        <color indexed="64"/>
      </bottom>
      <diagonal/>
    </border>
    <border>
      <left style="hair">
        <color indexed="8"/>
      </left>
      <right style="thin">
        <color indexed="64"/>
      </right>
      <top style="hair">
        <color indexed="8"/>
      </top>
      <bottom style="double">
        <color indexed="64"/>
      </bottom>
      <diagonal/>
    </border>
    <border>
      <left style="thin">
        <color indexed="64"/>
      </left>
      <right style="thin">
        <color indexed="64"/>
      </right>
      <top style="double">
        <color indexed="64"/>
      </top>
      <bottom style="hair">
        <color indexed="8"/>
      </bottom>
      <diagonal/>
    </border>
    <border>
      <left style="thin">
        <color indexed="64"/>
      </left>
      <right style="hair">
        <color indexed="8"/>
      </right>
      <top style="double">
        <color indexed="64"/>
      </top>
      <bottom style="hair">
        <color indexed="8"/>
      </bottom>
      <diagonal/>
    </border>
    <border>
      <left/>
      <right style="hair">
        <color indexed="8"/>
      </right>
      <top style="double">
        <color indexed="64"/>
      </top>
      <bottom style="hair">
        <color indexed="8"/>
      </bottom>
      <diagonal/>
    </border>
    <border>
      <left style="hair">
        <color indexed="8"/>
      </left>
      <right style="thin">
        <color indexed="64"/>
      </right>
      <top style="double">
        <color indexed="64"/>
      </top>
      <bottom style="hair">
        <color indexed="8"/>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top/>
      <bottom/>
      <diagonal/>
    </border>
    <border>
      <left/>
      <right/>
      <top style="hair">
        <color indexed="64"/>
      </top>
      <bottom/>
      <diagonal/>
    </border>
    <border>
      <left/>
      <right style="medium">
        <color indexed="64"/>
      </right>
      <top style="medium">
        <color indexed="64"/>
      </top>
      <bottom style="medium">
        <color indexed="64"/>
      </bottom>
      <diagonal/>
    </border>
    <border>
      <left style="hair">
        <color indexed="9"/>
      </left>
      <right style="hair">
        <color indexed="9"/>
      </right>
      <top style="hair">
        <color indexed="9"/>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86">
    <xf numFmtId="0" fontId="0" fillId="0" borderId="0"/>
    <xf numFmtId="0" fontId="82" fillId="0" borderId="0">
      <alignment horizontal="justify" wrapText="1"/>
    </xf>
    <xf numFmtId="0" fontId="83" fillId="0" borderId="0">
      <alignment horizontal="justify" wrapText="1"/>
    </xf>
    <xf numFmtId="0" fontId="85" fillId="0" borderId="0" applyAlignment="0">
      <alignment horizontal="left" vertical="center" wrapText="1"/>
      <protection hidden="1"/>
    </xf>
    <xf numFmtId="171" fontId="2" fillId="0" borderId="0"/>
    <xf numFmtId="0" fontId="2" fillId="0" borderId="0" applyFill="0">
      <alignment horizontal="justify" vertical="center" wrapText="1"/>
      <protection hidden="1"/>
    </xf>
    <xf numFmtId="0" fontId="5" fillId="0" borderId="0">
      <alignment horizontal="left" vertical="center" wrapText="1" indent="2"/>
      <protection hidden="1"/>
    </xf>
    <xf numFmtId="0" fontId="2" fillId="0" borderId="0" applyFont="0" applyAlignment="0">
      <alignment horizontal="left" vertical="center" wrapText="1" indent="3"/>
      <protection hidden="1"/>
    </xf>
    <xf numFmtId="0" fontId="3" fillId="0" borderId="0" applyFont="0" applyAlignment="0">
      <alignment horizontal="justify" vertical="center" wrapText="1"/>
      <protection hidden="1"/>
    </xf>
    <xf numFmtId="0" fontId="2" fillId="0" borderId="0">
      <alignment horizontal="left" vertical="center" wrapText="1" indent="2"/>
      <protection hidden="1"/>
    </xf>
    <xf numFmtId="0" fontId="5" fillId="0" borderId="0">
      <alignment horizontal="left" vertical="center" wrapText="1" indent="4"/>
      <protection hidden="1"/>
    </xf>
    <xf numFmtId="0" fontId="2" fillId="0" borderId="0">
      <alignment horizontal="left" vertical="center" wrapText="1" indent="3"/>
      <protection hidden="1"/>
    </xf>
    <xf numFmtId="171" fontId="2" fillId="0" borderId="0"/>
    <xf numFmtId="171" fontId="3" fillId="6" borderId="0"/>
    <xf numFmtId="0" fontId="4" fillId="7" borderId="0" applyNumberFormat="0" applyFont="0">
      <alignment horizontal="centerContinuous"/>
    </xf>
    <xf numFmtId="0" fontId="4" fillId="7" borderId="0" applyNumberFormat="0" applyFont="0">
      <alignment horizontal="centerContinuous"/>
    </xf>
    <xf numFmtId="0" fontId="4" fillId="7" borderId="0" applyNumberFormat="0" applyFont="0">
      <alignment horizontal="centerContinuous"/>
    </xf>
    <xf numFmtId="0" fontId="5" fillId="8" borderId="1" applyBorder="0"/>
    <xf numFmtId="40" fontId="6" fillId="9" borderId="2" applyNumberFormat="0" applyBorder="0"/>
    <xf numFmtId="0" fontId="7" fillId="10" borderId="0">
      <alignment vertical="center" wrapText="1"/>
      <protection hidden="1"/>
    </xf>
    <xf numFmtId="0" fontId="8" fillId="11" borderId="0"/>
    <xf numFmtId="0" fontId="9" fillId="0" borderId="0" applyFont="0" applyAlignment="0">
      <alignment vertical="center"/>
      <protection hidden="1"/>
    </xf>
    <xf numFmtId="0" fontId="10" fillId="0" borderId="0">
      <alignment horizontal="left" vertical="center" indent="1"/>
      <protection hidden="1"/>
    </xf>
    <xf numFmtId="171" fontId="11" fillId="12" borderId="3">
      <alignment horizontal="left" vertical="center" wrapText="1"/>
      <protection locked="0"/>
    </xf>
    <xf numFmtId="0" fontId="5" fillId="13" borderId="0">
      <alignment horizontal="justify" vertical="center" wrapText="1"/>
      <protection hidden="1"/>
    </xf>
    <xf numFmtId="0" fontId="12" fillId="13" borderId="4">
      <alignment horizontal="left" wrapText="1"/>
      <protection hidden="1"/>
    </xf>
    <xf numFmtId="0" fontId="13" fillId="13" borderId="0">
      <alignment horizontal="left" vertical="top"/>
      <protection hidden="1"/>
    </xf>
    <xf numFmtId="0" fontId="14" fillId="4" borderId="0" applyNumberFormat="0" applyFont="0" applyBorder="0" applyAlignment="0" applyProtection="0"/>
    <xf numFmtId="0" fontId="15" fillId="14" borderId="5" applyNumberFormat="0" applyBorder="0"/>
    <xf numFmtId="0" fontId="14" fillId="15" borderId="6"/>
    <xf numFmtId="0" fontId="11" fillId="12" borderId="3">
      <alignment horizontal="left" vertical="center" wrapText="1"/>
      <protection locked="0"/>
    </xf>
    <xf numFmtId="179" fontId="11" fillId="12" borderId="3">
      <alignment horizontal="left" vertical="center" wrapText="1"/>
      <protection locked="0"/>
    </xf>
    <xf numFmtId="181" fontId="4" fillId="16" borderId="3">
      <alignment horizontal="left" vertical="center" wrapText="1"/>
      <protection hidden="1"/>
    </xf>
    <xf numFmtId="181" fontId="11" fillId="12" borderId="3">
      <alignment horizontal="left" vertical="center" wrapText="1"/>
      <protection locked="0"/>
    </xf>
    <xf numFmtId="182" fontId="11" fillId="12" borderId="3">
      <alignment horizontal="left" vertical="center" wrapText="1"/>
      <protection locked="0"/>
    </xf>
    <xf numFmtId="0" fontId="16" fillId="12" borderId="7" applyBorder="0">
      <alignment horizontal="left" vertical="center"/>
      <protection locked="0"/>
    </xf>
    <xf numFmtId="0" fontId="16" fillId="12" borderId="7">
      <alignment horizontal="left" vertical="center"/>
      <protection locked="0"/>
    </xf>
    <xf numFmtId="0" fontId="16" fillId="12" borderId="7">
      <alignment horizontal="left" vertical="center"/>
      <protection locked="0"/>
    </xf>
    <xf numFmtId="0" fontId="17" fillId="12" borderId="3">
      <alignment horizontal="left" vertical="center" wrapText="1"/>
      <protection hidden="1"/>
    </xf>
    <xf numFmtId="0" fontId="12" fillId="13" borderId="4" applyBorder="0" applyAlignment="0">
      <alignment horizontal="left" wrapText="1"/>
      <protection hidden="1"/>
    </xf>
    <xf numFmtId="0" fontId="17" fillId="12" borderId="3">
      <alignment horizontal="left" vertical="center" wrapText="1"/>
      <protection hidden="1"/>
    </xf>
    <xf numFmtId="0" fontId="4" fillId="13" borderId="0">
      <alignment horizontal="left" vertical="center" wrapText="1"/>
      <protection hidden="1"/>
    </xf>
    <xf numFmtId="0" fontId="10" fillId="13" borderId="0">
      <alignment horizontal="left" vertical="center" wrapText="1"/>
      <protection hidden="1"/>
    </xf>
    <xf numFmtId="0" fontId="18" fillId="17" borderId="0">
      <alignment horizontal="centerContinuous" vertical="center"/>
      <protection hidden="1"/>
    </xf>
    <xf numFmtId="0" fontId="2" fillId="0" borderId="0">
      <protection hidden="1"/>
    </xf>
    <xf numFmtId="40" fontId="19" fillId="18" borderId="0" applyNumberFormat="0" applyFont="0">
      <alignment horizontal="centerContinuous" vertical="center"/>
    </xf>
    <xf numFmtId="168" fontId="5" fillId="0" borderId="0" applyFont="0" applyFill="0" applyBorder="0" applyAlignment="0" applyProtection="0"/>
    <xf numFmtId="0" fontId="3" fillId="6" borderId="0"/>
    <xf numFmtId="173" fontId="2" fillId="0" borderId="0">
      <alignment horizontal="left"/>
    </xf>
    <xf numFmtId="174" fontId="2" fillId="0" borderId="0">
      <alignment horizontal="left"/>
    </xf>
    <xf numFmtId="0" fontId="2" fillId="0" borderId="0"/>
    <xf numFmtId="0" fontId="5" fillId="19" borderId="0"/>
    <xf numFmtId="0" fontId="5" fillId="8" borderId="0"/>
    <xf numFmtId="164" fontId="5" fillId="0" borderId="0" applyFont="0" applyFill="0" applyBorder="0" applyAlignment="0" applyProtection="0"/>
    <xf numFmtId="0" fontId="86" fillId="0" borderId="0">
      <alignment horizontal="justify" wrapText="1"/>
    </xf>
    <xf numFmtId="0" fontId="44" fillId="0" borderId="8">
      <alignment horizontal="fill" vertical="center"/>
      <protection hidden="1"/>
    </xf>
    <xf numFmtId="0" fontId="14" fillId="20" borderId="0"/>
    <xf numFmtId="0" fontId="14" fillId="21" borderId="9"/>
    <xf numFmtId="0" fontId="14" fillId="22" borderId="9"/>
    <xf numFmtId="0" fontId="14" fillId="23" borderId="0"/>
    <xf numFmtId="0" fontId="15" fillId="24" borderId="10"/>
    <xf numFmtId="0" fontId="20" fillId="25" borderId="9"/>
    <xf numFmtId="0" fontId="14" fillId="26" borderId="11"/>
    <xf numFmtId="0" fontId="14" fillId="3" borderId="0" applyNumberFormat="0" applyFont="0" applyBorder="0"/>
    <xf numFmtId="0" fontId="21" fillId="19" borderId="0"/>
    <xf numFmtId="0" fontId="22" fillId="2" borderId="0"/>
    <xf numFmtId="9" fontId="5" fillId="0" borderId="0" applyFont="0" applyFill="0" applyBorder="0" applyAlignment="0" applyProtection="0"/>
    <xf numFmtId="0" fontId="14" fillId="5" borderId="0"/>
    <xf numFmtId="0" fontId="14" fillId="27" borderId="0" applyNumberFormat="0" applyFont="0" applyBorder="0" applyAlignment="0" applyProtection="0"/>
    <xf numFmtId="0" fontId="14" fillId="27" borderId="0"/>
    <xf numFmtId="0" fontId="14" fillId="4" borderId="0"/>
    <xf numFmtId="0" fontId="2" fillId="0" borderId="0"/>
    <xf numFmtId="0" fontId="2" fillId="0" borderId="0"/>
    <xf numFmtId="0" fontId="2" fillId="0" borderId="0"/>
    <xf numFmtId="0" fontId="5" fillId="0" borderId="0"/>
    <xf numFmtId="0" fontId="5" fillId="0" borderId="0"/>
    <xf numFmtId="0" fontId="2" fillId="0" borderId="0"/>
    <xf numFmtId="0" fontId="5" fillId="0" borderId="0"/>
    <xf numFmtId="0" fontId="2" fillId="0" borderId="0"/>
    <xf numFmtId="0" fontId="14" fillId="7" borderId="0" applyNumberFormat="0" applyFont="0" applyBorder="0" applyAlignment="0" applyProtection="0"/>
    <xf numFmtId="0" fontId="23" fillId="28" borderId="12"/>
    <xf numFmtId="0" fontId="80" fillId="0" borderId="0">
      <alignment horizontal="justify" wrapText="1"/>
    </xf>
    <xf numFmtId="0" fontId="30" fillId="0" borderId="0">
      <alignment horizontal="justify" wrapText="1"/>
    </xf>
    <xf numFmtId="0" fontId="81" fillId="0" borderId="0">
      <alignment horizontal="justify" wrapText="1"/>
    </xf>
    <xf numFmtId="0" fontId="14" fillId="4" borderId="0"/>
    <xf numFmtId="40" fontId="6" fillId="9" borderId="0" applyBorder="0"/>
  </cellStyleXfs>
  <cellXfs count="1328">
    <xf numFmtId="0" fontId="0" fillId="0" borderId="0" xfId="0"/>
    <xf numFmtId="0" fontId="0" fillId="0" borderId="0" xfId="0" applyProtection="1">
      <protection hidden="1"/>
    </xf>
    <xf numFmtId="0" fontId="4" fillId="0" borderId="0" xfId="0" applyFont="1" applyProtection="1">
      <protection hidden="1"/>
    </xf>
    <xf numFmtId="0" fontId="4" fillId="0" borderId="0" xfId="0" applyFont="1" applyFill="1" applyProtection="1">
      <protection hidden="1"/>
    </xf>
    <xf numFmtId="0" fontId="25" fillId="0" borderId="0" xfId="0" applyFont="1" applyProtection="1">
      <protection hidden="1"/>
    </xf>
    <xf numFmtId="0" fontId="0" fillId="29" borderId="0" xfId="0" applyFill="1" applyProtection="1">
      <protection hidden="1"/>
    </xf>
    <xf numFmtId="0" fontId="28" fillId="0" borderId="0" xfId="0" applyFont="1" applyProtection="1">
      <protection hidden="1"/>
    </xf>
    <xf numFmtId="0" fontId="2" fillId="0" borderId="0" xfId="76" applyProtection="1">
      <protection hidden="1"/>
    </xf>
    <xf numFmtId="0" fontId="2" fillId="0" borderId="0" xfId="78" applyProtection="1">
      <protection hidden="1"/>
    </xf>
    <xf numFmtId="0" fontId="18" fillId="30" borderId="0" xfId="0" applyFont="1" applyFill="1" applyBorder="1" applyAlignment="1" applyProtection="1">
      <alignment vertical="center" wrapText="1"/>
      <protection hidden="1"/>
    </xf>
    <xf numFmtId="0" fontId="28" fillId="3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locked="0"/>
    </xf>
    <xf numFmtId="165" fontId="34" fillId="30" borderId="0" xfId="0" applyNumberFormat="1" applyFont="1" applyFill="1" applyBorder="1" applyAlignment="1" applyProtection="1">
      <alignment vertical="center"/>
      <protection hidden="1"/>
    </xf>
    <xf numFmtId="169" fontId="34" fillId="30" borderId="0" xfId="0" applyNumberFormat="1" applyFont="1" applyFill="1" applyBorder="1" applyAlignment="1" applyProtection="1">
      <alignment vertical="center"/>
      <protection hidden="1"/>
    </xf>
    <xf numFmtId="0" fontId="28" fillId="0" borderId="0" xfId="0" applyFont="1" applyBorder="1" applyProtection="1">
      <protection hidden="1"/>
    </xf>
    <xf numFmtId="0" fontId="28" fillId="0" borderId="0" xfId="0" applyFont="1" applyBorder="1" applyAlignment="1" applyProtection="1">
      <alignment vertical="center"/>
      <protection hidden="1"/>
    </xf>
    <xf numFmtId="0" fontId="18" fillId="31" borderId="0" xfId="0" applyFont="1" applyFill="1" applyBorder="1" applyAlignment="1" applyProtection="1">
      <alignment vertical="center" wrapText="1"/>
      <protection hidden="1"/>
    </xf>
    <xf numFmtId="0" fontId="18" fillId="31" borderId="0" xfId="0" applyFont="1" applyFill="1" applyBorder="1" applyAlignment="1" applyProtection="1">
      <alignment vertical="center"/>
      <protection hidden="1"/>
    </xf>
    <xf numFmtId="0" fontId="26" fillId="10" borderId="0" xfId="0" applyFont="1" applyFill="1" applyBorder="1" applyAlignment="1" applyProtection="1">
      <alignment horizontal="center" vertical="center" wrapText="1"/>
      <protection hidden="1"/>
    </xf>
    <xf numFmtId="0" fontId="26" fillId="10" borderId="0" xfId="0" applyFont="1" applyFill="1" applyBorder="1" applyAlignment="1" applyProtection="1">
      <alignment horizontal="center" vertical="center"/>
      <protection hidden="1"/>
    </xf>
    <xf numFmtId="0" fontId="28" fillId="29" borderId="0" xfId="0" applyFont="1" applyFill="1" applyBorder="1" applyAlignment="1" applyProtection="1">
      <alignment vertical="center"/>
      <protection hidden="1"/>
    </xf>
    <xf numFmtId="167" fontId="28" fillId="0" borderId="13" xfId="0" applyNumberFormat="1" applyFont="1" applyFill="1" applyBorder="1" applyAlignment="1" applyProtection="1">
      <alignment horizontal="center" vertical="center"/>
      <protection hidden="1"/>
    </xf>
    <xf numFmtId="169" fontId="28" fillId="0" borderId="14" xfId="0" applyNumberFormat="1" applyFont="1" applyFill="1" applyBorder="1" applyAlignment="1" applyProtection="1">
      <alignment vertical="center"/>
      <protection hidden="1"/>
    </xf>
    <xf numFmtId="169" fontId="28" fillId="16" borderId="15" xfId="0" applyNumberFormat="1" applyFont="1" applyFill="1" applyBorder="1" applyAlignment="1" applyProtection="1">
      <alignment vertical="center"/>
      <protection locked="0"/>
    </xf>
    <xf numFmtId="3" fontId="28" fillId="0" borderId="16" xfId="0" applyNumberFormat="1" applyFont="1" applyFill="1" applyBorder="1" applyAlignment="1" applyProtection="1">
      <alignment vertical="center"/>
      <protection hidden="1"/>
    </xf>
    <xf numFmtId="3" fontId="28" fillId="16" borderId="15" xfId="0" applyNumberFormat="1" applyFont="1" applyFill="1" applyBorder="1" applyAlignment="1" applyProtection="1">
      <alignment vertical="center"/>
      <protection locked="0"/>
    </xf>
    <xf numFmtId="166" fontId="28" fillId="16" borderId="15" xfId="0" applyNumberFormat="1" applyFont="1" applyFill="1" applyBorder="1" applyAlignment="1" applyProtection="1">
      <alignment vertical="center"/>
      <protection locked="0"/>
    </xf>
    <xf numFmtId="172" fontId="28" fillId="0" borderId="13" xfId="0" applyNumberFormat="1" applyFont="1" applyFill="1" applyBorder="1" applyAlignment="1" applyProtection="1">
      <alignment horizontal="center" vertical="center"/>
      <protection hidden="1"/>
    </xf>
    <xf numFmtId="3" fontId="28" fillId="0" borderId="0" xfId="0" applyNumberFormat="1" applyFont="1" applyFill="1" applyBorder="1" applyAlignment="1" applyProtection="1">
      <alignment vertical="center"/>
      <protection hidden="1"/>
    </xf>
    <xf numFmtId="0" fontId="36" fillId="32" borderId="0" xfId="0" applyFont="1" applyFill="1" applyBorder="1" applyAlignment="1" applyProtection="1">
      <alignment vertical="center"/>
      <protection hidden="1"/>
    </xf>
    <xf numFmtId="0" fontId="26" fillId="10" borderId="0" xfId="0" applyFont="1" applyFill="1" applyBorder="1" applyAlignment="1" applyProtection="1">
      <alignment vertical="center"/>
      <protection hidden="1"/>
    </xf>
    <xf numFmtId="3" fontId="26" fillId="10" borderId="0" xfId="0" applyNumberFormat="1" applyFont="1" applyFill="1" applyBorder="1" applyAlignment="1" applyProtection="1">
      <alignment horizontal="center" vertical="center"/>
      <protection hidden="1"/>
    </xf>
    <xf numFmtId="165" fontId="34" fillId="0" borderId="0" xfId="0" applyNumberFormat="1" applyFont="1" applyBorder="1" applyAlignment="1" applyProtection="1">
      <alignment vertical="center"/>
      <protection hidden="1"/>
    </xf>
    <xf numFmtId="0" fontId="26" fillId="29" borderId="0" xfId="0" applyFont="1" applyFill="1" applyBorder="1" applyAlignment="1" applyProtection="1">
      <alignment vertical="center"/>
      <protection hidden="1"/>
    </xf>
    <xf numFmtId="170" fontId="28" fillId="0" borderId="13" xfId="0" applyNumberFormat="1" applyFont="1" applyFill="1" applyBorder="1" applyAlignment="1" applyProtection="1">
      <alignment vertical="center"/>
      <protection hidden="1"/>
    </xf>
    <xf numFmtId="170" fontId="28" fillId="0" borderId="17" xfId="0" applyNumberFormat="1" applyFont="1" applyFill="1" applyBorder="1" applyAlignment="1" applyProtection="1">
      <alignment vertical="center"/>
      <protection hidden="1"/>
    </xf>
    <xf numFmtId="0" fontId="26" fillId="32" borderId="0" xfId="0" applyFont="1" applyFill="1" applyBorder="1" applyAlignment="1" applyProtection="1">
      <alignment vertical="center"/>
      <protection hidden="1"/>
    </xf>
    <xf numFmtId="3" fontId="36" fillId="29" borderId="0" xfId="0" applyNumberFormat="1" applyFont="1" applyFill="1" applyBorder="1" applyAlignment="1" applyProtection="1">
      <alignment horizontal="left" vertical="center"/>
      <protection hidden="1"/>
    </xf>
    <xf numFmtId="169" fontId="28" fillId="0" borderId="13" xfId="0" applyNumberFormat="1" applyFont="1" applyFill="1" applyBorder="1" applyAlignment="1" applyProtection="1">
      <alignment vertical="center"/>
      <protection hidden="1"/>
    </xf>
    <xf numFmtId="169" fontId="34" fillId="0" borderId="0" xfId="0" applyNumberFormat="1" applyFont="1" applyBorder="1" applyAlignment="1" applyProtection="1">
      <alignment vertical="center"/>
      <protection hidden="1"/>
    </xf>
    <xf numFmtId="3" fontId="28" fillId="29" borderId="0" xfId="0" applyNumberFormat="1" applyFont="1" applyFill="1" applyBorder="1" applyAlignment="1" applyProtection="1">
      <alignment horizontal="left" vertical="center"/>
      <protection hidden="1"/>
    </xf>
    <xf numFmtId="3" fontId="36" fillId="32" borderId="0" xfId="0" applyNumberFormat="1" applyFont="1" applyFill="1" applyBorder="1" applyAlignment="1" applyProtection="1">
      <alignment horizontal="left" vertical="center"/>
      <protection hidden="1"/>
    </xf>
    <xf numFmtId="0" fontId="26" fillId="11" borderId="0" xfId="0" applyFont="1" applyFill="1" applyBorder="1" applyAlignment="1" applyProtection="1">
      <alignment vertical="center"/>
      <protection hidden="1"/>
    </xf>
    <xf numFmtId="3" fontId="36" fillId="11" borderId="0" xfId="0" applyNumberFormat="1" applyFont="1" applyFill="1" applyBorder="1" applyAlignment="1" applyProtection="1">
      <alignment horizontal="center" vertical="center"/>
      <protection hidden="1"/>
    </xf>
    <xf numFmtId="169" fontId="36" fillId="33" borderId="15" xfId="0" applyNumberFormat="1" applyFont="1" applyFill="1" applyBorder="1" applyAlignment="1" applyProtection="1">
      <alignment vertical="center"/>
      <protection locked="0"/>
    </xf>
    <xf numFmtId="169" fontId="28" fillId="0" borderId="0" xfId="0" applyNumberFormat="1" applyFont="1" applyBorder="1" applyAlignment="1" applyProtection="1">
      <alignment vertical="center"/>
      <protection hidden="1"/>
    </xf>
    <xf numFmtId="0" fontId="28" fillId="29" borderId="0" xfId="0" applyFont="1" applyFill="1" applyBorder="1" applyAlignment="1" applyProtection="1">
      <alignment horizontal="left" vertical="center"/>
      <protection hidden="1"/>
    </xf>
    <xf numFmtId="0" fontId="28" fillId="29" borderId="0" xfId="0" applyFont="1" applyFill="1" applyBorder="1" applyAlignment="1" applyProtection="1">
      <alignment horizontal="centerContinuous" vertical="center"/>
      <protection hidden="1"/>
    </xf>
    <xf numFmtId="169" fontId="28" fillId="0" borderId="17" xfId="0" applyNumberFormat="1" applyFont="1" applyFill="1" applyBorder="1" applyAlignment="1" applyProtection="1">
      <alignment vertical="center"/>
      <protection hidden="1"/>
    </xf>
    <xf numFmtId="169" fontId="36" fillId="34" borderId="15" xfId="0" applyNumberFormat="1" applyFont="1" applyFill="1" applyBorder="1" applyAlignment="1" applyProtection="1">
      <alignment vertical="center"/>
      <protection locked="0"/>
    </xf>
    <xf numFmtId="0" fontId="28" fillId="29" borderId="0" xfId="0" applyFont="1" applyFill="1" applyBorder="1" applyAlignment="1" applyProtection="1">
      <alignment horizontal="center" vertical="center"/>
      <protection hidden="1"/>
    </xf>
    <xf numFmtId="3" fontId="26" fillId="10" borderId="0" xfId="0" applyNumberFormat="1" applyFont="1" applyFill="1" applyBorder="1" applyAlignment="1" applyProtection="1">
      <alignment vertical="center"/>
      <protection hidden="1"/>
    </xf>
    <xf numFmtId="3" fontId="28" fillId="29" borderId="0" xfId="0" applyNumberFormat="1"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6" borderId="0" xfId="0" applyFont="1" applyFill="1" applyBorder="1" applyAlignment="1" applyProtection="1">
      <alignment vertical="center"/>
      <protection hidden="1"/>
    </xf>
    <xf numFmtId="169" fontId="28" fillId="0" borderId="18" xfId="0" applyNumberFormat="1" applyFont="1" applyFill="1" applyBorder="1" applyAlignment="1" applyProtection="1">
      <alignment vertical="center"/>
      <protection hidden="1"/>
    </xf>
    <xf numFmtId="0" fontId="28" fillId="0" borderId="0" xfId="0" applyFont="1" applyFill="1" applyBorder="1" applyProtection="1">
      <protection hidden="1"/>
    </xf>
    <xf numFmtId="0" fontId="28" fillId="1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6" borderId="0" xfId="0" applyFont="1" applyFill="1" applyBorder="1" applyAlignment="1" applyProtection="1">
      <alignment vertical="center"/>
      <protection hidden="1"/>
    </xf>
    <xf numFmtId="0" fontId="26" fillId="6" borderId="0" xfId="0" applyFont="1" applyFill="1" applyBorder="1" applyAlignment="1" applyProtection="1">
      <alignment horizontal="center" vertical="center"/>
      <protection hidden="1"/>
    </xf>
    <xf numFmtId="0" fontId="28" fillId="29" borderId="0" xfId="0" applyFont="1" applyFill="1" applyBorder="1" applyAlignment="1" applyProtection="1">
      <alignment horizontal="right" vertical="center"/>
      <protection hidden="1"/>
    </xf>
    <xf numFmtId="3" fontId="26" fillId="32" borderId="0" xfId="0" applyNumberFormat="1" applyFont="1" applyFill="1" applyBorder="1" applyAlignment="1" applyProtection="1">
      <alignment vertical="center"/>
      <protection hidden="1"/>
    </xf>
    <xf numFmtId="0" fontId="0" fillId="30" borderId="0" xfId="0" applyFill="1"/>
    <xf numFmtId="0" fontId="26" fillId="10" borderId="0" xfId="0" applyFont="1" applyFill="1" applyBorder="1" applyProtection="1">
      <protection hidden="1"/>
    </xf>
    <xf numFmtId="0" fontId="28" fillId="0" borderId="0" xfId="0" applyFont="1" applyBorder="1" applyProtection="1">
      <protection locked="0"/>
    </xf>
    <xf numFmtId="0" fontId="28" fillId="29" borderId="0" xfId="0" applyFont="1" applyFill="1" applyBorder="1" applyAlignment="1" applyProtection="1">
      <protection hidden="1"/>
    </xf>
    <xf numFmtId="3" fontId="28" fillId="0" borderId="13" xfId="53" applyNumberFormat="1" applyFont="1" applyFill="1" applyBorder="1" applyAlignment="1" applyProtection="1">
      <alignment horizontal="center"/>
      <protection hidden="1"/>
    </xf>
    <xf numFmtId="3" fontId="36" fillId="10" borderId="0" xfId="0" applyNumberFormat="1" applyFont="1" applyFill="1" applyBorder="1" applyAlignment="1" applyProtection="1">
      <protection hidden="1"/>
    </xf>
    <xf numFmtId="3" fontId="28" fillId="0" borderId="13" xfId="0" applyNumberFormat="1" applyFont="1" applyFill="1" applyBorder="1" applyAlignment="1" applyProtection="1">
      <alignment horizontal="centerContinuous"/>
      <protection hidden="1"/>
    </xf>
    <xf numFmtId="3" fontId="26" fillId="29" borderId="0" xfId="0" applyNumberFormat="1" applyFont="1" applyFill="1" applyBorder="1" applyAlignment="1" applyProtection="1">
      <protection hidden="1"/>
    </xf>
    <xf numFmtId="4" fontId="28" fillId="0" borderId="13" xfId="0" applyNumberFormat="1" applyFont="1" applyFill="1" applyBorder="1" applyAlignment="1" applyProtection="1">
      <alignment horizontal="center"/>
      <protection hidden="1"/>
    </xf>
    <xf numFmtId="186" fontId="28" fillId="0" borderId="13" xfId="0" applyNumberFormat="1" applyFont="1" applyFill="1" applyBorder="1" applyProtection="1">
      <protection hidden="1"/>
    </xf>
    <xf numFmtId="3" fontId="28" fillId="29" borderId="0" xfId="0" applyNumberFormat="1" applyFont="1" applyFill="1" applyBorder="1" applyAlignment="1" applyProtection="1">
      <alignment vertical="justify"/>
      <protection hidden="1"/>
    </xf>
    <xf numFmtId="0" fontId="28" fillId="10" borderId="0" xfId="0" applyFont="1" applyFill="1" applyBorder="1" applyProtection="1">
      <protection hidden="1"/>
    </xf>
    <xf numFmtId="0" fontId="26" fillId="10" borderId="0" xfId="0" applyFont="1" applyFill="1" applyBorder="1" applyAlignment="1" applyProtection="1">
      <alignment horizontal="center"/>
      <protection hidden="1"/>
    </xf>
    <xf numFmtId="4" fontId="26" fillId="29" borderId="0" xfId="0" applyNumberFormat="1" applyFont="1" applyFill="1" applyBorder="1" applyAlignment="1" applyProtection="1">
      <protection hidden="1"/>
    </xf>
    <xf numFmtId="187" fontId="26" fillId="0" borderId="13" xfId="0" applyNumberFormat="1" applyFont="1" applyFill="1" applyBorder="1" applyAlignment="1" applyProtection="1">
      <alignment horizontal="center"/>
      <protection hidden="1"/>
    </xf>
    <xf numFmtId="191" fontId="26" fillId="0" borderId="13" xfId="0" applyNumberFormat="1" applyFont="1" applyFill="1" applyBorder="1" applyProtection="1">
      <protection hidden="1"/>
    </xf>
    <xf numFmtId="1" fontId="26" fillId="0" borderId="13" xfId="0" applyNumberFormat="1" applyFont="1" applyFill="1" applyBorder="1" applyAlignment="1" applyProtection="1">
      <alignment horizontal="center"/>
      <protection hidden="1"/>
    </xf>
    <xf numFmtId="191" fontId="28" fillId="0" borderId="13" xfId="0" applyNumberFormat="1" applyFont="1" applyFill="1" applyBorder="1" applyAlignment="1" applyProtection="1">
      <alignment horizontal="centerContinuous"/>
      <protection hidden="1"/>
    </xf>
    <xf numFmtId="3" fontId="26" fillId="10" borderId="0" xfId="0" applyNumberFormat="1" applyFont="1" applyFill="1" applyBorder="1" applyAlignment="1" applyProtection="1">
      <protection hidden="1"/>
    </xf>
    <xf numFmtId="3" fontId="26" fillId="10" borderId="0" xfId="0" applyNumberFormat="1" applyFont="1" applyFill="1" applyBorder="1" applyAlignment="1" applyProtection="1">
      <alignment horizontal="center"/>
      <protection hidden="1"/>
    </xf>
    <xf numFmtId="3" fontId="28" fillId="0" borderId="0" xfId="0" applyNumberFormat="1" applyFont="1" applyFill="1" applyBorder="1" applyProtection="1">
      <protection hidden="1"/>
    </xf>
    <xf numFmtId="3" fontId="28" fillId="29" borderId="0" xfId="0" applyNumberFormat="1" applyFont="1" applyFill="1" applyBorder="1" applyProtection="1">
      <protection hidden="1"/>
    </xf>
    <xf numFmtId="192" fontId="28" fillId="0" borderId="13" xfId="0" applyNumberFormat="1" applyFont="1" applyFill="1" applyBorder="1" applyAlignment="1" applyProtection="1">
      <alignment horizontal="centerContinuous"/>
      <protection hidden="1"/>
    </xf>
    <xf numFmtId="193" fontId="28" fillId="0" borderId="17" xfId="0" applyNumberFormat="1" applyFont="1" applyFill="1" applyBorder="1" applyAlignment="1" applyProtection="1">
      <alignment horizontal="centerContinuous"/>
      <protection hidden="1"/>
    </xf>
    <xf numFmtId="0" fontId="26" fillId="10" borderId="0" xfId="0" applyFont="1" applyFill="1" applyBorder="1" applyAlignment="1" applyProtection="1">
      <protection hidden="1"/>
    </xf>
    <xf numFmtId="3" fontId="28" fillId="29" borderId="0" xfId="0" applyNumberFormat="1" applyFont="1" applyFill="1" applyBorder="1" applyAlignment="1" applyProtection="1">
      <protection hidden="1"/>
    </xf>
    <xf numFmtId="181" fontId="28" fillId="0" borderId="13" xfId="66" applyNumberFormat="1" applyFont="1" applyFill="1" applyBorder="1" applyAlignment="1" applyProtection="1">
      <alignment horizontal="centerContinuous"/>
      <protection hidden="1"/>
    </xf>
    <xf numFmtId="184" fontId="26" fillId="0" borderId="13" xfId="0" applyNumberFormat="1" applyFont="1" applyFill="1" applyBorder="1" applyProtection="1">
      <protection hidden="1"/>
    </xf>
    <xf numFmtId="191" fontId="28" fillId="0" borderId="13" xfId="0" applyNumberFormat="1" applyFont="1" applyFill="1" applyBorder="1" applyAlignment="1" applyProtection="1">
      <protection hidden="1"/>
    </xf>
    <xf numFmtId="3" fontId="28" fillId="0" borderId="0" xfId="0" applyNumberFormat="1" applyFont="1" applyFill="1" applyBorder="1" applyAlignment="1" applyProtection="1">
      <alignment horizontal="right"/>
      <protection hidden="1"/>
    </xf>
    <xf numFmtId="185" fontId="28" fillId="0" borderId="13" xfId="0" applyNumberFormat="1" applyFont="1" applyFill="1" applyBorder="1" applyProtection="1">
      <protection hidden="1"/>
    </xf>
    <xf numFmtId="191" fontId="28" fillId="0" borderId="19" xfId="0" applyNumberFormat="1" applyFont="1" applyFill="1" applyBorder="1" applyAlignment="1" applyProtection="1">
      <protection hidden="1"/>
    </xf>
    <xf numFmtId="0" fontId="28" fillId="0" borderId="13" xfId="0" applyFont="1" applyFill="1" applyBorder="1" applyProtection="1">
      <protection hidden="1"/>
    </xf>
    <xf numFmtId="191" fontId="28" fillId="0" borderId="13" xfId="0" applyNumberFormat="1" applyFont="1" applyFill="1" applyBorder="1" applyProtection="1">
      <protection hidden="1"/>
    </xf>
    <xf numFmtId="191" fontId="34" fillId="0" borderId="0" xfId="0" applyNumberFormat="1" applyFont="1" applyBorder="1" applyProtection="1">
      <protection hidden="1"/>
    </xf>
    <xf numFmtId="3" fontId="28" fillId="0" borderId="13" xfId="0" applyNumberFormat="1" applyFont="1" applyFill="1" applyBorder="1" applyProtection="1">
      <protection hidden="1"/>
    </xf>
    <xf numFmtId="184" fontId="26" fillId="0" borderId="19" xfId="0" applyNumberFormat="1" applyFont="1" applyFill="1" applyBorder="1" applyProtection="1">
      <protection hidden="1"/>
    </xf>
    <xf numFmtId="0" fontId="26" fillId="0" borderId="13" xfId="0" applyFont="1" applyFill="1" applyBorder="1" applyProtection="1">
      <protection hidden="1"/>
    </xf>
    <xf numFmtId="184" fontId="28" fillId="0" borderId="13" xfId="0" applyNumberFormat="1" applyFont="1" applyFill="1" applyBorder="1" applyProtection="1">
      <protection hidden="1"/>
    </xf>
    <xf numFmtId="3" fontId="36" fillId="0" borderId="13" xfId="0" applyNumberFormat="1" applyFont="1" applyFill="1" applyBorder="1" applyProtection="1">
      <protection hidden="1"/>
    </xf>
    <xf numFmtId="170" fontId="28" fillId="0" borderId="13" xfId="0" applyNumberFormat="1" applyFont="1" applyFill="1" applyBorder="1" applyProtection="1">
      <protection hidden="1"/>
    </xf>
    <xf numFmtId="3" fontId="28" fillId="0" borderId="0" xfId="0" applyNumberFormat="1" applyFont="1" applyFill="1" applyBorder="1" applyAlignment="1" applyProtection="1">
      <alignment horizontal="center"/>
      <protection hidden="1"/>
    </xf>
    <xf numFmtId="3" fontId="28" fillId="0" borderId="0" xfId="0" applyNumberFormat="1" applyFont="1" applyFill="1" applyBorder="1" applyAlignment="1" applyProtection="1">
      <protection hidden="1"/>
    </xf>
    <xf numFmtId="3" fontId="28" fillId="10" borderId="0" xfId="0" applyNumberFormat="1" applyFont="1" applyFill="1" applyBorder="1" applyProtection="1">
      <protection hidden="1"/>
    </xf>
    <xf numFmtId="3" fontId="26" fillId="10" borderId="0" xfId="0" applyNumberFormat="1" applyFont="1" applyFill="1" applyBorder="1" applyProtection="1">
      <protection hidden="1"/>
    </xf>
    <xf numFmtId="3" fontId="26" fillId="10" borderId="0" xfId="0" applyNumberFormat="1" applyFont="1" applyFill="1" applyBorder="1" applyAlignment="1" applyProtection="1">
      <alignment horizontal="centerContinuous"/>
      <protection hidden="1"/>
    </xf>
    <xf numFmtId="169" fontId="28" fillId="16" borderId="15" xfId="0" applyNumberFormat="1" applyFont="1" applyFill="1" applyBorder="1" applyProtection="1">
      <protection locked="0"/>
    </xf>
    <xf numFmtId="3" fontId="28" fillId="29" borderId="0" xfId="0" applyNumberFormat="1" applyFont="1" applyFill="1" applyBorder="1" applyAlignment="1" applyProtection="1">
      <alignment horizontal="left"/>
      <protection hidden="1"/>
    </xf>
    <xf numFmtId="3" fontId="26" fillId="32" borderId="0" xfId="0" applyNumberFormat="1" applyFont="1" applyFill="1" applyBorder="1" applyProtection="1">
      <protection hidden="1"/>
    </xf>
    <xf numFmtId="169" fontId="28" fillId="35" borderId="15" xfId="0" applyNumberFormat="1" applyFont="1" applyFill="1" applyBorder="1" applyProtection="1">
      <protection locked="0"/>
    </xf>
    <xf numFmtId="3" fontId="26" fillId="0" borderId="0" xfId="0" applyNumberFormat="1" applyFont="1" applyFill="1" applyBorder="1" applyProtection="1">
      <protection hidden="1"/>
    </xf>
    <xf numFmtId="3" fontId="36" fillId="32" borderId="0" xfId="0" applyNumberFormat="1" applyFont="1" applyFill="1" applyBorder="1" applyProtection="1">
      <protection hidden="1"/>
    </xf>
    <xf numFmtId="169" fontId="36" fillId="32" borderId="0" xfId="0" applyNumberFormat="1" applyFont="1" applyFill="1" applyBorder="1" applyProtection="1">
      <protection hidden="1"/>
    </xf>
    <xf numFmtId="4" fontId="28" fillId="0" borderId="14" xfId="0" applyNumberFormat="1" applyFont="1" applyFill="1" applyBorder="1" applyProtection="1">
      <protection hidden="1"/>
    </xf>
    <xf numFmtId="169" fontId="26" fillId="16" borderId="15" xfId="0" applyNumberFormat="1" applyFont="1" applyFill="1" applyBorder="1" applyProtection="1">
      <protection locked="0"/>
    </xf>
    <xf numFmtId="189" fontId="28" fillId="0" borderId="14" xfId="0" applyNumberFormat="1" applyFont="1" applyFill="1" applyBorder="1" applyProtection="1">
      <protection hidden="1"/>
    </xf>
    <xf numFmtId="3" fontId="26" fillId="6" borderId="0" xfId="0" applyNumberFormat="1" applyFont="1" applyFill="1" applyBorder="1" applyAlignment="1" applyProtection="1">
      <alignment vertical="center"/>
      <protection hidden="1"/>
    </xf>
    <xf numFmtId="3" fontId="26" fillId="0" borderId="13" xfId="0" applyNumberFormat="1" applyFont="1" applyFill="1" applyBorder="1" applyAlignment="1" applyProtection="1">
      <alignment horizontal="center"/>
      <protection hidden="1"/>
    </xf>
    <xf numFmtId="3" fontId="36" fillId="0" borderId="0" xfId="0" applyNumberFormat="1" applyFont="1" applyFill="1" applyBorder="1" applyProtection="1">
      <protection hidden="1"/>
    </xf>
    <xf numFmtId="3" fontId="28" fillId="10" borderId="0" xfId="0" applyNumberFormat="1" applyFont="1" applyFill="1" applyBorder="1" applyAlignment="1" applyProtection="1">
      <alignment horizontal="center"/>
      <protection hidden="1"/>
    </xf>
    <xf numFmtId="198" fontId="28" fillId="0" borderId="13" xfId="0" applyNumberFormat="1" applyFont="1" applyFill="1" applyBorder="1" applyProtection="1">
      <protection hidden="1"/>
    </xf>
    <xf numFmtId="3" fontId="26" fillId="0" borderId="13" xfId="0" applyNumberFormat="1" applyFont="1" applyFill="1" applyBorder="1" applyProtection="1">
      <protection hidden="1"/>
    </xf>
    <xf numFmtId="196" fontId="28" fillId="0" borderId="14" xfId="0" applyNumberFormat="1" applyFont="1" applyFill="1" applyBorder="1" applyProtection="1">
      <protection hidden="1"/>
    </xf>
    <xf numFmtId="165" fontId="28" fillId="29" borderId="0" xfId="0" applyNumberFormat="1" applyFont="1" applyFill="1" applyBorder="1" applyAlignment="1" applyProtection="1">
      <protection hidden="1"/>
    </xf>
    <xf numFmtId="0" fontId="28" fillId="29" borderId="0" xfId="0" applyFont="1" applyFill="1" applyBorder="1" applyProtection="1">
      <protection hidden="1"/>
    </xf>
    <xf numFmtId="3" fontId="28" fillId="32" borderId="0" xfId="0" applyNumberFormat="1" applyFont="1" applyFill="1" applyBorder="1" applyProtection="1">
      <protection hidden="1"/>
    </xf>
    <xf numFmtId="0" fontId="7" fillId="31" borderId="0" xfId="0" applyFont="1" applyFill="1" applyAlignment="1" applyProtection="1">
      <alignment horizontal="left" vertical="center"/>
      <protection hidden="1"/>
    </xf>
    <xf numFmtId="0" fontId="45" fillId="31" borderId="0" xfId="0" applyFont="1" applyFill="1" applyAlignment="1" applyProtection="1">
      <alignment horizontal="left" vertical="center"/>
      <protection hidden="1"/>
    </xf>
    <xf numFmtId="0" fontId="46" fillId="0" borderId="0" xfId="0" applyFont="1" applyAlignment="1" applyProtection="1">
      <alignment vertical="center"/>
      <protection hidden="1"/>
    </xf>
    <xf numFmtId="0" fontId="25" fillId="0" borderId="0" xfId="0" applyFont="1" applyAlignment="1" applyProtection="1">
      <alignment vertical="center"/>
      <protection hidden="1"/>
    </xf>
    <xf numFmtId="0" fontId="27" fillId="10" borderId="0" xfId="0" applyFont="1" applyFill="1" applyBorder="1" applyAlignment="1" applyProtection="1">
      <alignment vertical="center"/>
      <protection hidden="1"/>
    </xf>
    <xf numFmtId="0" fontId="25" fillId="10" borderId="0" xfId="0" applyFont="1" applyFill="1" applyBorder="1" applyAlignment="1" applyProtection="1">
      <alignment vertical="center"/>
      <protection hidden="1"/>
    </xf>
    <xf numFmtId="1" fontId="28" fillId="36" borderId="13" xfId="0" applyNumberFormat="1" applyFont="1" applyFill="1" applyBorder="1" applyAlignment="1" applyProtection="1">
      <alignment vertical="center"/>
      <protection hidden="1"/>
    </xf>
    <xf numFmtId="0" fontId="28" fillId="36" borderId="0" xfId="0" applyFont="1" applyFill="1" applyBorder="1" applyAlignment="1" applyProtection="1">
      <alignment vertical="center"/>
      <protection hidden="1"/>
    </xf>
    <xf numFmtId="241" fontId="28" fillId="0" borderId="13" xfId="0" applyNumberFormat="1" applyFont="1" applyFill="1" applyBorder="1" applyAlignment="1" applyProtection="1">
      <alignment vertical="center"/>
      <protection hidden="1"/>
    </xf>
    <xf numFmtId="244" fontId="29" fillId="29" borderId="0" xfId="0" applyNumberFormat="1" applyFont="1" applyFill="1" applyBorder="1" applyAlignment="1" applyProtection="1">
      <alignment horizontal="left" vertical="center"/>
      <protection hidden="1"/>
    </xf>
    <xf numFmtId="245" fontId="29" fillId="0" borderId="13" xfId="0" applyNumberFormat="1" applyFont="1" applyFill="1" applyBorder="1" applyAlignment="1" applyProtection="1">
      <alignment horizontal="center" vertical="center"/>
      <protection hidden="1"/>
    </xf>
    <xf numFmtId="1" fontId="28" fillId="36" borderId="17" xfId="0" applyNumberFormat="1" applyFont="1" applyFill="1" applyBorder="1" applyAlignment="1" applyProtection="1">
      <alignment vertical="center"/>
      <protection hidden="1"/>
    </xf>
    <xf numFmtId="181" fontId="28" fillId="0" borderId="13" xfId="0" applyNumberFormat="1" applyFont="1" applyFill="1" applyBorder="1" applyAlignment="1" applyProtection="1">
      <alignment vertical="center"/>
      <protection hidden="1"/>
    </xf>
    <xf numFmtId="3" fontId="28" fillId="35" borderId="15" xfId="0" applyNumberFormat="1" applyFont="1" applyFill="1" applyBorder="1" applyAlignment="1" applyProtection="1">
      <alignment vertical="center"/>
      <protection locked="0"/>
    </xf>
    <xf numFmtId="0" fontId="26" fillId="36" borderId="0" xfId="0" applyFont="1" applyFill="1" applyBorder="1" applyAlignment="1" applyProtection="1">
      <alignment vertical="center"/>
      <protection hidden="1"/>
    </xf>
    <xf numFmtId="3" fontId="28" fillId="0" borderId="20" xfId="0" applyNumberFormat="1" applyFont="1" applyFill="1" applyBorder="1" applyAlignment="1" applyProtection="1">
      <alignment vertical="center"/>
      <protection hidden="1"/>
    </xf>
    <xf numFmtId="0" fontId="28" fillId="0" borderId="13" xfId="0" applyFont="1" applyFill="1" applyBorder="1" applyAlignment="1" applyProtection="1">
      <alignment vertical="center"/>
      <protection hidden="1"/>
    </xf>
    <xf numFmtId="0" fontId="26" fillId="10" borderId="0" xfId="0" applyFont="1" applyFill="1" applyBorder="1" applyAlignment="1" applyProtection="1">
      <alignment horizontal="centerContinuous" vertical="center"/>
      <protection hidden="1"/>
    </xf>
    <xf numFmtId="0" fontId="28" fillId="10" borderId="0" xfId="0" applyFont="1" applyFill="1" applyBorder="1" applyAlignment="1" applyProtection="1">
      <alignment horizontal="center" vertical="center"/>
      <protection hidden="1"/>
    </xf>
    <xf numFmtId="202" fontId="28" fillId="0" borderId="13" xfId="0" applyNumberFormat="1" applyFont="1" applyFill="1" applyBorder="1" applyAlignment="1" applyProtection="1">
      <alignment vertical="center"/>
      <protection hidden="1"/>
    </xf>
    <xf numFmtId="202" fontId="28" fillId="0" borderId="13" xfId="0" applyNumberFormat="1" applyFont="1" applyFill="1" applyBorder="1" applyAlignment="1" applyProtection="1">
      <alignment horizontal="center" vertical="center"/>
      <protection hidden="1"/>
    </xf>
    <xf numFmtId="0" fontId="28" fillId="0" borderId="14" xfId="0" applyFont="1" applyFill="1" applyBorder="1" applyAlignment="1" applyProtection="1">
      <alignment vertical="center"/>
      <protection hidden="1"/>
    </xf>
    <xf numFmtId="0" fontId="28" fillId="0" borderId="19" xfId="0" applyFont="1" applyFill="1" applyBorder="1" applyAlignment="1" applyProtection="1">
      <alignment vertical="center"/>
      <protection hidden="1"/>
    </xf>
    <xf numFmtId="0" fontId="28" fillId="0" borderId="13" xfId="0" applyFont="1" applyFill="1" applyBorder="1" applyAlignment="1" applyProtection="1">
      <alignment horizontal="centerContinuous" vertical="center"/>
      <protection hidden="1"/>
    </xf>
    <xf numFmtId="0" fontId="36" fillId="10" borderId="0" xfId="0" applyFont="1" applyFill="1" applyBorder="1" applyAlignment="1" applyProtection="1">
      <alignment horizontal="centerContinuous" vertical="center"/>
      <protection hidden="1"/>
    </xf>
    <xf numFmtId="0" fontId="47" fillId="29" borderId="0" xfId="0" applyFont="1" applyFill="1" applyBorder="1" applyAlignment="1" applyProtection="1">
      <alignment vertical="center"/>
      <protection hidden="1"/>
    </xf>
    <xf numFmtId="0" fontId="28" fillId="10" borderId="0" xfId="0" applyFont="1" applyFill="1" applyBorder="1" applyAlignment="1" applyProtection="1">
      <alignment horizontal="centerContinuous" vertical="center"/>
      <protection hidden="1"/>
    </xf>
    <xf numFmtId="170" fontId="48" fillId="0" borderId="13" xfId="0" applyNumberFormat="1" applyFont="1" applyFill="1" applyBorder="1" applyAlignment="1" applyProtection="1">
      <alignment vertical="center"/>
      <protection hidden="1"/>
    </xf>
    <xf numFmtId="170" fontId="49" fillId="0" borderId="13" xfId="0" applyNumberFormat="1" applyFont="1" applyFill="1" applyBorder="1" applyAlignment="1" applyProtection="1">
      <alignment vertical="center"/>
      <protection hidden="1"/>
    </xf>
    <xf numFmtId="0" fontId="25" fillId="0" borderId="13" xfId="0" applyFont="1" applyFill="1" applyBorder="1" applyAlignment="1" applyProtection="1">
      <alignment horizontal="center" vertical="center"/>
      <protection hidden="1"/>
    </xf>
    <xf numFmtId="9" fontId="28" fillId="0" borderId="13" xfId="0" applyNumberFormat="1" applyFont="1" applyFill="1" applyBorder="1" applyAlignment="1" applyProtection="1">
      <alignment vertical="center"/>
      <protection hidden="1"/>
    </xf>
    <xf numFmtId="0" fontId="25" fillId="0" borderId="0" xfId="0" applyFont="1" applyBorder="1" applyAlignment="1" applyProtection="1">
      <alignment vertical="center"/>
      <protection hidden="1"/>
    </xf>
    <xf numFmtId="202" fontId="29" fillId="0" borderId="0" xfId="0" applyNumberFormat="1" applyFont="1" applyBorder="1" applyAlignment="1" applyProtection="1">
      <alignment horizontal="center" vertical="center"/>
      <protection hidden="1"/>
    </xf>
    <xf numFmtId="1" fontId="26" fillId="10" borderId="0" xfId="0" applyNumberFormat="1" applyFont="1" applyFill="1" applyBorder="1" applyAlignment="1" applyProtection="1">
      <alignment horizontal="center" vertical="center"/>
      <protection hidden="1"/>
    </xf>
    <xf numFmtId="0" fontId="25" fillId="10" borderId="0" xfId="0" applyFont="1" applyFill="1" applyBorder="1" applyAlignment="1" applyProtection="1">
      <alignment horizontal="center" vertical="center"/>
      <protection hidden="1"/>
    </xf>
    <xf numFmtId="0" fontId="25" fillId="29" borderId="0" xfId="0" applyFont="1" applyFill="1" applyBorder="1" applyAlignment="1" applyProtection="1">
      <alignment vertical="center"/>
      <protection hidden="1"/>
    </xf>
    <xf numFmtId="240" fontId="28" fillId="0" borderId="13" xfId="0" applyNumberFormat="1" applyFont="1" applyFill="1" applyBorder="1" applyAlignment="1" applyProtection="1">
      <alignment horizontal="center" vertical="center"/>
      <protection hidden="1"/>
    </xf>
    <xf numFmtId="243" fontId="28" fillId="16" borderId="15" xfId="0" applyNumberFormat="1" applyFont="1" applyFill="1" applyBorder="1" applyAlignment="1" applyProtection="1">
      <alignment horizontal="center" vertical="center"/>
      <protection locked="0"/>
    </xf>
    <xf numFmtId="4" fontId="48" fillId="0" borderId="13" xfId="0" applyNumberFormat="1" applyFont="1" applyFill="1" applyBorder="1" applyAlignment="1" applyProtection="1">
      <alignment horizontal="center" vertical="center"/>
      <protection hidden="1"/>
    </xf>
    <xf numFmtId="4" fontId="48" fillId="0" borderId="14" xfId="0" applyNumberFormat="1" applyFont="1" applyFill="1" applyBorder="1" applyAlignment="1" applyProtection="1">
      <alignment horizontal="center" vertical="center"/>
      <protection hidden="1"/>
    </xf>
    <xf numFmtId="4" fontId="28" fillId="16" borderId="15" xfId="0" applyNumberFormat="1" applyFont="1" applyFill="1" applyBorder="1" applyAlignment="1" applyProtection="1">
      <alignment horizontal="center" vertical="center"/>
      <protection locked="0"/>
    </xf>
    <xf numFmtId="4" fontId="48" fillId="0" borderId="19" xfId="0" applyNumberFormat="1" applyFont="1" applyFill="1" applyBorder="1" applyAlignment="1" applyProtection="1">
      <alignment horizontal="center" vertical="center"/>
      <protection hidden="1"/>
    </xf>
    <xf numFmtId="240" fontId="28" fillId="0" borderId="21" xfId="0" applyNumberFormat="1" applyFont="1" applyFill="1" applyBorder="1" applyAlignment="1" applyProtection="1">
      <alignment horizontal="center" vertical="center"/>
      <protection hidden="1"/>
    </xf>
    <xf numFmtId="4" fontId="48" fillId="32" borderId="13" xfId="0" applyNumberFormat="1" applyFont="1" applyFill="1" applyBorder="1" applyAlignment="1" applyProtection="1">
      <alignment horizontal="center" vertical="center"/>
      <protection hidden="1"/>
    </xf>
    <xf numFmtId="4" fontId="48" fillId="32" borderId="14" xfId="0" applyNumberFormat="1" applyFont="1" applyFill="1" applyBorder="1" applyAlignment="1" applyProtection="1">
      <alignment horizontal="center" vertical="center"/>
      <protection hidden="1"/>
    </xf>
    <xf numFmtId="4" fontId="28" fillId="35" borderId="15" xfId="0" applyNumberFormat="1" applyFont="1" applyFill="1" applyBorder="1" applyAlignment="1" applyProtection="1">
      <alignment horizontal="center" vertical="center"/>
      <protection locked="0"/>
    </xf>
    <xf numFmtId="4" fontId="48" fillId="32" borderId="19"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170" fontId="28" fillId="0" borderId="19" xfId="0" applyNumberFormat="1" applyFont="1" applyFill="1" applyBorder="1" applyAlignment="1" applyProtection="1">
      <alignment horizontal="center" vertical="center"/>
      <protection hidden="1"/>
    </xf>
    <xf numFmtId="240" fontId="28" fillId="0" borderId="18" xfId="0" applyNumberFormat="1" applyFont="1" applyFill="1" applyBorder="1" applyAlignment="1" applyProtection="1">
      <alignment horizontal="center" vertical="center"/>
      <protection hidden="1"/>
    </xf>
    <xf numFmtId="170" fontId="28" fillId="0" borderId="13" xfId="0" applyNumberFormat="1"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17" xfId="0" applyFont="1" applyFill="1" applyBorder="1" applyAlignment="1" applyProtection="1">
      <alignment horizontal="center" vertical="center"/>
      <protection hidden="1"/>
    </xf>
    <xf numFmtId="170" fontId="28" fillId="0" borderId="17" xfId="0" applyNumberFormat="1" applyFont="1" applyFill="1" applyBorder="1" applyAlignment="1" applyProtection="1">
      <alignment horizontal="center" vertical="center"/>
      <protection hidden="1"/>
    </xf>
    <xf numFmtId="0" fontId="28" fillId="0" borderId="18" xfId="0" applyFont="1" applyFill="1" applyBorder="1" applyAlignment="1" applyProtection="1">
      <alignment horizontal="center" vertical="center"/>
      <protection hidden="1"/>
    </xf>
    <xf numFmtId="170" fontId="28" fillId="0" borderId="18" xfId="0" applyNumberFormat="1" applyFont="1" applyFill="1" applyBorder="1" applyAlignment="1" applyProtection="1">
      <alignment horizontal="center" vertical="center"/>
      <protection hidden="1"/>
    </xf>
    <xf numFmtId="2" fontId="28" fillId="36" borderId="0" xfId="0" applyNumberFormat="1" applyFont="1" applyFill="1" applyBorder="1" applyAlignment="1" applyProtection="1">
      <alignment horizontal="center" vertical="center"/>
      <protection hidden="1"/>
    </xf>
    <xf numFmtId="4" fontId="48" fillId="6" borderId="13" xfId="0" applyNumberFormat="1" applyFont="1" applyFill="1" applyBorder="1" applyAlignment="1" applyProtection="1">
      <alignment horizontal="center" vertical="center"/>
      <protection hidden="1"/>
    </xf>
    <xf numFmtId="4" fontId="48" fillId="6" borderId="14" xfId="0" applyNumberFormat="1" applyFont="1" applyFill="1" applyBorder="1" applyAlignment="1" applyProtection="1">
      <alignment horizontal="center" vertical="center"/>
      <protection hidden="1"/>
    </xf>
    <xf numFmtId="4" fontId="28" fillId="34" borderId="15" xfId="0" applyNumberFormat="1" applyFont="1" applyFill="1" applyBorder="1" applyAlignment="1" applyProtection="1">
      <alignment horizontal="center" vertical="center"/>
      <protection locked="0"/>
    </xf>
    <xf numFmtId="4" fontId="48" fillId="6" borderId="19" xfId="0" applyNumberFormat="1" applyFont="1" applyFill="1" applyBorder="1" applyAlignment="1" applyProtection="1">
      <alignment horizontal="center" vertical="center"/>
      <protection hidden="1"/>
    </xf>
    <xf numFmtId="197" fontId="29" fillId="0" borderId="13" xfId="0" applyNumberFormat="1" applyFont="1" applyFill="1" applyBorder="1" applyAlignment="1" applyProtection="1">
      <alignment horizontal="center" vertical="center"/>
      <protection hidden="1"/>
    </xf>
    <xf numFmtId="196" fontId="28" fillId="0" borderId="19" xfId="0" applyNumberFormat="1" applyFont="1" applyFill="1" applyBorder="1" applyAlignment="1" applyProtection="1">
      <alignment horizontal="center" vertical="center"/>
      <protection hidden="1"/>
    </xf>
    <xf numFmtId="0" fontId="26" fillId="29" borderId="0" xfId="0" applyFont="1" applyFill="1" applyBorder="1" applyAlignment="1" applyProtection="1">
      <alignment horizontal="center" vertical="center"/>
      <protection hidden="1"/>
    </xf>
    <xf numFmtId="242" fontId="28" fillId="0" borderId="13" xfId="0" applyNumberFormat="1" applyFont="1" applyFill="1" applyBorder="1" applyAlignment="1" applyProtection="1">
      <alignment horizontal="center" vertical="center"/>
      <protection hidden="1"/>
    </xf>
    <xf numFmtId="1" fontId="48" fillId="0" borderId="0" xfId="0" applyNumberFormat="1" applyFont="1" applyFill="1" applyBorder="1" applyAlignment="1" applyProtection="1">
      <alignment horizontal="center" vertical="center"/>
      <protection hidden="1"/>
    </xf>
    <xf numFmtId="1" fontId="28" fillId="0" borderId="0" xfId="0" applyNumberFormat="1" applyFont="1" applyFill="1" applyBorder="1" applyAlignment="1" applyProtection="1">
      <alignment horizontal="center" vertical="center"/>
      <protection hidden="1"/>
    </xf>
    <xf numFmtId="242" fontId="28" fillId="0" borderId="17" xfId="0" applyNumberFormat="1" applyFont="1" applyFill="1" applyBorder="1" applyAlignment="1" applyProtection="1">
      <alignment horizontal="center" vertical="center"/>
      <protection hidden="1"/>
    </xf>
    <xf numFmtId="0" fontId="26" fillId="29" borderId="0" xfId="0" applyFont="1" applyFill="1" applyBorder="1" applyAlignment="1" applyProtection="1">
      <alignment horizontal="right" vertical="center"/>
      <protection hidden="1"/>
    </xf>
    <xf numFmtId="242" fontId="28" fillId="29" borderId="15" xfId="0" applyNumberFormat="1" applyFont="1" applyFill="1" applyBorder="1" applyAlignment="1" applyProtection="1">
      <alignment horizontal="center" vertical="center"/>
      <protection locked="0"/>
    </xf>
    <xf numFmtId="0" fontId="28" fillId="11" borderId="0" xfId="0" applyFont="1" applyFill="1" applyBorder="1" applyAlignment="1" applyProtection="1">
      <alignment vertical="center"/>
      <protection hidden="1"/>
    </xf>
    <xf numFmtId="0" fontId="26" fillId="11" borderId="0" xfId="0" applyFont="1" applyFill="1" applyBorder="1" applyAlignment="1" applyProtection="1">
      <alignment horizontal="right" vertical="center"/>
      <protection hidden="1"/>
    </xf>
    <xf numFmtId="4" fontId="48" fillId="11" borderId="13" xfId="0" applyNumberFormat="1" applyFont="1" applyFill="1" applyBorder="1" applyAlignment="1" applyProtection="1">
      <alignment horizontal="center" vertical="center"/>
      <protection hidden="1"/>
    </xf>
    <xf numFmtId="4" fontId="48" fillId="11" borderId="14" xfId="0" applyNumberFormat="1" applyFont="1" applyFill="1" applyBorder="1" applyAlignment="1" applyProtection="1">
      <alignment horizontal="center" vertical="center"/>
      <protection hidden="1"/>
    </xf>
    <xf numFmtId="4" fontId="28" fillId="33" borderId="15" xfId="0" applyNumberFormat="1" applyFont="1" applyFill="1" applyBorder="1" applyAlignment="1" applyProtection="1">
      <alignment horizontal="center" vertical="center"/>
      <protection locked="0"/>
    </xf>
    <xf numFmtId="4" fontId="48" fillId="11" borderId="19" xfId="0" applyNumberFormat="1" applyFont="1" applyFill="1" applyBorder="1" applyAlignment="1" applyProtection="1">
      <alignment horizontal="center" vertical="center"/>
      <protection hidden="1"/>
    </xf>
    <xf numFmtId="0" fontId="25" fillId="36" borderId="0" xfId="0" applyFont="1" applyFill="1" applyBorder="1" applyAlignment="1" applyProtection="1">
      <alignment horizontal="justify" wrapText="1"/>
      <protection hidden="1"/>
    </xf>
    <xf numFmtId="0" fontId="25" fillId="36" borderId="0" xfId="0" applyFont="1" applyFill="1" applyBorder="1" applyAlignment="1" applyProtection="1">
      <alignment horizontal="justify" vertical="center" wrapText="1"/>
      <protection hidden="1"/>
    </xf>
    <xf numFmtId="0" fontId="51" fillId="31" borderId="0" xfId="0" applyFont="1" applyFill="1" applyAlignment="1" applyProtection="1">
      <alignment horizontal="left" vertical="center"/>
      <protection hidden="1"/>
    </xf>
    <xf numFmtId="0" fontId="7" fillId="31" borderId="0" xfId="0" applyFont="1" applyFill="1" applyAlignment="1" applyProtection="1">
      <alignment horizontal="left" vertical="center" wrapText="1"/>
      <protection hidden="1"/>
    </xf>
    <xf numFmtId="0" fontId="26" fillId="31" borderId="0" xfId="0" applyFont="1" applyFill="1" applyAlignment="1" applyProtection="1">
      <alignment horizontal="left" vertical="center"/>
      <protection hidden="1"/>
    </xf>
    <xf numFmtId="0" fontId="41" fillId="31" borderId="0" xfId="0" applyFont="1" applyFill="1" applyAlignment="1" applyProtection="1">
      <alignment horizontal="left" vertical="center"/>
      <protection hidden="1"/>
    </xf>
    <xf numFmtId="0" fontId="41" fillId="31" borderId="0" xfId="0" applyFont="1" applyFill="1" applyAlignment="1" applyProtection="1">
      <alignment horizontal="left" vertical="center" wrapText="1"/>
      <protection hidden="1"/>
    </xf>
    <xf numFmtId="0" fontId="52" fillId="10" borderId="0" xfId="0" applyFont="1" applyFill="1" applyBorder="1" applyAlignment="1" applyProtection="1">
      <alignment horizontal="center" vertical="center"/>
      <protection hidden="1"/>
    </xf>
    <xf numFmtId="0" fontId="28" fillId="10" borderId="22" xfId="0" applyFont="1" applyFill="1" applyBorder="1" applyAlignment="1" applyProtection="1">
      <alignment horizontal="left" vertical="center" indent="4"/>
      <protection hidden="1"/>
    </xf>
    <xf numFmtId="0" fontId="28" fillId="10" borderId="0" xfId="0" applyFont="1" applyFill="1" applyBorder="1" applyAlignment="1" applyProtection="1">
      <alignment horizontal="left" vertical="center" wrapText="1" indent="4"/>
      <protection hidden="1"/>
    </xf>
    <xf numFmtId="0" fontId="34" fillId="10" borderId="23" xfId="0" applyFont="1" applyFill="1" applyBorder="1" applyAlignment="1" applyProtection="1">
      <alignment horizontal="centerContinuous" vertical="center"/>
      <protection hidden="1"/>
    </xf>
    <xf numFmtId="0" fontId="34" fillId="10" borderId="0" xfId="0" applyFont="1" applyFill="1" applyBorder="1" applyAlignment="1" applyProtection="1">
      <alignment vertical="center"/>
      <protection hidden="1"/>
    </xf>
    <xf numFmtId="0" fontId="34" fillId="10" borderId="23" xfId="0" applyFont="1" applyFill="1" applyBorder="1" applyAlignment="1" applyProtection="1">
      <alignment horizontal="center" vertical="center"/>
      <protection hidden="1"/>
    </xf>
    <xf numFmtId="0" fontId="28" fillId="10" borderId="0" xfId="0" applyFont="1" applyFill="1" applyBorder="1" applyAlignment="1" applyProtection="1">
      <alignment horizontal="left" vertical="center" indent="4"/>
      <protection hidden="1"/>
    </xf>
    <xf numFmtId="0" fontId="26" fillId="10" borderId="0" xfId="0" applyFont="1" applyFill="1" applyBorder="1" applyAlignment="1" applyProtection="1">
      <alignment horizontal="centerContinuous" vertical="center" wrapText="1"/>
      <protection hidden="1"/>
    </xf>
    <xf numFmtId="0" fontId="34" fillId="10" borderId="24" xfId="0" applyFont="1" applyFill="1" applyBorder="1" applyAlignment="1" applyProtection="1">
      <alignment horizontal="centerContinuous" vertical="center"/>
      <protection hidden="1"/>
    </xf>
    <xf numFmtId="0" fontId="28" fillId="0" borderId="0" xfId="0" applyFont="1" applyBorder="1" applyAlignment="1" applyProtection="1">
      <protection hidden="1"/>
    </xf>
    <xf numFmtId="0" fontId="26" fillId="10" borderId="0" xfId="0" applyFont="1" applyFill="1" applyBorder="1" applyAlignment="1" applyProtection="1">
      <alignment horizontal="centerContinuous"/>
      <protection hidden="1"/>
    </xf>
    <xf numFmtId="0" fontId="36" fillId="13" borderId="0" xfId="0" applyFont="1" applyFill="1" applyBorder="1" applyAlignment="1" applyProtection="1">
      <alignment vertical="center"/>
      <protection hidden="1"/>
    </xf>
    <xf numFmtId="0" fontId="28" fillId="13" borderId="0" xfId="0" applyFont="1" applyFill="1" applyBorder="1" applyAlignment="1" applyProtection="1">
      <alignment vertical="center"/>
      <protection hidden="1"/>
    </xf>
    <xf numFmtId="0" fontId="54" fillId="29" borderId="0" xfId="0" applyFont="1" applyFill="1" applyBorder="1" applyAlignment="1" applyProtection="1">
      <alignment vertical="center"/>
      <protection hidden="1"/>
    </xf>
    <xf numFmtId="4" fontId="28" fillId="0" borderId="13" xfId="0" applyNumberFormat="1" applyFont="1" applyFill="1" applyBorder="1" applyAlignment="1" applyProtection="1">
      <alignment horizontal="center" vertical="center"/>
      <protection hidden="1"/>
    </xf>
    <xf numFmtId="0" fontId="26" fillId="13" borderId="0" xfId="0" applyFont="1" applyFill="1" applyBorder="1" applyAlignment="1" applyProtection="1">
      <alignment horizontal="center" vertical="center"/>
      <protection hidden="1"/>
    </xf>
    <xf numFmtId="191" fontId="26" fillId="29" borderId="0" xfId="0" applyNumberFormat="1" applyFont="1" applyFill="1" applyBorder="1" applyAlignment="1" applyProtection="1">
      <alignment horizontal="center" vertical="center"/>
      <protection hidden="1"/>
    </xf>
    <xf numFmtId="0" fontId="26" fillId="32" borderId="0" xfId="0" applyFont="1" applyFill="1" applyBorder="1" applyAlignment="1" applyProtection="1">
      <alignment horizontal="centerContinuous" vertical="center"/>
      <protection hidden="1"/>
    </xf>
    <xf numFmtId="2" fontId="26" fillId="32" borderId="0" xfId="0" applyNumberFormat="1" applyFont="1" applyFill="1" applyBorder="1" applyAlignment="1" applyProtection="1">
      <alignment horizontal="center" vertical="center"/>
      <protection hidden="1"/>
    </xf>
    <xf numFmtId="4" fontId="26" fillId="35" borderId="15" xfId="0" applyNumberFormat="1" applyFont="1" applyFill="1" applyBorder="1" applyAlignment="1" applyProtection="1">
      <alignment horizontal="center" vertical="center"/>
      <protection locked="0"/>
    </xf>
    <xf numFmtId="9" fontId="26" fillId="29" borderId="0" xfId="0" applyNumberFormat="1" applyFont="1" applyFill="1" applyBorder="1" applyAlignment="1" applyProtection="1">
      <alignment horizontal="center" vertical="center"/>
      <protection hidden="1"/>
    </xf>
    <xf numFmtId="203" fontId="36" fillId="30" borderId="0" xfId="0" applyNumberFormat="1" applyFont="1" applyFill="1" applyBorder="1" applyAlignment="1" applyProtection="1">
      <alignment horizontal="left" vertical="center"/>
      <protection hidden="1"/>
    </xf>
    <xf numFmtId="3" fontId="36" fillId="30" borderId="0" xfId="0" applyNumberFormat="1" applyFont="1" applyFill="1" applyBorder="1" applyAlignment="1" applyProtection="1">
      <alignment horizontal="left" vertical="center"/>
      <protection hidden="1"/>
    </xf>
    <xf numFmtId="4" fontId="36" fillId="34" borderId="15"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center" vertical="center"/>
      <protection hidden="1"/>
    </xf>
    <xf numFmtId="0" fontId="36" fillId="10" borderId="0" xfId="0" applyFont="1" applyFill="1" applyBorder="1" applyAlignment="1" applyProtection="1">
      <alignment vertical="center"/>
      <protection hidden="1"/>
    </xf>
    <xf numFmtId="3" fontId="26" fillId="29" borderId="0" xfId="0" applyNumberFormat="1" applyFont="1" applyFill="1" applyBorder="1" applyAlignment="1" applyProtection="1">
      <alignment horizontal="center" vertical="center"/>
      <protection hidden="1"/>
    </xf>
    <xf numFmtId="204" fontId="26" fillId="29" borderId="0" xfId="0" applyNumberFormat="1" applyFont="1" applyFill="1" applyBorder="1" applyAlignment="1" applyProtection="1">
      <alignment horizontal="left" vertical="center"/>
      <protection hidden="1"/>
    </xf>
    <xf numFmtId="205" fontId="43" fillId="29" borderId="0" xfId="0" applyNumberFormat="1" applyFont="1" applyFill="1" applyBorder="1" applyAlignment="1" applyProtection="1">
      <alignment horizontal="center" vertical="center"/>
      <protection hidden="1"/>
    </xf>
    <xf numFmtId="207" fontId="26" fillId="10" borderId="0" xfId="0" applyNumberFormat="1" applyFont="1" applyFill="1" applyBorder="1" applyAlignment="1" applyProtection="1">
      <alignment vertical="center"/>
      <protection hidden="1"/>
    </xf>
    <xf numFmtId="208" fontId="28" fillId="10" borderId="0" xfId="0" applyNumberFormat="1" applyFont="1" applyFill="1" applyBorder="1" applyAlignment="1" applyProtection="1">
      <alignment horizontal="left" vertical="center"/>
      <protection hidden="1"/>
    </xf>
    <xf numFmtId="0" fontId="36" fillId="29" borderId="0" xfId="0" applyFont="1" applyFill="1" applyBorder="1" applyAlignment="1" applyProtection="1">
      <alignment vertical="center"/>
      <protection hidden="1"/>
    </xf>
    <xf numFmtId="0" fontId="28" fillId="10" borderId="0" xfId="0" applyFont="1" applyFill="1" applyBorder="1" applyAlignment="1" applyProtection="1">
      <alignment horizontal="center"/>
      <protection hidden="1"/>
    </xf>
    <xf numFmtId="0" fontId="28" fillId="10" borderId="0" xfId="0" applyFont="1" applyFill="1" applyBorder="1" applyAlignment="1" applyProtection="1">
      <alignment vertical="center" wrapText="1"/>
      <protection hidden="1"/>
    </xf>
    <xf numFmtId="0" fontId="34" fillId="10" borderId="0" xfId="0" applyFont="1" applyFill="1" applyBorder="1" applyAlignment="1" applyProtection="1">
      <alignment horizontal="center" vertical="center"/>
      <protection hidden="1"/>
    </xf>
    <xf numFmtId="0" fontId="31" fillId="10" borderId="0" xfId="0" applyFont="1" applyFill="1" applyBorder="1" applyAlignment="1" applyProtection="1">
      <alignment horizontal="center" vertical="center"/>
      <protection hidden="1"/>
    </xf>
    <xf numFmtId="209" fontId="26" fillId="29" borderId="0" xfId="0" applyNumberFormat="1" applyFont="1" applyFill="1" applyBorder="1" applyAlignment="1" applyProtection="1">
      <alignment vertical="center"/>
      <protection hidden="1"/>
    </xf>
    <xf numFmtId="172" fontId="28" fillId="0" borderId="17" xfId="0" applyNumberFormat="1" applyFont="1" applyFill="1" applyBorder="1" applyAlignment="1" applyProtection="1">
      <alignment horizontal="center" vertical="center"/>
      <protection hidden="1"/>
    </xf>
    <xf numFmtId="0" fontId="18" fillId="31" borderId="0" xfId="0" applyFont="1" applyFill="1" applyAlignment="1" applyProtection="1">
      <alignment horizontal="left" vertical="center"/>
      <protection hidden="1"/>
    </xf>
    <xf numFmtId="0" fontId="34" fillId="31" borderId="0" xfId="0" applyFont="1" applyFill="1" applyAlignment="1" applyProtection="1">
      <alignment horizontal="left" vertical="center"/>
      <protection hidden="1"/>
    </xf>
    <xf numFmtId="211" fontId="34" fillId="10" borderId="23" xfId="0" applyNumberFormat="1" applyFont="1" applyFill="1" applyBorder="1" applyAlignment="1" applyProtection="1">
      <alignment horizontal="center" vertical="center"/>
      <protection hidden="1"/>
    </xf>
    <xf numFmtId="211" fontId="34" fillId="10" borderId="0" xfId="0" applyNumberFormat="1" applyFont="1" applyFill="1" applyBorder="1" applyAlignment="1" applyProtection="1">
      <alignment horizontal="center" vertical="center"/>
      <protection hidden="1"/>
    </xf>
    <xf numFmtId="3" fontId="26" fillId="35" borderId="15" xfId="0" applyNumberFormat="1" applyFont="1" applyFill="1" applyBorder="1" applyAlignment="1" applyProtection="1">
      <alignment horizontal="center" vertical="center"/>
      <protection locked="0"/>
    </xf>
    <xf numFmtId="0" fontId="0" fillId="0" borderId="0" xfId="0" applyAlignment="1">
      <alignment vertical="center"/>
    </xf>
    <xf numFmtId="189" fontId="26" fillId="33" borderId="15" xfId="0" applyNumberFormat="1" applyFont="1" applyFill="1" applyBorder="1" applyAlignment="1" applyProtection="1">
      <alignment horizontal="center" vertical="center"/>
      <protection locked="0"/>
    </xf>
    <xf numFmtId="0" fontId="18" fillId="31" borderId="0" xfId="76" applyFont="1" applyFill="1" applyBorder="1" applyAlignment="1" applyProtection="1">
      <alignment vertical="center"/>
      <protection hidden="1"/>
    </xf>
    <xf numFmtId="0" fontId="7" fillId="31" borderId="0" xfId="76" applyFont="1" applyFill="1" applyBorder="1" applyAlignment="1" applyProtection="1">
      <alignment horizontal="right" vertical="center"/>
      <protection hidden="1"/>
    </xf>
    <xf numFmtId="0" fontId="7" fillId="31" borderId="0" xfId="76" applyFont="1" applyFill="1" applyBorder="1" applyAlignment="1" applyProtection="1">
      <alignment vertical="center"/>
      <protection hidden="1"/>
    </xf>
    <xf numFmtId="0" fontId="55" fillId="31" borderId="0" xfId="76" applyFont="1" applyFill="1" applyBorder="1" applyAlignment="1" applyProtection="1">
      <alignment vertical="center"/>
      <protection hidden="1"/>
    </xf>
    <xf numFmtId="0" fontId="18" fillId="30" borderId="0" xfId="76" applyFont="1" applyFill="1" applyBorder="1" applyAlignment="1" applyProtection="1">
      <alignment vertical="center"/>
      <protection hidden="1"/>
    </xf>
    <xf numFmtId="0" fontId="2" fillId="0" borderId="0" xfId="76" applyFill="1" applyAlignment="1" applyProtection="1">
      <alignment vertical="center"/>
      <protection hidden="1"/>
    </xf>
    <xf numFmtId="0" fontId="56" fillId="0" borderId="0" xfId="76" applyFont="1" applyFill="1" applyAlignment="1" applyProtection="1">
      <protection hidden="1"/>
    </xf>
    <xf numFmtId="0" fontId="2" fillId="30" borderId="0" xfId="76" applyFill="1" applyAlignment="1" applyProtection="1">
      <alignment vertical="center"/>
      <protection hidden="1"/>
    </xf>
    <xf numFmtId="0" fontId="5" fillId="0" borderId="0" xfId="76" applyFont="1" applyFill="1" applyAlignment="1" applyProtection="1">
      <alignment vertical="center"/>
      <protection hidden="1"/>
    </xf>
    <xf numFmtId="0" fontId="1" fillId="10" borderId="0" xfId="76" applyFont="1" applyFill="1" applyAlignment="1" applyProtection="1">
      <alignment vertical="center"/>
      <protection hidden="1"/>
    </xf>
    <xf numFmtId="0" fontId="5" fillId="30" borderId="0" xfId="76" applyFont="1" applyFill="1" applyAlignment="1" applyProtection="1">
      <alignment vertical="center"/>
      <protection hidden="1"/>
    </xf>
    <xf numFmtId="0" fontId="5" fillId="0" borderId="0" xfId="76" applyFont="1" applyFill="1" applyAlignment="1" applyProtection="1">
      <alignment vertical="center"/>
      <protection locked="0"/>
    </xf>
    <xf numFmtId="0" fontId="5" fillId="29" borderId="0" xfId="76" applyFont="1" applyFill="1" applyAlignment="1" applyProtection="1">
      <alignment vertical="center"/>
      <protection hidden="1"/>
    </xf>
    <xf numFmtId="175" fontId="25" fillId="0" borderId="14" xfId="76" applyNumberFormat="1" applyFont="1" applyFill="1" applyBorder="1" applyAlignment="1" applyProtection="1">
      <alignment vertical="center"/>
      <protection hidden="1"/>
    </xf>
    <xf numFmtId="0" fontId="25" fillId="0" borderId="14" xfId="76" applyFont="1" applyFill="1" applyBorder="1" applyAlignment="1" applyProtection="1">
      <alignment vertical="center"/>
      <protection hidden="1"/>
    </xf>
    <xf numFmtId="179" fontId="25" fillId="0" borderId="14" xfId="76" applyNumberFormat="1" applyFont="1" applyFill="1" applyBorder="1" applyAlignment="1" applyProtection="1">
      <alignment vertical="center"/>
      <protection hidden="1"/>
    </xf>
    <xf numFmtId="180" fontId="25" fillId="0" borderId="25" xfId="76" applyNumberFormat="1" applyFont="1" applyFill="1" applyBorder="1" applyAlignment="1" applyProtection="1">
      <alignment vertical="center"/>
      <protection hidden="1"/>
    </xf>
    <xf numFmtId="179" fontId="27" fillId="16" borderId="15" xfId="76" applyNumberFormat="1" applyFont="1" applyFill="1" applyBorder="1" applyAlignment="1" applyProtection="1">
      <alignment vertical="center"/>
      <protection locked="0"/>
    </xf>
    <xf numFmtId="0" fontId="25" fillId="0" borderId="26" xfId="76" applyFont="1" applyFill="1" applyBorder="1" applyAlignment="1" applyProtection="1">
      <alignment vertical="center"/>
      <protection hidden="1"/>
    </xf>
    <xf numFmtId="171" fontId="27" fillId="16" borderId="15" xfId="76" applyNumberFormat="1" applyFont="1" applyFill="1" applyBorder="1" applyAlignment="1" applyProtection="1">
      <alignment vertical="center"/>
      <protection locked="0"/>
    </xf>
    <xf numFmtId="0" fontId="2" fillId="0" borderId="0" xfId="76" applyFill="1" applyAlignment="1" applyProtection="1">
      <alignment vertical="center"/>
      <protection locked="0"/>
    </xf>
    <xf numFmtId="0" fontId="34" fillId="10" borderId="0" xfId="76" applyFont="1" applyFill="1" applyAlignment="1" applyProtection="1">
      <alignment horizontal="center" vertical="center"/>
      <protection hidden="1"/>
    </xf>
    <xf numFmtId="0" fontId="58" fillId="10" borderId="0" xfId="76" applyFont="1" applyFill="1" applyAlignment="1" applyProtection="1">
      <alignment vertical="center"/>
      <protection hidden="1"/>
    </xf>
    <xf numFmtId="176" fontId="25" fillId="0" borderId="14" xfId="76" applyNumberFormat="1" applyFont="1" applyBorder="1" applyAlignment="1" applyProtection="1">
      <alignment vertical="center"/>
      <protection hidden="1"/>
    </xf>
    <xf numFmtId="175" fontId="25" fillId="0" borderId="27" xfId="76" applyNumberFormat="1" applyFont="1" applyFill="1" applyBorder="1" applyAlignment="1" applyProtection="1">
      <alignment vertical="center"/>
      <protection hidden="1"/>
    </xf>
    <xf numFmtId="178" fontId="25" fillId="0" borderId="14" xfId="66" applyNumberFormat="1" applyFont="1" applyFill="1" applyBorder="1" applyAlignment="1" applyProtection="1">
      <alignment vertical="center"/>
      <protection hidden="1"/>
    </xf>
    <xf numFmtId="4" fontId="5" fillId="0" borderId="0" xfId="76" applyNumberFormat="1" applyFont="1" applyFill="1" applyAlignment="1" applyProtection="1">
      <alignment vertical="center"/>
      <protection hidden="1"/>
    </xf>
    <xf numFmtId="4" fontId="5" fillId="30" borderId="0" xfId="76" applyNumberFormat="1" applyFont="1" applyFill="1" applyAlignment="1" applyProtection="1">
      <alignment vertical="center"/>
      <protection hidden="1"/>
    </xf>
    <xf numFmtId="175" fontId="25" fillId="0" borderId="10" xfId="76" applyNumberFormat="1" applyFont="1" applyFill="1" applyBorder="1" applyAlignment="1" applyProtection="1">
      <alignment vertical="center"/>
      <protection hidden="1"/>
    </xf>
    <xf numFmtId="0" fontId="1" fillId="32" borderId="0" xfId="76" applyFont="1" applyFill="1" applyAlignment="1" applyProtection="1">
      <alignment vertical="center"/>
      <protection hidden="1"/>
    </xf>
    <xf numFmtId="0" fontId="1" fillId="32" borderId="0" xfId="76" applyFont="1" applyFill="1" applyAlignment="1" applyProtection="1">
      <alignment horizontal="right" vertical="center"/>
      <protection hidden="1"/>
    </xf>
    <xf numFmtId="175" fontId="27" fillId="35" borderId="15" xfId="76" applyNumberFormat="1" applyFont="1" applyFill="1" applyBorder="1" applyAlignment="1" applyProtection="1">
      <alignment vertical="center"/>
      <protection locked="0"/>
    </xf>
    <xf numFmtId="171" fontId="25" fillId="0" borderId="17" xfId="76" applyNumberFormat="1" applyFont="1" applyFill="1" applyBorder="1" applyAlignment="1" applyProtection="1">
      <alignment vertical="center"/>
      <protection hidden="1"/>
    </xf>
    <xf numFmtId="175" fontId="27" fillId="16" borderId="15" xfId="76" applyNumberFormat="1" applyFont="1" applyFill="1" applyBorder="1" applyAlignment="1" applyProtection="1">
      <alignment vertical="center"/>
      <protection locked="0"/>
    </xf>
    <xf numFmtId="177" fontId="5" fillId="29" borderId="0" xfId="76" applyNumberFormat="1" applyFont="1" applyFill="1" applyAlignment="1" applyProtection="1">
      <alignment horizontal="left" vertical="center"/>
      <protection hidden="1"/>
    </xf>
    <xf numFmtId="183" fontId="27" fillId="16" borderId="15" xfId="76" applyNumberFormat="1" applyFont="1" applyFill="1" applyBorder="1" applyAlignment="1" applyProtection="1">
      <alignment vertical="center"/>
      <protection locked="0"/>
    </xf>
    <xf numFmtId="0" fontId="5" fillId="32" borderId="0" xfId="76" applyFont="1" applyFill="1" applyAlignment="1" applyProtection="1">
      <alignment vertical="center"/>
      <protection hidden="1"/>
    </xf>
    <xf numFmtId="0" fontId="5" fillId="6" borderId="0" xfId="76" applyFont="1" applyFill="1" applyAlignment="1" applyProtection="1">
      <alignment vertical="center"/>
      <protection hidden="1"/>
    </xf>
    <xf numFmtId="0" fontId="27" fillId="11" borderId="0" xfId="76" applyFont="1" applyFill="1" applyAlignment="1" applyProtection="1">
      <alignment vertical="center"/>
      <protection hidden="1"/>
    </xf>
    <xf numFmtId="171" fontId="27" fillId="35" borderId="15" xfId="76" applyNumberFormat="1" applyFont="1" applyFill="1" applyBorder="1" applyAlignment="1" applyProtection="1">
      <alignment vertical="center"/>
      <protection locked="0"/>
    </xf>
    <xf numFmtId="0" fontId="2" fillId="0" borderId="0" xfId="76" applyFill="1" applyProtection="1">
      <protection locked="0"/>
    </xf>
    <xf numFmtId="0" fontId="2" fillId="0" borderId="0" xfId="76" applyFill="1" applyProtection="1">
      <protection hidden="1"/>
    </xf>
    <xf numFmtId="0" fontId="2" fillId="30" borderId="0" xfId="76" applyFill="1" applyProtection="1">
      <protection hidden="1"/>
    </xf>
    <xf numFmtId="232" fontId="7" fillId="31" borderId="0" xfId="75" applyNumberFormat="1" applyFont="1" applyFill="1" applyBorder="1" applyAlignment="1" applyProtection="1">
      <alignment vertical="center"/>
      <protection hidden="1"/>
    </xf>
    <xf numFmtId="0" fontId="4" fillId="0" borderId="0" xfId="75" applyFont="1" applyBorder="1" applyProtection="1">
      <protection hidden="1"/>
    </xf>
    <xf numFmtId="0" fontId="4" fillId="0" borderId="0" xfId="75" applyFont="1" applyBorder="1" applyAlignment="1" applyProtection="1">
      <alignment vertical="center"/>
      <protection hidden="1"/>
    </xf>
    <xf numFmtId="0" fontId="26" fillId="10" borderId="0" xfId="75" applyFont="1" applyFill="1" applyBorder="1" applyAlignment="1" applyProtection="1">
      <alignment vertical="center"/>
      <protection hidden="1"/>
    </xf>
    <xf numFmtId="0" fontId="26" fillId="0" borderId="14" xfId="75" applyFont="1" applyFill="1" applyBorder="1" applyAlignment="1" applyProtection="1">
      <alignment horizontal="left" vertical="center" indent="1"/>
      <protection hidden="1"/>
    </xf>
    <xf numFmtId="0" fontId="11" fillId="0" borderId="16" xfId="75" applyFont="1" applyFill="1" applyBorder="1" applyAlignment="1" applyProtection="1">
      <alignment vertical="center"/>
      <protection hidden="1"/>
    </xf>
    <xf numFmtId="0" fontId="11" fillId="0" borderId="19" xfId="75" applyFont="1" applyFill="1" applyBorder="1" applyAlignment="1" applyProtection="1">
      <alignment vertical="center"/>
      <protection hidden="1"/>
    </xf>
    <xf numFmtId="0" fontId="4" fillId="0" borderId="0" xfId="78" applyFont="1" applyBorder="1" applyAlignment="1" applyProtection="1">
      <alignment vertical="center"/>
      <protection hidden="1"/>
    </xf>
    <xf numFmtId="4" fontId="4" fillId="0" borderId="0" xfId="75" applyNumberFormat="1" applyFont="1" applyBorder="1" applyAlignment="1" applyProtection="1">
      <alignment vertical="center"/>
      <protection hidden="1"/>
    </xf>
    <xf numFmtId="0" fontId="4" fillId="10" borderId="0" xfId="75" applyFont="1" applyFill="1" applyBorder="1" applyAlignment="1" applyProtection="1">
      <alignment vertical="center"/>
      <protection hidden="1"/>
    </xf>
    <xf numFmtId="0" fontId="26" fillId="10" borderId="0" xfId="75" applyFont="1" applyFill="1" applyBorder="1" applyAlignment="1" applyProtection="1">
      <alignment horizontal="center" vertical="center"/>
      <protection hidden="1"/>
    </xf>
    <xf numFmtId="234" fontId="26" fillId="10" borderId="0" xfId="75" applyNumberFormat="1" applyFont="1" applyFill="1" applyBorder="1" applyAlignment="1" applyProtection="1">
      <alignment horizontal="center" vertical="center"/>
      <protection hidden="1"/>
    </xf>
    <xf numFmtId="0" fontId="4" fillId="29" borderId="0" xfId="75" applyFont="1" applyFill="1" applyBorder="1" applyAlignment="1" applyProtection="1">
      <alignment vertical="center"/>
      <protection hidden="1"/>
    </xf>
    <xf numFmtId="0" fontId="4" fillId="29" borderId="0" xfId="75" applyFont="1" applyFill="1" applyBorder="1" applyAlignment="1" applyProtection="1">
      <alignment horizontal="center" vertical="center"/>
      <protection hidden="1"/>
    </xf>
    <xf numFmtId="222" fontId="4" fillId="29" borderId="0" xfId="66" applyNumberFormat="1" applyFont="1" applyFill="1" applyBorder="1" applyAlignment="1" applyProtection="1">
      <alignment vertical="center"/>
      <protection hidden="1"/>
    </xf>
    <xf numFmtId="238" fontId="4" fillId="0" borderId="13" xfId="75" applyNumberFormat="1" applyFont="1" applyFill="1" applyBorder="1" applyAlignment="1" applyProtection="1">
      <alignment vertical="center"/>
      <protection hidden="1"/>
    </xf>
    <xf numFmtId="236" fontId="4" fillId="0" borderId="28" xfId="75" applyNumberFormat="1" applyFont="1" applyFill="1" applyBorder="1" applyAlignment="1" applyProtection="1">
      <alignment vertical="center"/>
      <protection hidden="1"/>
    </xf>
    <xf numFmtId="0" fontId="26" fillId="11" borderId="0" xfId="75" applyFont="1" applyFill="1" applyBorder="1" applyAlignment="1" applyProtection="1">
      <alignment vertical="center" wrapText="1"/>
      <protection hidden="1"/>
    </xf>
    <xf numFmtId="0" fontId="28" fillId="10" borderId="0" xfId="75" applyFont="1" applyFill="1" applyBorder="1" applyAlignment="1" applyProtection="1">
      <alignment vertical="center"/>
      <protection hidden="1"/>
    </xf>
    <xf numFmtId="0" fontId="26" fillId="10" borderId="0" xfId="75" applyFont="1" applyFill="1" applyBorder="1" applyAlignment="1" applyProtection="1">
      <alignment horizontal="center" vertical="center" wrapText="1"/>
      <protection hidden="1"/>
    </xf>
    <xf numFmtId="0" fontId="65" fillId="10" borderId="0" xfId="75" applyFont="1" applyFill="1" applyBorder="1" applyAlignment="1" applyProtection="1">
      <alignment horizontal="center" vertical="center"/>
      <protection hidden="1"/>
    </xf>
    <xf numFmtId="227" fontId="4" fillId="0" borderId="13" xfId="75" applyNumberFormat="1" applyFont="1" applyFill="1" applyBorder="1" applyAlignment="1" applyProtection="1">
      <alignment vertical="center"/>
      <protection hidden="1"/>
    </xf>
    <xf numFmtId="171" fontId="4" fillId="0" borderId="14" xfId="75" applyNumberFormat="1" applyFont="1" applyFill="1" applyBorder="1" applyAlignment="1" applyProtection="1">
      <alignment vertical="center"/>
      <protection hidden="1"/>
    </xf>
    <xf numFmtId="171" fontId="4" fillId="0" borderId="16" xfId="75" applyNumberFormat="1" applyFont="1" applyFill="1" applyBorder="1" applyAlignment="1" applyProtection="1">
      <alignment vertical="center"/>
      <protection hidden="1"/>
    </xf>
    <xf numFmtId="171" fontId="4" fillId="16" borderId="15" xfId="78" applyNumberFormat="1" applyFont="1" applyFill="1" applyBorder="1" applyAlignment="1" applyProtection="1">
      <alignment vertical="center"/>
      <protection locked="0"/>
    </xf>
    <xf numFmtId="0" fontId="2" fillId="0" borderId="0" xfId="78" applyAlignment="1" applyProtection="1">
      <alignment vertical="center"/>
      <protection hidden="1"/>
    </xf>
    <xf numFmtId="0" fontId="26" fillId="32" borderId="0" xfId="75" applyFont="1" applyFill="1" applyBorder="1" applyAlignment="1" applyProtection="1">
      <alignment vertical="center"/>
      <protection hidden="1"/>
    </xf>
    <xf numFmtId="224" fontId="26" fillId="32" borderId="0" xfId="75" applyNumberFormat="1" applyFont="1" applyFill="1" applyBorder="1" applyAlignment="1" applyProtection="1">
      <alignment horizontal="center" vertical="center"/>
      <protection hidden="1"/>
    </xf>
    <xf numFmtId="171" fontId="11" fillId="32" borderId="0" xfId="75" applyNumberFormat="1" applyFont="1" applyFill="1" applyBorder="1" applyAlignment="1" applyProtection="1">
      <alignment vertical="center"/>
      <protection hidden="1"/>
    </xf>
    <xf numFmtId="171" fontId="26" fillId="35" borderId="15" xfId="75" applyNumberFormat="1" applyFont="1" applyFill="1" applyBorder="1" applyAlignment="1" applyProtection="1">
      <alignment vertical="center"/>
      <protection locked="0"/>
    </xf>
    <xf numFmtId="0" fontId="26" fillId="0" borderId="0" xfId="75" applyFont="1" applyFill="1" applyBorder="1" applyAlignment="1" applyProtection="1">
      <alignment vertical="center"/>
      <protection hidden="1"/>
    </xf>
    <xf numFmtId="0" fontId="26" fillId="0" borderId="0" xfId="75" applyFont="1" applyFill="1" applyBorder="1" applyAlignment="1" applyProtection="1">
      <alignment horizontal="center" vertical="center"/>
      <protection hidden="1"/>
    </xf>
    <xf numFmtId="0" fontId="26" fillId="0" borderId="0" xfId="75" applyFont="1" applyFill="1" applyBorder="1" applyAlignment="1" applyProtection="1">
      <alignment horizontal="center" vertical="center" wrapText="1"/>
      <protection hidden="1"/>
    </xf>
    <xf numFmtId="0" fontId="65" fillId="10" borderId="0" xfId="75" applyFont="1" applyFill="1" applyBorder="1" applyAlignment="1" applyProtection="1">
      <alignment horizontal="right" vertical="center"/>
      <protection hidden="1"/>
    </xf>
    <xf numFmtId="0" fontId="65" fillId="10" borderId="0" xfId="75" applyFont="1" applyFill="1" applyBorder="1" applyAlignment="1" applyProtection="1">
      <alignment horizontal="left" vertical="center"/>
      <protection hidden="1"/>
    </xf>
    <xf numFmtId="225" fontId="4" fillId="0" borderId="13" xfId="78" applyNumberFormat="1" applyFont="1" applyFill="1" applyBorder="1" applyAlignment="1" applyProtection="1">
      <alignment vertical="center"/>
      <protection hidden="1"/>
    </xf>
    <xf numFmtId="228" fontId="4" fillId="0" borderId="13" xfId="78" applyNumberFormat="1" applyFont="1" applyFill="1" applyBorder="1" applyAlignment="1" applyProtection="1">
      <alignment vertical="center"/>
      <protection hidden="1"/>
    </xf>
    <xf numFmtId="194" fontId="4" fillId="0" borderId="13" xfId="78" applyNumberFormat="1" applyFont="1" applyFill="1" applyBorder="1" applyAlignment="1" applyProtection="1">
      <alignment vertical="center"/>
      <protection hidden="1"/>
    </xf>
    <xf numFmtId="229" fontId="4" fillId="0" borderId="13" xfId="78" applyNumberFormat="1" applyFont="1" applyFill="1" applyBorder="1" applyAlignment="1" applyProtection="1">
      <alignment vertical="center"/>
      <protection hidden="1"/>
    </xf>
    <xf numFmtId="207" fontId="4" fillId="0" borderId="13" xfId="78" applyNumberFormat="1" applyFont="1" applyFill="1" applyBorder="1" applyAlignment="1" applyProtection="1">
      <alignment vertical="center"/>
      <protection hidden="1"/>
    </xf>
    <xf numFmtId="223" fontId="4" fillId="0" borderId="16" xfId="75" applyNumberFormat="1" applyFont="1" applyFill="1" applyBorder="1" applyAlignment="1" applyProtection="1">
      <alignment horizontal="left" vertical="center"/>
      <protection hidden="1"/>
    </xf>
    <xf numFmtId="230" fontId="4" fillId="29" borderId="0" xfId="75" applyNumberFormat="1" applyFont="1" applyFill="1" applyBorder="1" applyAlignment="1" applyProtection="1">
      <alignment vertical="center"/>
      <protection hidden="1"/>
    </xf>
    <xf numFmtId="231" fontId="4" fillId="0" borderId="14" xfId="75" applyNumberFormat="1" applyFont="1" applyFill="1" applyBorder="1" applyAlignment="1" applyProtection="1">
      <alignment vertical="center"/>
      <protection hidden="1"/>
    </xf>
    <xf numFmtId="171" fontId="4" fillId="0" borderId="0" xfId="75" applyNumberFormat="1" applyFont="1" applyBorder="1" applyAlignment="1" applyProtection="1">
      <alignment vertical="center"/>
      <protection hidden="1"/>
    </xf>
    <xf numFmtId="224" fontId="4" fillId="29" borderId="0" xfId="75" applyNumberFormat="1" applyFont="1" applyFill="1" applyBorder="1" applyAlignment="1" applyProtection="1">
      <alignment vertical="center"/>
      <protection hidden="1"/>
    </xf>
    <xf numFmtId="171" fontId="4" fillId="0" borderId="14" xfId="78" applyNumberFormat="1" applyFont="1" applyFill="1" applyBorder="1" applyAlignment="1" applyProtection="1">
      <alignment horizontal="right" vertical="center"/>
      <protection hidden="1"/>
    </xf>
    <xf numFmtId="223" fontId="4" fillId="0" borderId="16" xfId="78" applyNumberFormat="1" applyFont="1" applyFill="1" applyBorder="1" applyAlignment="1" applyProtection="1">
      <alignment horizontal="left" vertical="center"/>
      <protection hidden="1"/>
    </xf>
    <xf numFmtId="171" fontId="4" fillId="16" borderId="15" xfId="75" applyNumberFormat="1" applyFont="1" applyFill="1" applyBorder="1" applyAlignment="1" applyProtection="1">
      <alignment vertical="center"/>
      <protection locked="0"/>
    </xf>
    <xf numFmtId="0" fontId="4" fillId="29" borderId="0" xfId="78" applyFont="1" applyFill="1" applyBorder="1" applyAlignment="1" applyProtection="1">
      <alignment vertical="center"/>
      <protection hidden="1"/>
    </xf>
    <xf numFmtId="171" fontId="4" fillId="0" borderId="16" xfId="75" quotePrefix="1" applyNumberFormat="1" applyFont="1" applyFill="1" applyBorder="1" applyAlignment="1" applyProtection="1">
      <alignment vertical="center"/>
      <protection hidden="1"/>
    </xf>
    <xf numFmtId="0" fontId="26" fillId="0" borderId="0" xfId="75" applyFont="1" applyBorder="1" applyAlignment="1" applyProtection="1">
      <alignment vertical="center"/>
      <protection hidden="1"/>
    </xf>
    <xf numFmtId="0" fontId="26" fillId="6" borderId="0" xfId="75" applyFont="1" applyFill="1" applyBorder="1" applyAlignment="1" applyProtection="1">
      <alignment vertical="center"/>
      <protection hidden="1"/>
    </xf>
    <xf numFmtId="171" fontId="26" fillId="34" borderId="15" xfId="75" applyNumberFormat="1" applyFont="1" applyFill="1" applyBorder="1" applyAlignment="1" applyProtection="1">
      <alignment vertical="center"/>
      <protection locked="0"/>
    </xf>
    <xf numFmtId="171" fontId="26" fillId="0" borderId="0" xfId="75" applyNumberFormat="1" applyFont="1" applyFill="1" applyBorder="1" applyAlignment="1" applyProtection="1">
      <alignment vertical="center"/>
      <protection hidden="1"/>
    </xf>
    <xf numFmtId="239" fontId="4" fillId="0" borderId="13" xfId="66" applyNumberFormat="1" applyFont="1" applyFill="1" applyBorder="1" applyAlignment="1" applyProtection="1">
      <alignment vertical="center"/>
      <protection hidden="1"/>
    </xf>
    <xf numFmtId="221" fontId="56" fillId="0" borderId="0" xfId="78" applyNumberFormat="1" applyFont="1" applyFill="1" applyBorder="1" applyAlignment="1" applyProtection="1">
      <alignment vertical="center"/>
      <protection hidden="1"/>
    </xf>
    <xf numFmtId="0" fontId="56" fillId="0" borderId="0" xfId="78" applyFont="1" applyBorder="1" applyAlignment="1" applyProtection="1">
      <alignment vertical="center"/>
      <protection hidden="1"/>
    </xf>
    <xf numFmtId="0" fontId="26" fillId="11" borderId="0" xfId="75" applyFont="1" applyFill="1" applyBorder="1" applyAlignment="1" applyProtection="1">
      <alignment vertical="center"/>
      <protection hidden="1"/>
    </xf>
    <xf numFmtId="171" fontId="26" fillId="33" borderId="15" xfId="75" applyNumberFormat="1" applyFont="1" applyFill="1" applyBorder="1" applyAlignment="1" applyProtection="1">
      <alignment vertical="center"/>
      <protection locked="0"/>
    </xf>
    <xf numFmtId="0" fontId="42" fillId="31" borderId="0" xfId="0" applyFont="1" applyFill="1" applyBorder="1" applyAlignment="1" applyProtection="1">
      <alignment horizontal="left" vertical="center"/>
      <protection hidden="1"/>
    </xf>
    <xf numFmtId="0" fontId="18" fillId="31" borderId="0" xfId="0" applyFont="1" applyFill="1" applyBorder="1" applyAlignment="1" applyProtection="1">
      <alignment horizontal="left" vertical="center"/>
      <protection hidden="1"/>
    </xf>
    <xf numFmtId="0" fontId="42" fillId="31" borderId="0" xfId="0" applyFont="1" applyFill="1" applyBorder="1" applyAlignment="1" applyProtection="1">
      <alignment vertical="center"/>
      <protection hidden="1"/>
    </xf>
    <xf numFmtId="200" fontId="28" fillId="0" borderId="13" xfId="0" applyNumberFormat="1" applyFont="1" applyFill="1" applyBorder="1" applyAlignment="1" applyProtection="1">
      <alignment horizontal="right" vertical="center"/>
      <protection hidden="1"/>
    </xf>
    <xf numFmtId="169" fontId="34" fillId="0" borderId="0" xfId="0" applyNumberFormat="1" applyFont="1" applyFill="1" applyBorder="1" applyAlignment="1" applyProtection="1">
      <alignment vertical="center"/>
      <protection hidden="1"/>
    </xf>
    <xf numFmtId="0" fontId="28" fillId="0" borderId="13" xfId="0" applyFont="1" applyFill="1" applyBorder="1" applyAlignment="1" applyProtection="1">
      <alignment horizontal="right" vertical="center"/>
      <protection hidden="1"/>
    </xf>
    <xf numFmtId="170" fontId="28" fillId="0" borderId="13" xfId="0" applyNumberFormat="1" applyFont="1" applyFill="1" applyBorder="1" applyAlignment="1" applyProtection="1">
      <alignment horizontal="right" vertical="center"/>
      <protection hidden="1"/>
    </xf>
    <xf numFmtId="200" fontId="28" fillId="0" borderId="17" xfId="0" applyNumberFormat="1" applyFont="1" applyFill="1" applyBorder="1" applyAlignment="1" applyProtection="1">
      <alignment horizontal="right" vertical="center"/>
      <protection hidden="1"/>
    </xf>
    <xf numFmtId="0" fontId="26" fillId="37" borderId="0" xfId="0" applyFont="1" applyFill="1" applyBorder="1" applyAlignment="1" applyProtection="1">
      <alignment vertical="center"/>
      <protection hidden="1"/>
    </xf>
    <xf numFmtId="169" fontId="36" fillId="35" borderId="15" xfId="0" applyNumberFormat="1" applyFont="1" applyFill="1" applyBorder="1" applyAlignment="1" applyProtection="1">
      <alignment vertical="center"/>
      <protection locked="0"/>
    </xf>
    <xf numFmtId="0" fontId="67" fillId="0" borderId="0" xfId="0" applyFont="1" applyFill="1" applyBorder="1" applyAlignment="1" applyProtection="1">
      <protection hidden="1"/>
    </xf>
    <xf numFmtId="0" fontId="67" fillId="0" borderId="0" xfId="0" applyFont="1" applyFill="1" applyBorder="1" applyAlignment="1" applyProtection="1">
      <alignment horizontal="center"/>
      <protection hidden="1"/>
    </xf>
    <xf numFmtId="0" fontId="26" fillId="10" borderId="0" xfId="0" applyFont="1" applyFill="1" applyBorder="1" applyAlignment="1" applyProtection="1">
      <alignment horizontal="left"/>
      <protection hidden="1"/>
    </xf>
    <xf numFmtId="0" fontId="36" fillId="10" borderId="0" xfId="0" applyFont="1" applyFill="1" applyBorder="1" applyAlignment="1" applyProtection="1">
      <protection hidden="1"/>
    </xf>
    <xf numFmtId="0" fontId="28" fillId="0" borderId="13" xfId="0" applyFont="1" applyFill="1" applyBorder="1" applyAlignment="1" applyProtection="1">
      <alignment horizontal="right"/>
      <protection hidden="1"/>
    </xf>
    <xf numFmtId="170" fontId="28" fillId="0" borderId="14" xfId="0" applyNumberFormat="1" applyFont="1" applyFill="1" applyBorder="1" applyAlignment="1" applyProtection="1">
      <alignment horizontal="right"/>
      <protection hidden="1"/>
    </xf>
    <xf numFmtId="0" fontId="28" fillId="0" borderId="19" xfId="0" applyFont="1" applyFill="1" applyBorder="1" applyAlignment="1" applyProtection="1">
      <alignment horizontal="right"/>
      <protection hidden="1"/>
    </xf>
    <xf numFmtId="0" fontId="26" fillId="32" borderId="0" xfId="0" applyFont="1" applyFill="1" applyBorder="1" applyAlignment="1" applyProtection="1">
      <protection hidden="1"/>
    </xf>
    <xf numFmtId="0" fontId="28" fillId="32" borderId="0" xfId="0" applyFont="1" applyFill="1" applyBorder="1" applyAlignment="1" applyProtection="1">
      <protection hidden="1"/>
    </xf>
    <xf numFmtId="170" fontId="28" fillId="35" borderId="15" xfId="0" applyNumberFormat="1" applyFont="1" applyFill="1" applyBorder="1" applyProtection="1">
      <protection locked="0"/>
    </xf>
    <xf numFmtId="4" fontId="28" fillId="32" borderId="0" xfId="0" applyNumberFormat="1" applyFont="1" applyFill="1" applyBorder="1" applyProtection="1">
      <protection hidden="1"/>
    </xf>
    <xf numFmtId="199" fontId="28" fillId="35" borderId="15" xfId="0" applyNumberFormat="1" applyFont="1" applyFill="1" applyBorder="1" applyProtection="1">
      <protection locked="0"/>
    </xf>
    <xf numFmtId="0" fontId="33" fillId="0" borderId="15" xfId="0" applyFont="1" applyFill="1" applyBorder="1" applyAlignment="1" applyProtection="1">
      <alignment horizontal="center" vertical="center"/>
      <protection locked="0"/>
    </xf>
    <xf numFmtId="0" fontId="28" fillId="0" borderId="0" xfId="0" applyFont="1" applyFill="1" applyBorder="1" applyAlignment="1" applyProtection="1">
      <alignment horizontal="left" indent="1"/>
      <protection hidden="1"/>
    </xf>
    <xf numFmtId="0" fontId="50" fillId="0" borderId="0" xfId="0" applyFont="1" applyFill="1" applyBorder="1" applyProtection="1">
      <protection hidden="1"/>
    </xf>
    <xf numFmtId="0" fontId="28" fillId="0" borderId="0" xfId="0" applyFont="1" applyFill="1" applyBorder="1" applyAlignment="1" applyProtection="1">
      <protection hidden="1"/>
    </xf>
    <xf numFmtId="201" fontId="28" fillId="0" borderId="0" xfId="0" applyNumberFormat="1" applyFont="1" applyFill="1" applyBorder="1" applyProtection="1">
      <protection hidden="1"/>
    </xf>
    <xf numFmtId="0" fontId="28" fillId="29" borderId="0" xfId="0" applyFont="1" applyFill="1" applyBorder="1" applyAlignment="1" applyProtection="1">
      <alignment horizontal="left"/>
      <protection hidden="1"/>
    </xf>
    <xf numFmtId="0" fontId="26" fillId="10" borderId="0" xfId="0" applyNumberFormat="1" applyFont="1" applyFill="1" applyBorder="1" applyAlignment="1" applyProtection="1">
      <alignment horizontal="center" vertical="center"/>
      <protection hidden="1"/>
    </xf>
    <xf numFmtId="0" fontId="28" fillId="0" borderId="13" xfId="0" applyFont="1" applyFill="1" applyBorder="1" applyAlignment="1" applyProtection="1">
      <alignment horizontal="left" vertical="center"/>
      <protection hidden="1"/>
    </xf>
    <xf numFmtId="170" fontId="26" fillId="32" borderId="0" xfId="0" applyNumberFormat="1" applyFont="1" applyFill="1" applyBorder="1" applyAlignment="1" applyProtection="1">
      <alignment vertical="center"/>
      <protection hidden="1"/>
    </xf>
    <xf numFmtId="200" fontId="28" fillId="35" borderId="15" xfId="0" applyNumberFormat="1" applyFont="1" applyFill="1" applyBorder="1" applyAlignment="1" applyProtection="1">
      <alignment vertical="center"/>
      <protection locked="0"/>
    </xf>
    <xf numFmtId="0" fontId="11" fillId="10" borderId="0" xfId="0" applyFont="1" applyFill="1" applyBorder="1" applyAlignment="1" applyProtection="1">
      <alignment vertical="center"/>
      <protection hidden="1"/>
    </xf>
    <xf numFmtId="0" fontId="18" fillId="31" borderId="0" xfId="0" applyFont="1" applyFill="1" applyAlignment="1" applyProtection="1">
      <protection hidden="1"/>
    </xf>
    <xf numFmtId="0" fontId="18" fillId="31" borderId="0" xfId="0" applyFont="1" applyFill="1" applyAlignment="1" applyProtection="1">
      <alignment horizontal="center"/>
      <protection hidden="1"/>
    </xf>
    <xf numFmtId="0" fontId="68" fillId="31" borderId="0" xfId="0" applyFont="1" applyFill="1" applyAlignment="1" applyProtection="1">
      <protection hidden="1"/>
    </xf>
    <xf numFmtId="0" fontId="68" fillId="31" borderId="0" xfId="0" applyFont="1" applyFill="1" applyProtection="1">
      <protection hidden="1"/>
    </xf>
    <xf numFmtId="0" fontId="26" fillId="31" borderId="0" xfId="0" applyFont="1" applyFill="1" applyAlignment="1" applyProtection="1">
      <protection hidden="1"/>
    </xf>
    <xf numFmtId="0" fontId="26" fillId="31" borderId="0" xfId="0" applyFont="1" applyFill="1" applyAlignment="1" applyProtection="1">
      <alignment horizontal="center"/>
      <protection hidden="1"/>
    </xf>
    <xf numFmtId="0" fontId="26" fillId="31" borderId="0" xfId="0" applyFont="1" applyFill="1" applyProtection="1">
      <protection hidden="1"/>
    </xf>
    <xf numFmtId="0" fontId="4" fillId="0" borderId="0" xfId="0" applyFont="1" applyFill="1" applyAlignment="1" applyProtection="1">
      <alignment horizontal="right"/>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6" fillId="0" borderId="0" xfId="0" applyFont="1" applyFill="1" applyAlignment="1" applyProtection="1">
      <protection hidden="1"/>
    </xf>
    <xf numFmtId="0" fontId="26" fillId="0" borderId="0" xfId="0" applyFont="1" applyFill="1" applyProtection="1">
      <protection hidden="1"/>
    </xf>
    <xf numFmtId="0" fontId="4" fillId="0" borderId="13"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3" fontId="4" fillId="0" borderId="13"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4" fillId="0" borderId="0" xfId="0" applyFont="1" applyFill="1" applyAlignment="1" applyProtection="1">
      <alignment horizontal="left"/>
      <protection hidden="1"/>
    </xf>
    <xf numFmtId="4" fontId="4" fillId="0" borderId="13"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center" vertical="center"/>
      <protection hidden="1"/>
    </xf>
    <xf numFmtId="0" fontId="26" fillId="10" borderId="0" xfId="0" applyFont="1" applyFill="1" applyBorder="1" applyAlignment="1" applyProtection="1">
      <alignment horizontal="left" vertical="center"/>
      <protection hidden="1"/>
    </xf>
    <xf numFmtId="0" fontId="28" fillId="10" borderId="0" xfId="0" applyFont="1" applyFill="1" applyBorder="1" applyAlignment="1" applyProtection="1">
      <alignment horizontal="right" vertical="center"/>
      <protection hidden="1"/>
    </xf>
    <xf numFmtId="0" fontId="4" fillId="0" borderId="0" xfId="0" applyFont="1" applyBorder="1" applyAlignment="1" applyProtection="1">
      <alignment vertical="center"/>
      <protection hidden="1"/>
    </xf>
    <xf numFmtId="0" fontId="4" fillId="29" borderId="0" xfId="0"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4" fillId="11" borderId="29" xfId="0" applyFont="1" applyFill="1" applyBorder="1" applyAlignment="1" applyProtection="1">
      <alignment horizontal="right" vertical="center"/>
      <protection hidden="1"/>
    </xf>
    <xf numFmtId="0" fontId="4" fillId="11" borderId="30" xfId="0" applyFont="1" applyFill="1" applyBorder="1" applyAlignment="1" applyProtection="1">
      <alignment horizontal="right" vertical="center"/>
      <protection hidden="1"/>
    </xf>
    <xf numFmtId="0" fontId="4" fillId="11" borderId="30" xfId="0" applyFont="1" applyFill="1" applyBorder="1" applyAlignment="1" applyProtection="1">
      <alignment horizontal="center" vertical="center"/>
      <protection hidden="1"/>
    </xf>
    <xf numFmtId="0" fontId="4" fillId="11" borderId="31" xfId="0" applyFont="1" applyFill="1" applyBorder="1" applyAlignment="1" applyProtection="1">
      <alignment horizontal="right" vertical="center"/>
      <protection hidden="1"/>
    </xf>
    <xf numFmtId="0" fontId="26" fillId="11" borderId="32" xfId="0" applyFont="1" applyFill="1" applyBorder="1" applyAlignment="1" applyProtection="1">
      <alignment horizontal="right" vertical="center"/>
      <protection hidden="1"/>
    </xf>
    <xf numFmtId="0" fontId="29" fillId="11" borderId="0" xfId="0" applyFont="1" applyFill="1" applyBorder="1" applyAlignment="1" applyProtection="1">
      <alignment horizontal="right"/>
      <protection hidden="1"/>
    </xf>
    <xf numFmtId="0" fontId="4" fillId="11" borderId="0" xfId="0" applyFont="1" applyFill="1" applyBorder="1" applyAlignment="1" applyProtection="1">
      <alignment horizontal="center" vertical="center"/>
      <protection hidden="1"/>
    </xf>
    <xf numFmtId="0" fontId="4" fillId="16" borderId="0" xfId="0" applyFont="1" applyFill="1" applyBorder="1" applyAlignment="1" applyProtection="1">
      <alignment horizontal="center" vertical="center"/>
      <protection locked="0"/>
    </xf>
    <xf numFmtId="0" fontId="0" fillId="11" borderId="0" xfId="0" applyFill="1" applyBorder="1" applyAlignment="1">
      <alignment vertical="center"/>
    </xf>
    <xf numFmtId="0" fontId="0" fillId="11" borderId="33" xfId="0" applyFill="1" applyBorder="1" applyAlignment="1">
      <alignment vertical="center"/>
    </xf>
    <xf numFmtId="0" fontId="69" fillId="29" borderId="0" xfId="0" applyFont="1" applyFill="1" applyBorder="1" applyAlignment="1" applyProtection="1">
      <alignment vertical="center"/>
      <protection hidden="1"/>
    </xf>
    <xf numFmtId="0" fontId="26" fillId="11" borderId="34" xfId="0" applyFont="1" applyFill="1" applyBorder="1" applyAlignment="1" applyProtection="1">
      <alignment horizontal="right" vertical="center"/>
      <protection hidden="1"/>
    </xf>
    <xf numFmtId="0" fontId="4" fillId="11" borderId="35" xfId="0" applyFont="1" applyFill="1" applyBorder="1" applyAlignment="1" applyProtection="1">
      <alignment horizontal="right" vertical="center"/>
      <protection hidden="1"/>
    </xf>
    <xf numFmtId="0" fontId="4" fillId="11" borderId="35" xfId="0" applyFont="1" applyFill="1" applyBorder="1" applyAlignment="1" applyProtection="1">
      <alignment horizontal="center" vertical="center"/>
      <protection hidden="1"/>
    </xf>
    <xf numFmtId="0" fontId="4" fillId="11" borderId="35" xfId="0" applyFont="1" applyFill="1" applyBorder="1" applyAlignment="1" applyProtection="1">
      <alignment vertical="center"/>
      <protection hidden="1"/>
    </xf>
    <xf numFmtId="0" fontId="4" fillId="11" borderId="36" xfId="0" applyFont="1" applyFill="1" applyBorder="1" applyAlignment="1" applyProtection="1">
      <alignment horizontal="center" vertical="center"/>
      <protection hidden="1"/>
    </xf>
    <xf numFmtId="0" fontId="4" fillId="29" borderId="0" xfId="0" applyFont="1" applyFill="1" applyBorder="1" applyAlignment="1" applyProtection="1">
      <alignment vertical="center"/>
      <protection hidden="1"/>
    </xf>
    <xf numFmtId="0" fontId="4" fillId="29" borderId="0" xfId="0" applyFont="1" applyFill="1" applyBorder="1" applyAlignment="1" applyProtection="1">
      <alignment horizontal="center" vertical="center"/>
      <protection hidden="1"/>
    </xf>
    <xf numFmtId="0" fontId="29" fillId="29" borderId="0" xfId="0" applyFont="1" applyFill="1" applyBorder="1" applyAlignment="1" applyProtection="1">
      <alignment horizontal="right"/>
      <protection hidden="1"/>
    </xf>
    <xf numFmtId="0" fontId="70" fillId="29" borderId="0" xfId="0" applyFont="1" applyFill="1" applyBorder="1" applyAlignment="1" applyProtection="1">
      <alignment vertical="center"/>
      <protection hidden="1"/>
    </xf>
    <xf numFmtId="0" fontId="4" fillId="0" borderId="0" xfId="0" applyFont="1" applyBorder="1" applyAlignment="1" applyProtection="1">
      <alignment horizontal="right" vertical="center"/>
      <protection hidden="1"/>
    </xf>
    <xf numFmtId="0" fontId="26" fillId="0" borderId="0" xfId="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6" fillId="11" borderId="29" xfId="0" applyFont="1" applyFill="1" applyBorder="1" applyAlignment="1" applyProtection="1">
      <alignment horizontal="right" vertical="center"/>
      <protection hidden="1"/>
    </xf>
    <xf numFmtId="0" fontId="4" fillId="11" borderId="31" xfId="0" applyFont="1" applyFill="1" applyBorder="1" applyAlignment="1" applyProtection="1">
      <alignment horizontal="center" vertical="center"/>
      <protection hidden="1"/>
    </xf>
    <xf numFmtId="0" fontId="26" fillId="0" borderId="0" xfId="0" applyFont="1" applyBorder="1" applyAlignment="1" applyProtection="1">
      <alignment vertical="center"/>
      <protection hidden="1"/>
    </xf>
    <xf numFmtId="0" fontId="69" fillId="0" borderId="0" xfId="0" applyFont="1" applyFill="1" applyBorder="1" applyAlignment="1" applyProtection="1">
      <alignment vertical="center"/>
      <protection hidden="1"/>
    </xf>
    <xf numFmtId="0" fontId="29" fillId="0" borderId="0" xfId="0" applyFont="1" applyFill="1" applyBorder="1" applyAlignment="1" applyProtection="1">
      <alignment horizontal="right"/>
      <protection hidden="1"/>
    </xf>
    <xf numFmtId="0" fontId="10" fillId="0" borderId="0" xfId="0" applyFont="1" applyBorder="1" applyAlignment="1" applyProtection="1">
      <alignment horizontal="center" vertical="center"/>
      <protection hidden="1"/>
    </xf>
    <xf numFmtId="0" fontId="4" fillId="16" borderId="15" xfId="0" applyFont="1" applyFill="1" applyBorder="1" applyAlignment="1" applyProtection="1">
      <alignment horizontal="center" vertical="center"/>
      <protection locked="0"/>
    </xf>
    <xf numFmtId="0" fontId="71" fillId="0" borderId="0" xfId="0" applyFont="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9" fontId="26"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right" vertical="center"/>
      <protection hidden="1"/>
    </xf>
    <xf numFmtId="0" fontId="29" fillId="29" borderId="0" xfId="0" applyFont="1" applyFill="1" applyBorder="1" applyAlignment="1" applyProtection="1">
      <alignment horizontal="right" vertical="center"/>
      <protection hidden="1"/>
    </xf>
    <xf numFmtId="0" fontId="10" fillId="29" borderId="0" xfId="0" applyFont="1" applyFill="1" applyBorder="1" applyAlignment="1" applyProtection="1">
      <alignment horizontal="center" vertical="center"/>
      <protection hidden="1"/>
    </xf>
    <xf numFmtId="0" fontId="0" fillId="29" borderId="0" xfId="0" applyFill="1" applyAlignment="1">
      <alignment vertical="center"/>
    </xf>
    <xf numFmtId="0" fontId="71" fillId="29" borderId="0" xfId="0" applyFont="1" applyFill="1" applyBorder="1" applyAlignment="1" applyProtection="1">
      <alignment horizontal="center" vertical="center"/>
      <protection hidden="1"/>
    </xf>
    <xf numFmtId="0" fontId="26" fillId="29" borderId="0" xfId="0" applyFont="1" applyFill="1" applyBorder="1" applyAlignment="1" applyProtection="1">
      <alignment horizontal="left" vertical="center"/>
      <protection hidden="1"/>
    </xf>
    <xf numFmtId="4" fontId="28" fillId="29" borderId="0" xfId="0" applyNumberFormat="1" applyFont="1" applyFill="1" applyBorder="1" applyAlignment="1" applyProtection="1">
      <alignment horizontal="center" vertical="center"/>
      <protection hidden="1"/>
    </xf>
    <xf numFmtId="9" fontId="4" fillId="29" borderId="0" xfId="0" applyNumberFormat="1" applyFont="1" applyFill="1" applyBorder="1" applyAlignment="1" applyProtection="1">
      <alignment horizontal="center" vertical="center"/>
      <protection hidden="1"/>
    </xf>
    <xf numFmtId="4" fontId="26" fillId="29" borderId="0" xfId="0" applyNumberFormat="1" applyFont="1" applyFill="1" applyBorder="1" applyAlignment="1" applyProtection="1">
      <alignment horizontal="center" vertical="center"/>
      <protection hidden="1"/>
    </xf>
    <xf numFmtId="9" fontId="4" fillId="16" borderId="15" xfId="0" applyNumberFormat="1" applyFont="1" applyFill="1" applyBorder="1" applyAlignment="1" applyProtection="1">
      <alignment horizontal="center" vertical="center"/>
      <protection locked="0"/>
    </xf>
    <xf numFmtId="4" fontId="26" fillId="0" borderId="0" xfId="0" applyNumberFormat="1" applyFont="1" applyFill="1" applyBorder="1" applyAlignment="1" applyProtection="1">
      <alignment vertical="center"/>
      <protection hidden="1"/>
    </xf>
    <xf numFmtId="0" fontId="29" fillId="11" borderId="30" xfId="0" applyFont="1" applyFill="1" applyBorder="1" applyAlignment="1" applyProtection="1">
      <alignment horizontal="right" vertical="center"/>
      <protection hidden="1"/>
    </xf>
    <xf numFmtId="0" fontId="26" fillId="11" borderId="30" xfId="0" applyFont="1" applyFill="1" applyBorder="1" applyAlignment="1" applyProtection="1">
      <alignment horizontal="center" vertical="center"/>
      <protection hidden="1"/>
    </xf>
    <xf numFmtId="0" fontId="26" fillId="11" borderId="30" xfId="0" applyFont="1" applyFill="1" applyBorder="1" applyAlignment="1" applyProtection="1">
      <alignment horizontal="right" vertical="center"/>
      <protection hidden="1"/>
    </xf>
    <xf numFmtId="0" fontId="26" fillId="11" borderId="30" xfId="0" applyFont="1" applyFill="1" applyBorder="1" applyAlignment="1" applyProtection="1">
      <alignment vertical="center"/>
      <protection hidden="1"/>
    </xf>
    <xf numFmtId="9" fontId="4" fillId="11" borderId="30" xfId="0" applyNumberFormat="1" applyFont="1" applyFill="1" applyBorder="1" applyAlignment="1" applyProtection="1">
      <alignment horizontal="center" vertical="center"/>
      <protection hidden="1"/>
    </xf>
    <xf numFmtId="9" fontId="4" fillId="11" borderId="31" xfId="0" applyNumberFormat="1" applyFont="1" applyFill="1" applyBorder="1" applyAlignment="1" applyProtection="1">
      <alignment horizontal="center" vertical="center"/>
      <protection hidden="1"/>
    </xf>
    <xf numFmtId="0" fontId="4" fillId="16" borderId="0" xfId="0" applyFont="1" applyFill="1" applyBorder="1" applyAlignment="1" applyProtection="1">
      <alignment vertical="center"/>
      <protection locked="0"/>
    </xf>
    <xf numFmtId="0" fontId="4" fillId="11" borderId="33" xfId="0" applyFont="1" applyFill="1" applyBorder="1" applyAlignment="1" applyProtection="1">
      <alignment vertical="center"/>
      <protection hidden="1"/>
    </xf>
    <xf numFmtId="0" fontId="29" fillId="11" borderId="35" xfId="0" applyFont="1" applyFill="1" applyBorder="1" applyAlignment="1" applyProtection="1">
      <alignment horizontal="right" vertical="center"/>
      <protection hidden="1"/>
    </xf>
    <xf numFmtId="0" fontId="4" fillId="11" borderId="36"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right" vertical="center"/>
      <protection hidden="1"/>
    </xf>
    <xf numFmtId="9" fontId="4"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4" fillId="29" borderId="37" xfId="0" applyFont="1" applyFill="1" applyBorder="1" applyAlignment="1" applyProtection="1">
      <alignment horizontal="right" vertical="center"/>
      <protection hidden="1"/>
    </xf>
    <xf numFmtId="0" fontId="4" fillId="29" borderId="37" xfId="0" applyFont="1" applyFill="1" applyBorder="1" applyAlignment="1" applyProtection="1">
      <alignment horizontal="left" vertical="center"/>
      <protection hidden="1"/>
    </xf>
    <xf numFmtId="0" fontId="4" fillId="29" borderId="37" xfId="0" applyFont="1" applyFill="1" applyBorder="1" applyAlignment="1" applyProtection="1">
      <alignment vertical="center"/>
      <protection hidden="1"/>
    </xf>
    <xf numFmtId="0" fontId="4" fillId="29" borderId="0" xfId="0" applyFont="1" applyFill="1" applyBorder="1" applyAlignment="1" applyProtection="1">
      <alignment horizontal="left" vertical="center"/>
      <protection hidden="1"/>
    </xf>
    <xf numFmtId="3" fontId="26" fillId="29" borderId="0" xfId="0" applyNumberFormat="1" applyFont="1" applyFill="1" applyBorder="1" applyAlignment="1" applyProtection="1">
      <alignment vertical="center"/>
      <protection hidden="1"/>
    </xf>
    <xf numFmtId="0" fontId="56" fillId="29" borderId="0" xfId="0" applyFont="1" applyFill="1" applyBorder="1" applyAlignment="1" applyProtection="1">
      <alignment horizontal="right"/>
      <protection hidden="1"/>
    </xf>
    <xf numFmtId="0" fontId="56" fillId="29" borderId="0" xfId="0" applyFont="1" applyFill="1" applyBorder="1" applyAlignment="1" applyProtection="1">
      <alignment horizontal="right" vertical="center"/>
      <protection hidden="1"/>
    </xf>
    <xf numFmtId="4" fontId="26" fillId="29" borderId="0" xfId="0" applyNumberFormat="1" applyFont="1" applyFill="1" applyBorder="1" applyAlignment="1" applyProtection="1">
      <alignment vertical="center"/>
      <protection hidden="1"/>
    </xf>
    <xf numFmtId="4" fontId="72" fillId="29" borderId="0" xfId="0" applyNumberFormat="1" applyFont="1" applyFill="1" applyBorder="1" applyAlignment="1" applyProtection="1">
      <alignment vertical="center"/>
      <protection hidden="1"/>
    </xf>
    <xf numFmtId="0" fontId="26" fillId="0" borderId="0" xfId="0" applyFont="1" applyFill="1" applyBorder="1" applyAlignment="1" applyProtection="1">
      <alignment horizontal="left" vertical="center"/>
      <protection hidden="1"/>
    </xf>
    <xf numFmtId="0" fontId="28" fillId="11" borderId="29" xfId="0" applyFont="1" applyFill="1" applyBorder="1" applyAlignment="1" applyProtection="1">
      <alignment horizontal="right" vertical="center"/>
      <protection hidden="1"/>
    </xf>
    <xf numFmtId="0" fontId="28" fillId="11" borderId="30" xfId="0" applyFont="1" applyFill="1" applyBorder="1" applyAlignment="1" applyProtection="1">
      <alignment horizontal="right" vertical="center"/>
      <protection hidden="1"/>
    </xf>
    <xf numFmtId="0" fontId="28" fillId="11" borderId="30" xfId="0" applyFont="1" applyFill="1" applyBorder="1" applyAlignment="1" applyProtection="1">
      <alignment horizontal="center" vertical="center"/>
      <protection hidden="1"/>
    </xf>
    <xf numFmtId="0" fontId="28" fillId="11" borderId="31" xfId="0" applyFont="1" applyFill="1" applyBorder="1" applyAlignment="1" applyProtection="1">
      <alignment horizontal="center" vertical="center"/>
      <protection hidden="1"/>
    </xf>
    <xf numFmtId="0" fontId="4" fillId="11" borderId="0" xfId="0" applyFont="1" applyFill="1" applyBorder="1" applyAlignment="1" applyProtection="1">
      <alignment horizontal="right" vertical="center"/>
      <protection hidden="1"/>
    </xf>
    <xf numFmtId="0" fontId="26" fillId="11" borderId="0" xfId="0" applyFont="1" applyFill="1" applyBorder="1" applyAlignment="1" applyProtection="1">
      <alignment horizontal="center" vertical="center"/>
      <protection hidden="1"/>
    </xf>
    <xf numFmtId="0" fontId="4" fillId="11" borderId="33" xfId="0"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0" fontId="4" fillId="11" borderId="37" xfId="0" applyFont="1" applyFill="1" applyBorder="1" applyAlignment="1" applyProtection="1">
      <alignment horizontal="center" vertical="center"/>
      <protection hidden="1"/>
    </xf>
    <xf numFmtId="0" fontId="29" fillId="11" borderId="0" xfId="0" applyFont="1" applyFill="1" applyBorder="1" applyAlignment="1" applyProtection="1">
      <alignment horizontal="right" vertical="top"/>
      <protection hidden="1"/>
    </xf>
    <xf numFmtId="0" fontId="4" fillId="11" borderId="34" xfId="0" applyFont="1" applyFill="1" applyBorder="1" applyAlignment="1" applyProtection="1">
      <alignment horizontal="right" vertical="center"/>
      <protection hidden="1"/>
    </xf>
    <xf numFmtId="0" fontId="0" fillId="11" borderId="35" xfId="0" applyFill="1" applyBorder="1" applyAlignment="1">
      <alignment vertical="center"/>
    </xf>
    <xf numFmtId="0" fontId="0" fillId="11" borderId="30" xfId="0" applyFill="1" applyBorder="1" applyAlignment="1">
      <alignment vertical="center"/>
    </xf>
    <xf numFmtId="0" fontId="0" fillId="0" borderId="0" xfId="0" applyFill="1" applyAlignment="1" applyProtection="1">
      <alignment horizontal="right" vertical="center"/>
      <protection hidden="1"/>
    </xf>
    <xf numFmtId="0" fontId="0" fillId="11" borderId="36" xfId="0" applyFill="1" applyBorder="1" applyAlignment="1">
      <alignment vertical="center"/>
    </xf>
    <xf numFmtId="0" fontId="4" fillId="0" borderId="0" xfId="0" applyFont="1" applyAlignment="1" applyProtection="1">
      <alignment vertical="center"/>
      <protection hidden="1"/>
    </xf>
    <xf numFmtId="4" fontId="26" fillId="0" borderId="0" xfId="0" applyNumberFormat="1" applyFont="1" applyBorder="1" applyAlignment="1" applyProtection="1">
      <alignment vertical="center"/>
      <protection hidden="1"/>
    </xf>
    <xf numFmtId="0" fontId="26" fillId="0" borderId="0" xfId="0" applyFont="1" applyBorder="1" applyAlignment="1" applyProtection="1">
      <alignment horizontal="center" vertical="center"/>
      <protection hidden="1"/>
    </xf>
    <xf numFmtId="0" fontId="32" fillId="10" borderId="0" xfId="0" applyFont="1" applyFill="1" applyBorder="1" applyAlignment="1" applyProtection="1">
      <alignment vertical="center"/>
      <protection hidden="1"/>
    </xf>
    <xf numFmtId="0" fontId="4" fillId="10" borderId="0" xfId="0" applyFont="1" applyFill="1" applyBorder="1" applyAlignment="1" applyProtection="1">
      <alignment horizontal="right" vertical="center"/>
      <protection hidden="1"/>
    </xf>
    <xf numFmtId="0" fontId="4" fillId="10" borderId="0" xfId="0" applyFont="1" applyFill="1" applyBorder="1" applyAlignment="1" applyProtection="1">
      <alignment horizontal="center" vertical="center"/>
      <protection hidden="1"/>
    </xf>
    <xf numFmtId="0" fontId="0" fillId="10" borderId="0" xfId="0" applyFill="1" applyAlignment="1">
      <alignment vertical="center"/>
    </xf>
    <xf numFmtId="0" fontId="4" fillId="10" borderId="0" xfId="0" applyFont="1" applyFill="1" applyBorder="1" applyAlignment="1" applyProtection="1">
      <alignment vertical="center"/>
      <protection hidden="1"/>
    </xf>
    <xf numFmtId="0" fontId="4" fillId="0" borderId="0" xfId="0" applyFont="1" applyBorder="1" applyProtection="1">
      <protection hidden="1"/>
    </xf>
    <xf numFmtId="0" fontId="27" fillId="13" borderId="0" xfId="0" applyFont="1" applyFill="1" applyProtection="1">
      <protection hidden="1"/>
    </xf>
    <xf numFmtId="0" fontId="27" fillId="10" borderId="0" xfId="0" applyFont="1" applyFill="1" applyProtection="1">
      <protection hidden="1"/>
    </xf>
    <xf numFmtId="0" fontId="0" fillId="10" borderId="0" xfId="0" applyFill="1" applyProtection="1">
      <protection hidden="1"/>
    </xf>
    <xf numFmtId="0" fontId="27" fillId="29" borderId="0" xfId="0" applyFont="1" applyFill="1" applyAlignment="1" applyProtection="1">
      <alignment horizontal="center" vertical="center"/>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198" fontId="28" fillId="0" borderId="13" xfId="0" applyNumberFormat="1" applyFont="1" applyFill="1" applyBorder="1" applyAlignment="1" applyProtection="1">
      <alignment horizontal="center"/>
      <protection hidden="1"/>
    </xf>
    <xf numFmtId="3" fontId="28" fillId="0" borderId="17" xfId="0" applyNumberFormat="1" applyFont="1" applyFill="1" applyBorder="1" applyAlignment="1" applyProtection="1">
      <alignment vertical="center"/>
      <protection hidden="1"/>
    </xf>
    <xf numFmtId="166" fontId="28" fillId="0" borderId="17" xfId="0" applyNumberFormat="1" applyFont="1" applyFill="1" applyBorder="1" applyAlignment="1" applyProtection="1">
      <alignment vertical="center"/>
      <protection hidden="1"/>
    </xf>
    <xf numFmtId="3" fontId="28" fillId="0" borderId="18" xfId="0" applyNumberFormat="1" applyFont="1" applyFill="1" applyBorder="1" applyAlignment="1" applyProtection="1">
      <alignment vertical="center"/>
      <protection hidden="1"/>
    </xf>
    <xf numFmtId="166" fontId="28" fillId="0" borderId="18" xfId="0" applyNumberFormat="1" applyFont="1" applyFill="1" applyBorder="1" applyAlignment="1" applyProtection="1">
      <alignment vertical="center"/>
      <protection hidden="1"/>
    </xf>
    <xf numFmtId="3" fontId="28" fillId="0" borderId="13" xfId="0" applyNumberFormat="1" applyFont="1" applyFill="1" applyBorder="1" applyAlignment="1" applyProtection="1">
      <alignment vertical="center"/>
      <protection hidden="1"/>
    </xf>
    <xf numFmtId="166" fontId="28" fillId="0" borderId="13" xfId="0" applyNumberFormat="1" applyFont="1" applyFill="1" applyBorder="1" applyAlignment="1" applyProtection="1">
      <alignment vertical="center"/>
      <protection hidden="1"/>
    </xf>
    <xf numFmtId="169" fontId="28" fillId="16" borderId="38" xfId="0" applyNumberFormat="1" applyFont="1" applyFill="1" applyBorder="1" applyProtection="1">
      <protection locked="0"/>
    </xf>
    <xf numFmtId="169" fontId="26" fillId="16" borderId="38" xfId="0" applyNumberFormat="1" applyFont="1" applyFill="1" applyBorder="1" applyProtection="1">
      <protection locked="0"/>
    </xf>
    <xf numFmtId="169" fontId="26" fillId="16" borderId="12" xfId="0" applyNumberFormat="1" applyFont="1" applyFill="1" applyBorder="1" applyProtection="1">
      <protection locked="0"/>
    </xf>
    <xf numFmtId="169" fontId="28" fillId="35" borderId="12" xfId="0" applyNumberFormat="1" applyFont="1" applyFill="1" applyBorder="1" applyProtection="1">
      <protection locked="0"/>
    </xf>
    <xf numFmtId="0" fontId="0" fillId="30" borderId="0" xfId="0" applyFill="1" applyProtection="1">
      <protection hidden="1"/>
    </xf>
    <xf numFmtId="191" fontId="36" fillId="0" borderId="13" xfId="0" applyNumberFormat="1" applyFont="1" applyFill="1" applyBorder="1" applyProtection="1">
      <protection hidden="1"/>
    </xf>
    <xf numFmtId="169" fontId="28" fillId="0" borderId="18" xfId="0" applyNumberFormat="1" applyFont="1" applyFill="1" applyBorder="1" applyProtection="1">
      <protection hidden="1"/>
    </xf>
    <xf numFmtId="169" fontId="28" fillId="0" borderId="17" xfId="0" applyNumberFormat="1" applyFont="1" applyFill="1" applyBorder="1" applyProtection="1">
      <protection hidden="1"/>
    </xf>
    <xf numFmtId="169" fontId="26" fillId="0" borderId="18" xfId="0" applyNumberFormat="1" applyFont="1" applyFill="1" applyBorder="1" applyProtection="1">
      <protection hidden="1"/>
    </xf>
    <xf numFmtId="169" fontId="26" fillId="0" borderId="20" xfId="0" applyNumberFormat="1" applyFont="1" applyFill="1" applyBorder="1" applyProtection="1">
      <protection hidden="1"/>
    </xf>
    <xf numFmtId="240" fontId="28" fillId="0" borderId="14" xfId="0" applyNumberFormat="1" applyFont="1" applyFill="1" applyBorder="1" applyAlignment="1" applyProtection="1">
      <alignment horizontal="center" vertical="center"/>
      <protection hidden="1"/>
    </xf>
    <xf numFmtId="240" fontId="28" fillId="0" borderId="25" xfId="0" applyNumberFormat="1" applyFont="1" applyFill="1" applyBorder="1" applyAlignment="1" applyProtection="1">
      <alignment horizontal="center" vertical="center"/>
      <protection hidden="1"/>
    </xf>
    <xf numFmtId="1" fontId="28" fillId="0" borderId="13" xfId="0" applyNumberFormat="1" applyFont="1" applyFill="1" applyBorder="1" applyAlignment="1" applyProtection="1">
      <alignment vertical="center"/>
      <protection hidden="1"/>
    </xf>
    <xf numFmtId="243" fontId="28" fillId="0" borderId="13" xfId="0" applyNumberFormat="1" applyFont="1" applyFill="1" applyBorder="1" applyAlignment="1" applyProtection="1">
      <alignment horizontal="center" vertical="center"/>
      <protection hidden="1"/>
    </xf>
    <xf numFmtId="243" fontId="28" fillId="0" borderId="17" xfId="0" applyNumberFormat="1" applyFont="1" applyFill="1" applyBorder="1" applyAlignment="1" applyProtection="1">
      <alignment horizontal="center" vertical="center"/>
      <protection hidden="1"/>
    </xf>
    <xf numFmtId="4" fontId="28" fillId="0" borderId="17" xfId="0" applyNumberFormat="1" applyFont="1" applyFill="1" applyBorder="1" applyAlignment="1" applyProtection="1">
      <alignment horizontal="center" vertical="center"/>
      <protection hidden="1"/>
    </xf>
    <xf numFmtId="4" fontId="28" fillId="0" borderId="18" xfId="0" applyNumberFormat="1" applyFont="1" applyFill="1" applyBorder="1" applyAlignment="1" applyProtection="1">
      <alignment horizontal="center" vertical="center"/>
      <protection hidden="1"/>
    </xf>
    <xf numFmtId="0" fontId="28" fillId="0" borderId="0" xfId="0" applyFont="1" applyFill="1" applyBorder="1" applyProtection="1">
      <protection locked="0"/>
    </xf>
    <xf numFmtId="0" fontId="28" fillId="0" borderId="14" xfId="0" applyFont="1" applyFill="1" applyBorder="1" applyAlignment="1" applyProtection="1">
      <alignment horizontal="center" vertical="center"/>
      <protection hidden="1"/>
    </xf>
    <xf numFmtId="4" fontId="28" fillId="0" borderId="0" xfId="0" applyNumberFormat="1" applyFont="1" applyFill="1" applyBorder="1" applyAlignment="1" applyProtection="1">
      <alignment horizontal="center" vertical="center"/>
      <protection hidden="1"/>
    </xf>
    <xf numFmtId="210" fontId="28" fillId="0" borderId="17" xfId="0" applyNumberFormat="1" applyFont="1" applyFill="1" applyBorder="1" applyAlignment="1" applyProtection="1">
      <alignment horizontal="center" vertical="center"/>
      <protection hidden="1"/>
    </xf>
    <xf numFmtId="172" fontId="28" fillId="0" borderId="18" xfId="0" applyNumberFormat="1" applyFont="1" applyFill="1" applyBorder="1" applyAlignment="1" applyProtection="1">
      <alignment horizontal="center" vertical="center"/>
      <protection hidden="1"/>
    </xf>
    <xf numFmtId="3" fontId="26" fillId="0" borderId="0" xfId="0" applyNumberFormat="1" applyFont="1" applyFill="1" applyBorder="1" applyAlignment="1" applyProtection="1">
      <alignment vertical="center"/>
      <protection hidden="1"/>
    </xf>
    <xf numFmtId="3" fontId="26" fillId="10" borderId="0" xfId="0" applyNumberFormat="1" applyFont="1" applyFill="1" applyBorder="1" applyAlignment="1" applyProtection="1">
      <alignment horizontal="centerContinuous" vertical="center"/>
      <protection hidden="1"/>
    </xf>
    <xf numFmtId="3" fontId="35" fillId="10" borderId="0" xfId="0" applyNumberFormat="1" applyFont="1" applyFill="1" applyBorder="1" applyAlignment="1" applyProtection="1">
      <alignment horizontal="left" vertical="center"/>
      <protection hidden="1"/>
    </xf>
    <xf numFmtId="4" fontId="26" fillId="32" borderId="13" xfId="0" applyNumberFormat="1" applyFont="1" applyFill="1" applyBorder="1" applyAlignment="1" applyProtection="1">
      <alignment horizontal="center" vertical="center"/>
      <protection hidden="1"/>
    </xf>
    <xf numFmtId="4" fontId="28" fillId="32" borderId="0" xfId="0" applyNumberFormat="1" applyFont="1" applyFill="1" applyBorder="1" applyAlignment="1" applyProtection="1">
      <alignment horizontal="center" vertical="center"/>
      <protection hidden="1"/>
    </xf>
    <xf numFmtId="3" fontId="35" fillId="10" borderId="0" xfId="0" applyNumberFormat="1" applyFont="1" applyFill="1" applyBorder="1" applyAlignment="1" applyProtection="1">
      <alignment vertical="center"/>
      <protection hidden="1"/>
    </xf>
    <xf numFmtId="4" fontId="28" fillId="10" borderId="0" xfId="0" applyNumberFormat="1" applyFont="1" applyFill="1" applyBorder="1" applyAlignment="1" applyProtection="1">
      <alignment horizontal="center" vertical="center"/>
      <protection hidden="1"/>
    </xf>
    <xf numFmtId="166" fontId="28" fillId="32" borderId="0" xfId="0" applyNumberFormat="1" applyFont="1" applyFill="1" applyBorder="1" applyAlignment="1" applyProtection="1">
      <alignment horizontal="center" vertical="center"/>
      <protection hidden="1"/>
    </xf>
    <xf numFmtId="3" fontId="28" fillId="32" borderId="0" xfId="0" applyNumberFormat="1" applyFont="1" applyFill="1" applyBorder="1" applyAlignment="1" applyProtection="1">
      <alignment vertical="center"/>
      <protection hidden="1"/>
    </xf>
    <xf numFmtId="166" fontId="28" fillId="10" borderId="0" xfId="0" applyNumberFormat="1" applyFont="1" applyFill="1" applyBorder="1" applyAlignment="1" applyProtection="1">
      <alignment vertical="center"/>
      <protection hidden="1"/>
    </xf>
    <xf numFmtId="4" fontId="26" fillId="10" borderId="0" xfId="0" applyNumberFormat="1" applyFont="1" applyFill="1" applyBorder="1" applyAlignment="1" applyProtection="1">
      <alignment horizontal="center" vertical="center"/>
      <protection hidden="1"/>
    </xf>
    <xf numFmtId="166" fontId="28" fillId="29" borderId="0" xfId="0" applyNumberFormat="1" applyFont="1" applyFill="1" applyBorder="1" applyAlignment="1" applyProtection="1">
      <alignment vertical="center"/>
      <protection hidden="1"/>
    </xf>
    <xf numFmtId="189" fontId="28" fillId="32" borderId="0" xfId="0" applyNumberFormat="1" applyFont="1" applyFill="1" applyBorder="1" applyAlignment="1" applyProtection="1">
      <alignment horizontal="center" vertical="center"/>
      <protection hidden="1"/>
    </xf>
    <xf numFmtId="3" fontId="28" fillId="6" borderId="0" xfId="0" applyNumberFormat="1" applyFont="1" applyFill="1" applyBorder="1" applyAlignment="1" applyProtection="1">
      <alignment horizontal="center" vertical="center"/>
      <protection hidden="1"/>
    </xf>
    <xf numFmtId="0" fontId="28" fillId="6" borderId="0" xfId="0" applyNumberFormat="1" applyFont="1" applyFill="1" applyBorder="1" applyAlignment="1" applyProtection="1">
      <alignment vertical="center"/>
      <protection hidden="1"/>
    </xf>
    <xf numFmtId="3" fontId="28" fillId="6" borderId="0" xfId="0" applyNumberFormat="1" applyFont="1" applyFill="1" applyBorder="1" applyAlignment="1" applyProtection="1">
      <alignment vertical="center"/>
      <protection hidden="1"/>
    </xf>
    <xf numFmtId="189" fontId="28" fillId="6" borderId="0" xfId="0" applyNumberFormat="1" applyFont="1" applyFill="1" applyBorder="1" applyAlignment="1" applyProtection="1">
      <alignment horizontal="center" vertical="center"/>
      <protection hidden="1"/>
    </xf>
    <xf numFmtId="198" fontId="28" fillId="6" borderId="13" xfId="0" applyNumberFormat="1" applyFont="1" applyFill="1" applyBorder="1" applyAlignment="1" applyProtection="1">
      <alignment horizontal="center" vertical="center"/>
      <protection hidden="1"/>
    </xf>
    <xf numFmtId="3" fontId="26" fillId="10" borderId="0" xfId="0" applyNumberFormat="1" applyFont="1" applyFill="1" applyBorder="1" applyAlignment="1" applyProtection="1">
      <alignment horizontal="center" vertical="center" shrinkToFit="1"/>
      <protection hidden="1"/>
    </xf>
    <xf numFmtId="3" fontId="28" fillId="10" borderId="0" xfId="0" applyNumberFormat="1" applyFont="1" applyFill="1" applyBorder="1" applyAlignment="1" applyProtection="1">
      <alignment vertical="center"/>
      <protection hidden="1"/>
    </xf>
    <xf numFmtId="3" fontId="28" fillId="29" borderId="0" xfId="0" applyNumberFormat="1" applyFont="1" applyFill="1" applyBorder="1" applyAlignment="1" applyProtection="1">
      <alignment horizontal="right" vertical="center"/>
      <protection hidden="1"/>
    </xf>
    <xf numFmtId="4" fontId="26" fillId="0" borderId="0" xfId="0" applyNumberFormat="1" applyFont="1" applyFill="1" applyBorder="1" applyAlignment="1" applyProtection="1">
      <alignment horizontal="center" vertical="center"/>
      <protection hidden="1"/>
    </xf>
    <xf numFmtId="3" fontId="26" fillId="0" borderId="0" xfId="0" applyNumberFormat="1" applyFont="1" applyFill="1" applyBorder="1" applyAlignment="1" applyProtection="1">
      <alignment horizontal="center" vertical="center"/>
      <protection hidden="1"/>
    </xf>
    <xf numFmtId="3" fontId="26" fillId="6" borderId="0" xfId="0" applyNumberFormat="1" applyFont="1" applyFill="1" applyBorder="1" applyAlignment="1" applyProtection="1">
      <alignment horizontal="center" vertical="center"/>
      <protection hidden="1"/>
    </xf>
    <xf numFmtId="185" fontId="26" fillId="10" borderId="0" xfId="0" applyNumberFormat="1" applyFont="1" applyFill="1" applyBorder="1" applyAlignment="1" applyProtection="1">
      <alignment horizontal="center" vertical="center"/>
      <protection hidden="1"/>
    </xf>
    <xf numFmtId="185" fontId="26" fillId="6" borderId="0" xfId="0" applyNumberFormat="1" applyFont="1" applyFill="1" applyBorder="1" applyAlignment="1" applyProtection="1">
      <alignment horizontal="center" vertical="center"/>
      <protection hidden="1"/>
    </xf>
    <xf numFmtId="4" fontId="26" fillId="6" borderId="0" xfId="0" applyNumberFormat="1" applyFont="1" applyFill="1" applyBorder="1" applyAlignment="1" applyProtection="1">
      <alignment horizontal="center" vertical="center"/>
      <protection hidden="1"/>
    </xf>
    <xf numFmtId="215" fontId="28" fillId="0" borderId="0" xfId="0" applyNumberFormat="1" applyFont="1" applyFill="1" applyBorder="1" applyAlignment="1" applyProtection="1">
      <alignment vertical="center"/>
      <protection hidden="1"/>
    </xf>
    <xf numFmtId="198" fontId="4" fillId="0" borderId="0" xfId="0" applyNumberFormat="1" applyFont="1" applyAlignment="1" applyProtection="1">
      <alignment vertical="center"/>
      <protection hidden="1"/>
    </xf>
    <xf numFmtId="216" fontId="28" fillId="0" borderId="0" xfId="0" applyNumberFormat="1" applyFont="1" applyFill="1" applyBorder="1" applyAlignment="1" applyProtection="1">
      <alignment vertical="center"/>
      <protection hidden="1"/>
    </xf>
    <xf numFmtId="198" fontId="28" fillId="0" borderId="0" xfId="0" applyNumberFormat="1" applyFont="1" applyFill="1" applyBorder="1" applyAlignment="1" applyProtection="1">
      <alignment vertical="center"/>
      <protection hidden="1"/>
    </xf>
    <xf numFmtId="165" fontId="28" fillId="0" borderId="0" xfId="0" applyNumberFormat="1" applyFont="1" applyFill="1" applyBorder="1" applyAlignment="1" applyProtection="1">
      <alignment horizontal="center" vertical="center"/>
      <protection hidden="1"/>
    </xf>
    <xf numFmtId="165" fontId="28" fillId="10" borderId="0" xfId="0" applyNumberFormat="1" applyFont="1" applyFill="1" applyBorder="1" applyAlignment="1" applyProtection="1">
      <alignment horizontal="center" vertical="center"/>
      <protection hidden="1"/>
    </xf>
    <xf numFmtId="185" fontId="26" fillId="29" borderId="0" xfId="0" applyNumberFormat="1" applyFont="1" applyFill="1" applyBorder="1" applyAlignment="1" applyProtection="1">
      <alignment vertical="center"/>
      <protection hidden="1"/>
    </xf>
    <xf numFmtId="165" fontId="28" fillId="29" borderId="0" xfId="0" applyNumberFormat="1" applyFont="1" applyFill="1" applyBorder="1" applyAlignment="1" applyProtection="1">
      <alignment vertical="center"/>
      <protection hidden="1"/>
    </xf>
    <xf numFmtId="3" fontId="26" fillId="11" borderId="0" xfId="0" applyNumberFormat="1" applyFont="1" applyFill="1" applyBorder="1" applyAlignment="1" applyProtection="1">
      <alignment vertical="center"/>
      <protection hidden="1"/>
    </xf>
    <xf numFmtId="185" fontId="26" fillId="11" borderId="0" xfId="0" applyNumberFormat="1" applyFont="1" applyFill="1" applyBorder="1" applyAlignment="1" applyProtection="1">
      <alignment vertical="center"/>
      <protection hidden="1"/>
    </xf>
    <xf numFmtId="4" fontId="26" fillId="11" borderId="0" xfId="0" applyNumberFormat="1" applyFont="1" applyFill="1" applyBorder="1" applyAlignment="1" applyProtection="1">
      <alignment vertical="center"/>
      <protection hidden="1"/>
    </xf>
    <xf numFmtId="185" fontId="26" fillId="0" borderId="0" xfId="0" applyNumberFormat="1" applyFont="1" applyFill="1" applyBorder="1" applyAlignment="1" applyProtection="1">
      <alignment horizontal="center" vertical="center"/>
      <protection hidden="1"/>
    </xf>
    <xf numFmtId="0" fontId="28" fillId="0" borderId="0" xfId="0" applyFont="1" applyBorder="1" applyAlignment="1" applyProtection="1">
      <alignment vertical="center"/>
      <protection locked="0"/>
    </xf>
    <xf numFmtId="4" fontId="26" fillId="32" borderId="20" xfId="0" applyNumberFormat="1" applyFont="1" applyFill="1" applyBorder="1" applyAlignment="1" applyProtection="1">
      <alignment horizontal="center" vertical="center"/>
      <protection hidden="1"/>
    </xf>
    <xf numFmtId="4" fontId="26" fillId="6" borderId="13" xfId="0" applyNumberFormat="1" applyFont="1" applyFill="1" applyBorder="1" applyAlignment="1" applyProtection="1">
      <alignment horizontal="center" vertical="center"/>
      <protection hidden="1"/>
    </xf>
    <xf numFmtId="171" fontId="4" fillId="0" borderId="20" xfId="78" applyNumberFormat="1" applyFont="1" applyFill="1" applyBorder="1" applyAlignment="1" applyProtection="1">
      <alignment vertical="center"/>
      <protection hidden="1"/>
    </xf>
    <xf numFmtId="171" fontId="4" fillId="0" borderId="18" xfId="78" applyNumberFormat="1" applyFont="1" applyFill="1" applyBorder="1" applyAlignment="1" applyProtection="1">
      <alignment vertical="center"/>
      <protection hidden="1"/>
    </xf>
    <xf numFmtId="171" fontId="4" fillId="0" borderId="13" xfId="78" applyNumberFormat="1" applyFont="1" applyFill="1" applyBorder="1" applyAlignment="1" applyProtection="1">
      <alignment vertical="center"/>
      <protection hidden="1"/>
    </xf>
    <xf numFmtId="171" fontId="4" fillId="0" borderId="17" xfId="78" applyNumberFormat="1" applyFont="1" applyFill="1" applyBorder="1" applyAlignment="1" applyProtection="1">
      <alignment vertical="center"/>
      <protection hidden="1"/>
    </xf>
    <xf numFmtId="0" fontId="2" fillId="0" borderId="0" xfId="76" applyProtection="1">
      <protection locked="0"/>
    </xf>
    <xf numFmtId="171" fontId="26" fillId="32" borderId="18" xfId="75" applyNumberFormat="1" applyFont="1" applyFill="1" applyBorder="1" applyAlignment="1" applyProtection="1">
      <alignment vertical="center"/>
      <protection hidden="1"/>
    </xf>
    <xf numFmtId="212" fontId="26" fillId="32" borderId="13" xfId="75" applyNumberFormat="1" applyFont="1" applyFill="1" applyBorder="1" applyAlignment="1" applyProtection="1">
      <alignment vertical="center"/>
      <protection hidden="1"/>
    </xf>
    <xf numFmtId="212" fontId="26" fillId="32" borderId="19" xfId="75" applyNumberFormat="1" applyFont="1" applyFill="1" applyBorder="1" applyAlignment="1" applyProtection="1">
      <alignment vertical="center"/>
      <protection hidden="1"/>
    </xf>
    <xf numFmtId="171" fontId="26" fillId="6" borderId="20" xfId="75" applyNumberFormat="1" applyFont="1" applyFill="1" applyBorder="1" applyAlignment="1" applyProtection="1">
      <alignment vertical="center"/>
      <protection hidden="1"/>
    </xf>
    <xf numFmtId="171" fontId="26" fillId="6" borderId="13" xfId="75" applyNumberFormat="1" applyFont="1" applyFill="1" applyBorder="1" applyAlignment="1" applyProtection="1">
      <alignment vertical="center"/>
      <protection hidden="1"/>
    </xf>
    <xf numFmtId="171" fontId="26" fillId="6" borderId="19" xfId="75" applyNumberFormat="1" applyFont="1" applyFill="1" applyBorder="1" applyAlignment="1" applyProtection="1">
      <alignment vertical="center"/>
      <protection hidden="1"/>
    </xf>
    <xf numFmtId="235" fontId="26" fillId="11" borderId="19" xfId="75" applyNumberFormat="1" applyFont="1" applyFill="1" applyBorder="1" applyAlignment="1" applyProtection="1">
      <alignment vertical="center"/>
      <protection hidden="1"/>
    </xf>
    <xf numFmtId="171" fontId="26" fillId="11" borderId="39" xfId="75" applyNumberFormat="1" applyFont="1" applyFill="1" applyBorder="1" applyAlignment="1" applyProtection="1">
      <alignment vertical="center"/>
      <protection hidden="1"/>
    </xf>
    <xf numFmtId="171" fontId="26" fillId="32" borderId="39" xfId="75" applyNumberFormat="1" applyFont="1" applyFill="1" applyBorder="1" applyAlignment="1" applyProtection="1">
      <alignment vertical="center"/>
      <protection hidden="1"/>
    </xf>
    <xf numFmtId="0" fontId="0" fillId="0" borderId="0" xfId="0" applyProtection="1">
      <protection locked="0"/>
    </xf>
    <xf numFmtId="0" fontId="76" fillId="0" borderId="0" xfId="76" applyFont="1" applyFill="1" applyAlignment="1" applyProtection="1">
      <alignment vertical="center"/>
      <protection hidden="1"/>
    </xf>
    <xf numFmtId="0" fontId="77" fillId="0" borderId="0" xfId="76" applyFont="1" applyFill="1" applyAlignment="1" applyProtection="1">
      <alignment vertical="center"/>
      <protection hidden="1"/>
    </xf>
    <xf numFmtId="191" fontId="28" fillId="0" borderId="21" xfId="0" applyNumberFormat="1" applyFont="1" applyFill="1" applyBorder="1" applyAlignment="1" applyProtection="1">
      <protection hidden="1"/>
    </xf>
    <xf numFmtId="191" fontId="28" fillId="0" borderId="14" xfId="0" applyNumberFormat="1" applyFont="1" applyFill="1" applyBorder="1" applyAlignment="1" applyProtection="1">
      <protection hidden="1"/>
    </xf>
    <xf numFmtId="170" fontId="28" fillId="16" borderId="15" xfId="0" applyNumberFormat="1" applyFont="1" applyFill="1" applyBorder="1" applyProtection="1">
      <protection locked="0"/>
    </xf>
    <xf numFmtId="199" fontId="28" fillId="16" borderId="15" xfId="0" applyNumberFormat="1" applyFont="1" applyFill="1" applyBorder="1" applyProtection="1">
      <protection locked="0"/>
    </xf>
    <xf numFmtId="170" fontId="28" fillId="32" borderId="13" xfId="0" applyNumberFormat="1" applyFont="1" applyFill="1" applyBorder="1" applyProtection="1">
      <protection hidden="1"/>
    </xf>
    <xf numFmtId="199" fontId="28" fillId="32" borderId="13" xfId="0" applyNumberFormat="1" applyFont="1" applyFill="1" applyBorder="1" applyProtection="1">
      <protection hidden="1"/>
    </xf>
    <xf numFmtId="170" fontId="28" fillId="0" borderId="17" xfId="0" applyNumberFormat="1" applyFont="1" applyFill="1" applyBorder="1" applyProtection="1">
      <protection hidden="1"/>
    </xf>
    <xf numFmtId="199" fontId="28" fillId="0" borderId="17" xfId="0" applyNumberFormat="1" applyFont="1" applyFill="1" applyBorder="1" applyProtection="1">
      <protection hidden="1"/>
    </xf>
    <xf numFmtId="170" fontId="28" fillId="0" borderId="18" xfId="0" applyNumberFormat="1" applyFont="1" applyFill="1" applyBorder="1" applyProtection="1">
      <protection hidden="1"/>
    </xf>
    <xf numFmtId="199" fontId="28" fillId="0" borderId="18" xfId="0" applyNumberFormat="1" applyFont="1" applyFill="1" applyBorder="1" applyProtection="1">
      <protection hidden="1"/>
    </xf>
    <xf numFmtId="199" fontId="28" fillId="0" borderId="13" xfId="0" applyNumberFormat="1" applyFont="1" applyFill="1" applyBorder="1" applyProtection="1">
      <protection hidden="1"/>
    </xf>
    <xf numFmtId="0" fontId="28" fillId="0" borderId="16" xfId="0" applyFont="1" applyFill="1" applyBorder="1" applyAlignment="1" applyProtection="1">
      <alignment vertical="center"/>
      <protection hidden="1"/>
    </xf>
    <xf numFmtId="1" fontId="28" fillId="0" borderId="18" xfId="0" applyNumberFormat="1" applyFont="1" applyFill="1" applyBorder="1" applyAlignment="1" applyProtection="1">
      <alignment vertical="center"/>
      <protection hidden="1"/>
    </xf>
    <xf numFmtId="170" fontId="28" fillId="0" borderId="18" xfId="0" applyNumberFormat="1" applyFont="1" applyFill="1" applyBorder="1" applyAlignment="1" applyProtection="1">
      <alignment vertical="center"/>
      <protection hidden="1"/>
    </xf>
    <xf numFmtId="169" fontId="4" fillId="29" borderId="0" xfId="0" applyNumberFormat="1" applyFont="1" applyFill="1" applyBorder="1" applyAlignment="1" applyProtection="1">
      <alignment horizontal="center" vertical="center"/>
      <protection hidden="1"/>
    </xf>
    <xf numFmtId="1" fontId="28" fillId="0" borderId="14" xfId="0" applyNumberFormat="1" applyFont="1" applyFill="1" applyBorder="1" applyAlignment="1" applyProtection="1">
      <alignment vertical="center"/>
      <protection hidden="1"/>
    </xf>
    <xf numFmtId="170" fontId="28" fillId="0" borderId="27" xfId="0" applyNumberFormat="1" applyFont="1" applyFill="1" applyBorder="1" applyAlignment="1" applyProtection="1">
      <alignment vertical="center"/>
      <protection hidden="1"/>
    </xf>
    <xf numFmtId="169" fontId="28" fillId="16" borderId="40" xfId="0" applyNumberFormat="1" applyFont="1" applyFill="1" applyBorder="1" applyProtection="1">
      <protection locked="0"/>
    </xf>
    <xf numFmtId="169" fontId="28" fillId="0" borderId="39" xfId="0" applyNumberFormat="1" applyFont="1" applyFill="1" applyBorder="1" applyProtection="1">
      <protection hidden="1"/>
    </xf>
    <xf numFmtId="170" fontId="28" fillId="0" borderId="13" xfId="0" applyNumberFormat="1" applyFont="1" applyFill="1" applyBorder="1" applyAlignment="1" applyProtection="1">
      <alignment vertical="center"/>
      <protection locked="0"/>
    </xf>
    <xf numFmtId="3" fontId="4" fillId="32" borderId="13" xfId="0" applyNumberFormat="1" applyFont="1" applyFill="1" applyBorder="1" applyAlignment="1" applyProtection="1">
      <alignment horizontal="center" vertical="center"/>
      <protection hidden="1"/>
    </xf>
    <xf numFmtId="169" fontId="4" fillId="32" borderId="13" xfId="0" applyNumberFormat="1" applyFont="1" applyFill="1" applyBorder="1" applyAlignment="1" applyProtection="1">
      <alignment horizontal="center" vertical="center"/>
      <protection hidden="1"/>
    </xf>
    <xf numFmtId="172" fontId="28" fillId="16" borderId="15" xfId="0" applyNumberFormat="1" applyFont="1" applyFill="1" applyBorder="1" applyAlignment="1" applyProtection="1">
      <alignment horizontal="center" vertical="center"/>
      <protection locked="0"/>
    </xf>
    <xf numFmtId="4" fontId="26" fillId="16" borderId="15" xfId="0" applyNumberFormat="1" applyFont="1" applyFill="1" applyBorder="1" applyAlignment="1" applyProtection="1">
      <alignment horizontal="center" vertical="center"/>
      <protection locked="0"/>
    </xf>
    <xf numFmtId="4" fontId="36" fillId="33" borderId="15" xfId="0" applyNumberFormat="1" applyFont="1" applyFill="1" applyBorder="1" applyAlignment="1" applyProtection="1">
      <alignment horizontal="center" vertical="center"/>
      <protection locked="0"/>
    </xf>
    <xf numFmtId="172" fontId="36" fillId="33" borderId="15" xfId="0" applyNumberFormat="1" applyFont="1" applyFill="1" applyBorder="1" applyAlignment="1" applyProtection="1">
      <alignment horizontal="center" vertical="center"/>
      <protection locked="0"/>
    </xf>
    <xf numFmtId="3" fontId="26" fillId="16" borderId="15" xfId="0" applyNumberFormat="1" applyFont="1" applyFill="1" applyBorder="1" applyAlignment="1" applyProtection="1">
      <alignment horizontal="center" vertical="center"/>
      <protection locked="0"/>
    </xf>
    <xf numFmtId="172" fontId="26" fillId="33" borderId="15" xfId="0" applyNumberFormat="1" applyFont="1" applyFill="1" applyBorder="1" applyAlignment="1" applyProtection="1">
      <alignment horizontal="center" vertical="center"/>
      <protection locked="0"/>
    </xf>
    <xf numFmtId="169" fontId="28" fillId="0" borderId="13" xfId="0" applyNumberFormat="1" applyFont="1" applyFill="1" applyBorder="1" applyProtection="1">
      <protection hidden="1"/>
    </xf>
    <xf numFmtId="0" fontId="66" fillId="0" borderId="0" xfId="78" applyNumberFormat="1" applyFont="1" applyAlignment="1" applyProtection="1">
      <alignment vertical="center"/>
      <protection hidden="1"/>
    </xf>
    <xf numFmtId="248" fontId="4" fillId="0" borderId="19" xfId="75" applyNumberFormat="1" applyFont="1" applyFill="1" applyBorder="1" applyAlignment="1" applyProtection="1">
      <alignment horizontal="left" vertical="center"/>
      <protection hidden="1"/>
    </xf>
    <xf numFmtId="166" fontId="28" fillId="0" borderId="16" xfId="0" applyNumberFormat="1" applyFont="1" applyFill="1" applyBorder="1" applyAlignment="1" applyProtection="1">
      <alignment vertical="center"/>
      <protection hidden="1"/>
    </xf>
    <xf numFmtId="4" fontId="28" fillId="0" borderId="14" xfId="0" applyNumberFormat="1" applyFont="1" applyFill="1" applyBorder="1" applyAlignment="1" applyProtection="1">
      <alignment vertical="center"/>
      <protection hidden="1"/>
    </xf>
    <xf numFmtId="170" fontId="28" fillId="16" borderId="15" xfId="0" applyNumberFormat="1" applyFont="1" applyFill="1" applyBorder="1" applyAlignment="1" applyProtection="1">
      <alignment vertical="center"/>
      <protection locked="0"/>
    </xf>
    <xf numFmtId="3" fontId="36" fillId="6" borderId="0" xfId="0" applyNumberFormat="1" applyFont="1" applyFill="1" applyBorder="1" applyAlignment="1" applyProtection="1">
      <alignment vertical="center"/>
      <protection hidden="1"/>
    </xf>
    <xf numFmtId="3" fontId="84" fillId="10" borderId="0" xfId="0" applyNumberFormat="1" applyFont="1" applyFill="1" applyBorder="1" applyAlignment="1" applyProtection="1">
      <alignment horizontal="centerContinuous" vertical="center"/>
      <protection hidden="1"/>
    </xf>
    <xf numFmtId="0" fontId="51" fillId="38" borderId="0" xfId="74" applyFont="1" applyFill="1" applyAlignment="1" applyProtection="1">
      <protection hidden="1"/>
    </xf>
    <xf numFmtId="0" fontId="87" fillId="38" borderId="0" xfId="74" applyFont="1" applyFill="1" applyAlignment="1" applyProtection="1">
      <protection hidden="1"/>
    </xf>
    <xf numFmtId="0" fontId="5" fillId="13" borderId="0" xfId="74" applyFill="1" applyProtection="1">
      <protection hidden="1"/>
    </xf>
    <xf numFmtId="0" fontId="5" fillId="0" borderId="0" xfId="74" applyProtection="1">
      <protection hidden="1"/>
    </xf>
    <xf numFmtId="0" fontId="5" fillId="0" borderId="0" xfId="74" applyFont="1" applyProtection="1">
      <protection hidden="1"/>
    </xf>
    <xf numFmtId="0" fontId="5" fillId="10" borderId="27" xfId="74" applyFont="1" applyFill="1" applyBorder="1" applyAlignment="1" applyProtection="1">
      <alignment horizontal="center" vertical="center"/>
      <protection hidden="1"/>
    </xf>
    <xf numFmtId="219" fontId="27" fillId="10" borderId="41" xfId="74" applyNumberFormat="1" applyFont="1" applyFill="1" applyBorder="1" applyAlignment="1" applyProtection="1">
      <alignment horizontal="center" vertical="center"/>
      <protection hidden="1"/>
    </xf>
    <xf numFmtId="219" fontId="27" fillId="10" borderId="42" xfId="74" applyNumberFormat="1" applyFont="1" applyFill="1" applyBorder="1" applyAlignment="1" applyProtection="1">
      <alignment horizontal="center" vertical="center"/>
      <protection hidden="1"/>
    </xf>
    <xf numFmtId="219" fontId="27" fillId="10" borderId="43" xfId="74" applyNumberFormat="1" applyFont="1" applyFill="1" applyBorder="1" applyAlignment="1" applyProtection="1">
      <alignment horizontal="center" vertical="center"/>
      <protection hidden="1"/>
    </xf>
    <xf numFmtId="0" fontId="5" fillId="13" borderId="44" xfId="74" applyFill="1" applyBorder="1" applyAlignment="1" applyProtection="1">
      <alignment horizontal="center" vertical="center"/>
      <protection hidden="1"/>
    </xf>
    <xf numFmtId="220" fontId="5" fillId="0" borderId="45" xfId="74" applyNumberFormat="1" applyFill="1" applyBorder="1" applyAlignment="1" applyProtection="1">
      <alignment horizontal="center" vertical="center"/>
      <protection hidden="1"/>
    </xf>
    <xf numFmtId="0" fontId="5" fillId="0" borderId="27" xfId="74" applyBorder="1" applyAlignment="1" applyProtection="1">
      <alignment vertical="center"/>
      <protection hidden="1"/>
    </xf>
    <xf numFmtId="0" fontId="5" fillId="13" borderId="46" xfId="74" applyFill="1" applyBorder="1" applyAlignment="1" applyProtection="1">
      <alignment horizontal="center" vertical="center"/>
      <protection hidden="1"/>
    </xf>
    <xf numFmtId="0" fontId="5" fillId="13" borderId="47" xfId="74" applyFill="1" applyBorder="1" applyAlignment="1" applyProtection="1">
      <alignment horizontal="center" vertical="center"/>
      <protection hidden="1"/>
    </xf>
    <xf numFmtId="220" fontId="5" fillId="0" borderId="48" xfId="74" applyNumberFormat="1" applyFill="1" applyBorder="1" applyAlignment="1" applyProtection="1">
      <alignment horizontal="center" vertical="center"/>
      <protection hidden="1"/>
    </xf>
    <xf numFmtId="220" fontId="5" fillId="0" borderId="49" xfId="74" applyNumberFormat="1" applyFill="1" applyBorder="1" applyAlignment="1" applyProtection="1">
      <alignment horizontal="center" vertical="center"/>
      <protection hidden="1"/>
    </xf>
    <xf numFmtId="220" fontId="5" fillId="0" borderId="50" xfId="74" applyNumberFormat="1" applyFill="1" applyBorder="1" applyAlignment="1" applyProtection="1">
      <alignment horizontal="center" vertical="center"/>
      <protection hidden="1"/>
    </xf>
    <xf numFmtId="220" fontId="5" fillId="0" borderId="51" xfId="74" applyNumberFormat="1" applyFill="1" applyBorder="1" applyAlignment="1" applyProtection="1">
      <alignment horizontal="center" vertical="center"/>
      <protection hidden="1"/>
    </xf>
    <xf numFmtId="220" fontId="5" fillId="0" borderId="52" xfId="74" applyNumberFormat="1" applyFill="1" applyBorder="1" applyAlignment="1" applyProtection="1">
      <alignment horizontal="center" vertical="center"/>
      <protection hidden="1"/>
    </xf>
    <xf numFmtId="220" fontId="5" fillId="0" borderId="53" xfId="74" applyNumberFormat="1" applyFill="1" applyBorder="1" applyAlignment="1" applyProtection="1">
      <alignment horizontal="center" vertical="center"/>
      <protection hidden="1"/>
    </xf>
    <xf numFmtId="220" fontId="5" fillId="0" borderId="54" xfId="74" applyNumberFormat="1" applyFill="1" applyBorder="1" applyAlignment="1" applyProtection="1">
      <alignment horizontal="center" vertical="center"/>
      <protection hidden="1"/>
    </xf>
    <xf numFmtId="220" fontId="5" fillId="0" borderId="55" xfId="74" applyNumberFormat="1" applyFill="1" applyBorder="1" applyAlignment="1" applyProtection="1">
      <alignment horizontal="center" vertical="center"/>
      <protection hidden="1"/>
    </xf>
    <xf numFmtId="0" fontId="5" fillId="0" borderId="0" xfId="74" applyFill="1" applyProtection="1">
      <protection hidden="1"/>
    </xf>
    <xf numFmtId="0" fontId="5" fillId="0" borderId="0" xfId="74" applyAlignment="1" applyProtection="1">
      <alignment horizontal="center"/>
      <protection hidden="1"/>
    </xf>
    <xf numFmtId="219" fontId="5" fillId="0" borderId="0" xfId="74" applyNumberFormat="1" applyProtection="1">
      <protection hidden="1"/>
    </xf>
    <xf numFmtId="0" fontId="88" fillId="39" borderId="27" xfId="74" applyFont="1" applyFill="1" applyBorder="1" applyAlignment="1" applyProtection="1">
      <alignment horizontal="center" vertical="center"/>
      <protection hidden="1"/>
    </xf>
    <xf numFmtId="219" fontId="88" fillId="39" borderId="27" xfId="74" applyNumberFormat="1" applyFont="1" applyFill="1" applyBorder="1" applyAlignment="1" applyProtection="1">
      <alignment horizontal="center" vertical="center"/>
      <protection hidden="1"/>
    </xf>
    <xf numFmtId="171" fontId="5" fillId="29" borderId="27" xfId="74" applyNumberFormat="1" applyFont="1" applyFill="1" applyBorder="1" applyAlignment="1" applyProtection="1">
      <alignment vertical="center"/>
      <protection hidden="1"/>
    </xf>
    <xf numFmtId="219" fontId="5" fillId="29" borderId="27" xfId="74" applyNumberFormat="1" applyFont="1" applyFill="1" applyBorder="1" applyAlignment="1" applyProtection="1">
      <alignment horizontal="center" vertical="center"/>
      <protection hidden="1"/>
    </xf>
    <xf numFmtId="220" fontId="5" fillId="29" borderId="27" xfId="74" applyNumberFormat="1" applyFont="1" applyFill="1" applyBorder="1" applyAlignment="1" applyProtection="1">
      <alignment vertical="center"/>
      <protection hidden="1"/>
    </xf>
    <xf numFmtId="0" fontId="5" fillId="29" borderId="27" xfId="74" applyFont="1" applyFill="1" applyBorder="1" applyAlignment="1" applyProtection="1">
      <alignment horizontal="center"/>
      <protection hidden="1"/>
    </xf>
    <xf numFmtId="0" fontId="5" fillId="0" borderId="27" xfId="74" applyBorder="1" applyProtection="1">
      <protection hidden="1"/>
    </xf>
    <xf numFmtId="0" fontId="5" fillId="13" borderId="56" xfId="74" applyFill="1" applyBorder="1" applyAlignment="1" applyProtection="1">
      <alignment horizontal="center" vertical="center"/>
      <protection hidden="1"/>
    </xf>
    <xf numFmtId="220" fontId="5" fillId="0" borderId="57" xfId="74" applyNumberFormat="1" applyFill="1" applyBorder="1" applyAlignment="1" applyProtection="1">
      <alignment horizontal="center" vertical="center"/>
      <protection hidden="1"/>
    </xf>
    <xf numFmtId="220" fontId="5" fillId="0" borderId="58" xfId="74" applyNumberFormat="1" applyFill="1" applyBorder="1" applyAlignment="1" applyProtection="1">
      <alignment horizontal="center" vertical="center"/>
      <protection hidden="1"/>
    </xf>
    <xf numFmtId="220" fontId="5" fillId="0" borderId="59" xfId="74" applyNumberFormat="1" applyFill="1" applyBorder="1" applyAlignment="1" applyProtection="1">
      <alignment horizontal="center" vertical="center"/>
      <protection hidden="1"/>
    </xf>
    <xf numFmtId="0" fontId="5" fillId="13" borderId="60" xfId="74" applyFill="1" applyBorder="1" applyAlignment="1" applyProtection="1">
      <alignment horizontal="center" vertical="center"/>
      <protection hidden="1"/>
    </xf>
    <xf numFmtId="220" fontId="5" fillId="0" borderId="61" xfId="74" applyNumberFormat="1" applyFill="1" applyBorder="1" applyAlignment="1" applyProtection="1">
      <alignment horizontal="center" vertical="center"/>
      <protection hidden="1"/>
    </xf>
    <xf numFmtId="220" fontId="5" fillId="0" borderId="62" xfId="74" applyNumberFormat="1" applyFill="1" applyBorder="1" applyAlignment="1" applyProtection="1">
      <alignment horizontal="center" vertical="center"/>
      <protection hidden="1"/>
    </xf>
    <xf numFmtId="220" fontId="5" fillId="0" borderId="63" xfId="74" applyNumberFormat="1" applyFill="1" applyBorder="1" applyAlignment="1" applyProtection="1">
      <alignment horizontal="center" vertical="center"/>
      <protection hidden="1"/>
    </xf>
    <xf numFmtId="0" fontId="18" fillId="40" borderId="64" xfId="0" applyFont="1" applyFill="1" applyBorder="1" applyAlignment="1" applyProtection="1">
      <alignment vertical="center"/>
      <protection hidden="1"/>
    </xf>
    <xf numFmtId="0" fontId="18" fillId="40" borderId="65" xfId="0" applyFont="1" applyFill="1" applyBorder="1" applyProtection="1">
      <protection hidden="1"/>
    </xf>
    <xf numFmtId="0" fontId="90" fillId="40" borderId="65" xfId="0" applyFont="1" applyFill="1" applyBorder="1" applyProtection="1">
      <protection hidden="1"/>
    </xf>
    <xf numFmtId="0" fontId="91" fillId="40" borderId="65" xfId="0" applyFont="1" applyFill="1" applyBorder="1" applyAlignment="1" applyProtection="1">
      <alignment horizontal="right" vertical="center"/>
      <protection hidden="1"/>
    </xf>
    <xf numFmtId="0" fontId="92" fillId="0" borderId="66" xfId="0" applyFont="1" applyFill="1" applyBorder="1" applyAlignment="1" applyProtection="1">
      <alignment horizontal="center" vertical="center"/>
      <protection hidden="1"/>
    </xf>
    <xf numFmtId="0" fontId="5" fillId="0" borderId="0" xfId="0" applyFont="1" applyBorder="1" applyAlignment="1" applyProtection="1">
      <alignment vertical="center" wrapText="1"/>
      <protection hidden="1"/>
    </xf>
    <xf numFmtId="0" fontId="94" fillId="0" borderId="0" xfId="0" applyFont="1" applyBorder="1" applyAlignment="1" applyProtection="1">
      <alignment vertical="top" wrapText="1"/>
      <protection hidden="1"/>
    </xf>
    <xf numFmtId="0" fontId="46" fillId="0" borderId="0" xfId="0" applyFont="1" applyProtection="1">
      <protection hidden="1"/>
    </xf>
    <xf numFmtId="0" fontId="0" fillId="0" borderId="27" xfId="0" applyBorder="1" applyProtection="1">
      <protection hidden="1"/>
    </xf>
    <xf numFmtId="0" fontId="49" fillId="0" borderId="0" xfId="0" applyFont="1" applyFill="1" applyProtection="1">
      <protection hidden="1"/>
    </xf>
    <xf numFmtId="0" fontId="0" fillId="0" borderId="0" xfId="0" applyFill="1" applyProtection="1">
      <protection hidden="1"/>
    </xf>
    <xf numFmtId="0" fontId="95" fillId="0" borderId="0" xfId="0" applyFont="1" applyFill="1" applyProtection="1">
      <protection hidden="1"/>
    </xf>
    <xf numFmtId="0" fontId="5" fillId="0" borderId="0" xfId="0" applyFont="1" applyFill="1" applyAlignment="1" applyProtection="1">
      <alignment horizontal="center"/>
      <protection hidden="1"/>
    </xf>
    <xf numFmtId="0" fontId="93" fillId="41" borderId="27" xfId="0" applyFont="1" applyFill="1" applyBorder="1" applyAlignment="1" applyProtection="1">
      <alignment horizontal="center" vertical="center"/>
      <protection hidden="1"/>
    </xf>
    <xf numFmtId="0" fontId="46" fillId="0" borderId="0" xfId="0" applyFont="1" applyAlignment="1" applyProtection="1">
      <alignment horizontal="center" vertical="center"/>
      <protection hidden="1"/>
    </xf>
    <xf numFmtId="0" fontId="0" fillId="35" borderId="27" xfId="0" applyFill="1" applyBorder="1" applyProtection="1">
      <protection hidden="1"/>
    </xf>
    <xf numFmtId="0" fontId="96" fillId="13" borderId="0" xfId="0" applyFont="1" applyFill="1" applyAlignment="1" applyProtection="1">
      <alignment vertical="center"/>
      <protection hidden="1"/>
    </xf>
    <xf numFmtId="0" fontId="2" fillId="13" borderId="0" xfId="0" applyFont="1" applyFill="1" applyAlignment="1" applyProtection="1">
      <alignment vertical="center"/>
      <protection hidden="1"/>
    </xf>
    <xf numFmtId="0" fontId="0" fillId="13" borderId="0" xfId="0" applyFill="1" applyAlignment="1" applyProtection="1">
      <alignment vertical="center"/>
      <protection hidden="1"/>
    </xf>
    <xf numFmtId="0" fontId="10" fillId="13" borderId="0" xfId="0" applyFont="1" applyFill="1" applyAlignment="1" applyProtection="1">
      <alignment horizontal="center" vertical="center"/>
      <protection hidden="1"/>
    </xf>
    <xf numFmtId="0" fontId="10" fillId="13" borderId="0" xfId="0" applyFont="1" applyFill="1" applyAlignment="1" applyProtection="1">
      <alignment horizontal="center" vertical="center" wrapText="1"/>
      <protection hidden="1"/>
    </xf>
    <xf numFmtId="0" fontId="11" fillId="13" borderId="0" xfId="0" quotePrefix="1" applyFont="1" applyFill="1" applyAlignment="1" applyProtection="1">
      <alignment horizontal="center" vertical="center"/>
      <protection hidden="1"/>
    </xf>
    <xf numFmtId="0" fontId="9" fillId="13" borderId="0" xfId="0" applyFont="1" applyFill="1" applyAlignment="1" applyProtection="1">
      <alignment horizontal="centerContinuous" vertical="center"/>
      <protection hidden="1"/>
    </xf>
    <xf numFmtId="0" fontId="97" fillId="42" borderId="27" xfId="0" applyFont="1" applyFill="1" applyBorder="1" applyAlignment="1" applyProtection="1">
      <alignment horizontal="center" vertical="center"/>
      <protection hidden="1"/>
    </xf>
    <xf numFmtId="0" fontId="27" fillId="0" borderId="0" xfId="0" applyFont="1" applyProtection="1">
      <protection hidden="1"/>
    </xf>
    <xf numFmtId="0" fontId="5" fillId="0" borderId="0" xfId="0" applyFont="1" applyProtection="1">
      <protection hidden="1"/>
    </xf>
    <xf numFmtId="0" fontId="4" fillId="16" borderId="0" xfId="0" applyFont="1" applyFill="1" applyProtection="1">
      <protection hidden="1"/>
    </xf>
    <xf numFmtId="0" fontId="98" fillId="0" borderId="0" xfId="0" applyFont="1" applyProtection="1">
      <protection hidden="1"/>
    </xf>
    <xf numFmtId="0" fontId="95" fillId="29" borderId="0" xfId="0" applyFont="1" applyFill="1" applyProtection="1">
      <protection hidden="1"/>
    </xf>
    <xf numFmtId="0" fontId="5" fillId="29" borderId="0" xfId="0" applyFont="1" applyFill="1" applyAlignment="1" applyProtection="1">
      <alignment horizontal="center"/>
      <protection hidden="1"/>
    </xf>
    <xf numFmtId="0" fontId="0" fillId="29" borderId="0" xfId="0" applyFill="1" applyAlignment="1" applyProtection="1">
      <alignment horizontal="center"/>
      <protection hidden="1"/>
    </xf>
    <xf numFmtId="3" fontId="4" fillId="0" borderId="0" xfId="0" applyNumberFormat="1" applyFont="1" applyProtection="1">
      <protection hidden="1"/>
    </xf>
    <xf numFmtId="4" fontId="4" fillId="16" borderId="27" xfId="0" applyNumberFormat="1" applyFont="1" applyFill="1" applyBorder="1" applyProtection="1">
      <protection hidden="1"/>
    </xf>
    <xf numFmtId="4" fontId="4" fillId="0" borderId="0" xfId="0" applyNumberFormat="1" applyFont="1" applyFill="1" applyBorder="1" applyProtection="1">
      <protection hidden="1"/>
    </xf>
    <xf numFmtId="4" fontId="98" fillId="0" borderId="27" xfId="0" applyNumberFormat="1" applyFont="1" applyBorder="1" applyProtection="1">
      <protection hidden="1"/>
    </xf>
    <xf numFmtId="0" fontId="95" fillId="29" borderId="0" xfId="0" applyFont="1" applyFill="1" applyAlignment="1" applyProtection="1">
      <alignment horizontal="center"/>
      <protection hidden="1"/>
    </xf>
    <xf numFmtId="0" fontId="95" fillId="29" borderId="37" xfId="0" applyNumberFormat="1" applyFont="1" applyFill="1" applyBorder="1" applyAlignment="1" applyProtection="1">
      <alignment horizontal="center"/>
      <protection hidden="1"/>
    </xf>
    <xf numFmtId="0" fontId="93" fillId="0" borderId="27" xfId="0" applyFont="1" applyBorder="1" applyAlignment="1" applyProtection="1">
      <alignment horizontal="center" vertical="center"/>
      <protection hidden="1"/>
    </xf>
    <xf numFmtId="4" fontId="4" fillId="35" borderId="27" xfId="0" applyNumberFormat="1" applyFont="1" applyFill="1" applyBorder="1" applyProtection="1">
      <protection hidden="1"/>
    </xf>
    <xf numFmtId="4" fontId="4" fillId="37" borderId="0" xfId="0" applyNumberFormat="1" applyFont="1" applyFill="1" applyBorder="1" applyProtection="1">
      <protection hidden="1"/>
    </xf>
    <xf numFmtId="4" fontId="98" fillId="35" borderId="27" xfId="0" applyNumberFormat="1" applyFont="1" applyFill="1" applyBorder="1" applyProtection="1">
      <protection hidden="1"/>
    </xf>
    <xf numFmtId="4" fontId="4" fillId="16" borderId="0" xfId="0" applyNumberFormat="1" applyFont="1" applyFill="1" applyBorder="1" applyProtection="1">
      <protection hidden="1"/>
    </xf>
    <xf numFmtId="4" fontId="98" fillId="0" borderId="0" xfId="0" applyNumberFormat="1" applyFont="1" applyBorder="1" applyProtection="1">
      <protection hidden="1"/>
    </xf>
    <xf numFmtId="0" fontId="58" fillId="17" borderId="27" xfId="0" applyFont="1" applyFill="1" applyBorder="1" applyAlignment="1" applyProtection="1">
      <alignment horizontal="center" vertical="center"/>
      <protection hidden="1"/>
    </xf>
    <xf numFmtId="3" fontId="27" fillId="0" borderId="0" xfId="0" applyNumberFormat="1" applyFont="1" applyProtection="1">
      <protection hidden="1"/>
    </xf>
    <xf numFmtId="0" fontId="29" fillId="0" borderId="0" xfId="0" applyFont="1" applyAlignment="1" applyProtection="1">
      <alignment horizontal="center" vertical="center"/>
      <protection hidden="1"/>
    </xf>
    <xf numFmtId="4" fontId="27" fillId="0" borderId="27" xfId="0" applyNumberFormat="1" applyFont="1" applyBorder="1" applyProtection="1">
      <protection hidden="1"/>
    </xf>
    <xf numFmtId="4" fontId="27" fillId="35" borderId="27" xfId="0" applyNumberFormat="1" applyFont="1" applyFill="1" applyBorder="1" applyProtection="1">
      <protection hidden="1"/>
    </xf>
    <xf numFmtId="4" fontId="27" fillId="0" borderId="0" xfId="0" applyNumberFormat="1" applyFont="1" applyBorder="1" applyProtection="1">
      <protection hidden="1"/>
    </xf>
    <xf numFmtId="0" fontId="29" fillId="0" borderId="0" xfId="0" applyFont="1" applyProtection="1">
      <protection hidden="1"/>
    </xf>
    <xf numFmtId="0" fontId="27" fillId="0" borderId="0" xfId="77" applyFont="1" applyProtection="1">
      <protection hidden="1"/>
    </xf>
    <xf numFmtId="0" fontId="29" fillId="0" borderId="0" xfId="77" applyFont="1" applyProtection="1">
      <protection hidden="1"/>
    </xf>
    <xf numFmtId="0" fontId="4" fillId="16" borderId="0" xfId="77" applyFont="1" applyFill="1" applyProtection="1">
      <protection hidden="1"/>
    </xf>
    <xf numFmtId="0" fontId="5" fillId="0" borderId="0" xfId="77" applyProtection="1">
      <protection hidden="1"/>
    </xf>
    <xf numFmtId="0" fontId="98" fillId="0" borderId="0" xfId="77" applyFont="1" applyProtection="1">
      <protection hidden="1"/>
    </xf>
    <xf numFmtId="0" fontId="95" fillId="29" borderId="0" xfId="77" applyFont="1" applyFill="1" applyProtection="1">
      <protection hidden="1"/>
    </xf>
    <xf numFmtId="3" fontId="4" fillId="0" borderId="0" xfId="77" applyNumberFormat="1" applyFont="1" applyProtection="1">
      <protection hidden="1"/>
    </xf>
    <xf numFmtId="4" fontId="4" fillId="16" borderId="27" xfId="77" applyNumberFormat="1" applyFont="1" applyFill="1" applyBorder="1" applyProtection="1">
      <protection hidden="1"/>
    </xf>
    <xf numFmtId="4" fontId="4" fillId="0" borderId="0" xfId="77" applyNumberFormat="1" applyFont="1" applyFill="1" applyBorder="1" applyProtection="1">
      <protection hidden="1"/>
    </xf>
    <xf numFmtId="4" fontId="98" fillId="0" borderId="27" xfId="77" applyNumberFormat="1" applyFont="1" applyBorder="1" applyProtection="1">
      <protection hidden="1"/>
    </xf>
    <xf numFmtId="0" fontId="95" fillId="29" borderId="0" xfId="77" applyFont="1" applyFill="1" applyAlignment="1" applyProtection="1">
      <alignment horizontal="center"/>
      <protection hidden="1"/>
    </xf>
    <xf numFmtId="3" fontId="10" fillId="0" borderId="0" xfId="77" applyNumberFormat="1" applyFont="1" applyProtection="1">
      <protection hidden="1"/>
    </xf>
    <xf numFmtId="4" fontId="4" fillId="35" borderId="27" xfId="77" applyNumberFormat="1" applyFont="1" applyFill="1" applyBorder="1" applyProtection="1">
      <protection hidden="1"/>
    </xf>
    <xf numFmtId="4" fontId="4" fillId="37" borderId="0" xfId="77" applyNumberFormat="1" applyFont="1" applyFill="1" applyBorder="1" applyProtection="1">
      <protection hidden="1"/>
    </xf>
    <xf numFmtId="4" fontId="98" fillId="35" borderId="27" xfId="77" applyNumberFormat="1" applyFont="1" applyFill="1" applyBorder="1" applyProtection="1">
      <protection hidden="1"/>
    </xf>
    <xf numFmtId="0" fontId="5" fillId="0" borderId="0" xfId="77" applyFont="1" applyProtection="1">
      <protection hidden="1"/>
    </xf>
    <xf numFmtId="189" fontId="4" fillId="35" borderId="27" xfId="77" applyNumberFormat="1" applyFont="1" applyFill="1" applyBorder="1" applyProtection="1">
      <protection hidden="1"/>
    </xf>
    <xf numFmtId="189" fontId="4" fillId="37" borderId="0" xfId="77" applyNumberFormat="1" applyFont="1" applyFill="1" applyBorder="1" applyProtection="1">
      <protection hidden="1"/>
    </xf>
    <xf numFmtId="189" fontId="98" fillId="35" borderId="27" xfId="77" applyNumberFormat="1" applyFont="1" applyFill="1" applyBorder="1" applyProtection="1">
      <protection hidden="1"/>
    </xf>
    <xf numFmtId="0" fontId="27" fillId="0" borderId="0" xfId="76" applyFont="1" applyProtection="1">
      <protection hidden="1"/>
    </xf>
    <xf numFmtId="0" fontId="5" fillId="0" borderId="0" xfId="76" applyFont="1" applyProtection="1">
      <protection hidden="1"/>
    </xf>
    <xf numFmtId="0" fontId="4" fillId="16" borderId="0" xfId="76" applyFont="1" applyFill="1" applyProtection="1">
      <protection hidden="1"/>
    </xf>
    <xf numFmtId="0" fontId="98" fillId="0" borderId="0" xfId="76" applyFont="1" applyProtection="1">
      <protection hidden="1"/>
    </xf>
    <xf numFmtId="0" fontId="95" fillId="29" borderId="0" xfId="76" applyFont="1" applyFill="1" applyProtection="1">
      <protection hidden="1"/>
    </xf>
    <xf numFmtId="4" fontId="4" fillId="16" borderId="27" xfId="76" applyNumberFormat="1" applyFont="1" applyFill="1" applyBorder="1" applyProtection="1">
      <protection hidden="1"/>
    </xf>
    <xf numFmtId="4" fontId="4" fillId="0" borderId="0" xfId="76" applyNumberFormat="1" applyFont="1" applyFill="1" applyBorder="1" applyProtection="1">
      <protection hidden="1"/>
    </xf>
    <xf numFmtId="4" fontId="98" fillId="0" borderId="27" xfId="76" applyNumberFormat="1" applyFont="1" applyBorder="1" applyProtection="1">
      <protection hidden="1"/>
    </xf>
    <xf numFmtId="0" fontId="95" fillId="29" borderId="0" xfId="76" applyFont="1" applyFill="1" applyAlignment="1" applyProtection="1">
      <alignment horizontal="center"/>
      <protection hidden="1"/>
    </xf>
    <xf numFmtId="4" fontId="4" fillId="35" borderId="27" xfId="76" applyNumberFormat="1" applyFont="1" applyFill="1" applyBorder="1" applyProtection="1">
      <protection hidden="1"/>
    </xf>
    <xf numFmtId="4" fontId="4" fillId="37" borderId="0" xfId="76" applyNumberFormat="1" applyFont="1" applyFill="1" applyBorder="1" applyProtection="1">
      <protection hidden="1"/>
    </xf>
    <xf numFmtId="4" fontId="98" fillId="35" borderId="27" xfId="76" applyNumberFormat="1" applyFont="1" applyFill="1" applyBorder="1" applyProtection="1">
      <protection hidden="1"/>
    </xf>
    <xf numFmtId="0" fontId="49" fillId="0" borderId="0" xfId="76" applyFont="1" applyProtection="1">
      <protection hidden="1"/>
    </xf>
    <xf numFmtId="0" fontId="27" fillId="0" borderId="0" xfId="78" applyFont="1" applyProtection="1">
      <protection hidden="1"/>
    </xf>
    <xf numFmtId="0" fontId="5" fillId="0" borderId="0" xfId="78" applyFont="1" applyProtection="1">
      <protection hidden="1"/>
    </xf>
    <xf numFmtId="0" fontId="4" fillId="16" borderId="0" xfId="78" applyFont="1" applyFill="1" applyProtection="1">
      <protection hidden="1"/>
    </xf>
    <xf numFmtId="0" fontId="98" fillId="0" borderId="0" xfId="78" applyFont="1" applyProtection="1">
      <protection hidden="1"/>
    </xf>
    <xf numFmtId="0" fontId="95" fillId="29" borderId="0" xfId="78" applyFont="1" applyFill="1" applyProtection="1">
      <protection hidden="1"/>
    </xf>
    <xf numFmtId="3" fontId="4" fillId="0" borderId="0" xfId="78" applyNumberFormat="1" applyFont="1" applyProtection="1">
      <protection hidden="1"/>
    </xf>
    <xf numFmtId="4" fontId="4" fillId="16" borderId="27" xfId="78" applyNumberFormat="1" applyFont="1" applyFill="1" applyBorder="1" applyProtection="1">
      <protection hidden="1"/>
    </xf>
    <xf numFmtId="4" fontId="4" fillId="0" borderId="0" xfId="78" applyNumberFormat="1" applyFont="1" applyFill="1" applyBorder="1" applyProtection="1">
      <protection hidden="1"/>
    </xf>
    <xf numFmtId="4" fontId="98" fillId="0" borderId="27" xfId="78" applyNumberFormat="1" applyFont="1" applyBorder="1" applyProtection="1">
      <protection hidden="1"/>
    </xf>
    <xf numFmtId="0" fontId="95" fillId="29" borderId="0" xfId="78" applyFont="1" applyFill="1" applyAlignment="1" applyProtection="1">
      <alignment horizontal="center"/>
      <protection hidden="1"/>
    </xf>
    <xf numFmtId="0" fontId="4" fillId="0" borderId="0" xfId="78" applyFont="1" applyProtection="1">
      <protection hidden="1"/>
    </xf>
    <xf numFmtId="4" fontId="4" fillId="35" borderId="27" xfId="78" applyNumberFormat="1" applyFont="1" applyFill="1" applyBorder="1" applyProtection="1">
      <protection hidden="1"/>
    </xf>
    <xf numFmtId="4" fontId="4" fillId="37" borderId="0" xfId="78" applyNumberFormat="1" applyFont="1" applyFill="1" applyBorder="1" applyProtection="1">
      <protection hidden="1"/>
    </xf>
    <xf numFmtId="4" fontId="98" fillId="35" borderId="27" xfId="78" applyNumberFormat="1" applyFont="1" applyFill="1" applyBorder="1" applyProtection="1">
      <protection hidden="1"/>
    </xf>
    <xf numFmtId="0" fontId="10" fillId="0" borderId="0" xfId="78" applyFont="1" applyProtection="1">
      <protection hidden="1"/>
    </xf>
    <xf numFmtId="0" fontId="10" fillId="0" borderId="0" xfId="0" applyFont="1" applyProtection="1">
      <protection hidden="1"/>
    </xf>
    <xf numFmtId="0" fontId="29" fillId="0" borderId="0" xfId="0" applyFont="1" applyAlignment="1" applyProtection="1">
      <alignment vertical="center"/>
      <protection hidden="1"/>
    </xf>
    <xf numFmtId="4" fontId="49" fillId="16" borderId="27" xfId="0" applyNumberFormat="1" applyFont="1" applyFill="1" applyBorder="1" applyProtection="1">
      <protection hidden="1"/>
    </xf>
    <xf numFmtId="3" fontId="99" fillId="0" borderId="0" xfId="0" applyNumberFormat="1" applyFont="1" applyProtection="1">
      <protection hidden="1"/>
    </xf>
    <xf numFmtId="4" fontId="49" fillId="0" borderId="27" xfId="0" applyNumberFormat="1" applyFont="1" applyFill="1" applyBorder="1" applyProtection="1">
      <protection hidden="1"/>
    </xf>
    <xf numFmtId="4" fontId="49" fillId="35" borderId="27" xfId="0" applyNumberFormat="1" applyFont="1" applyFill="1" applyBorder="1" applyProtection="1">
      <protection hidden="1"/>
    </xf>
    <xf numFmtId="3" fontId="10" fillId="0" borderId="0" xfId="0" applyNumberFormat="1" applyFont="1" applyProtection="1">
      <protection hidden="1"/>
    </xf>
    <xf numFmtId="165" fontId="95" fillId="29" borderId="37" xfId="0" applyNumberFormat="1" applyFont="1" applyFill="1" applyBorder="1" applyAlignment="1" applyProtection="1">
      <alignment horizontal="center"/>
      <protection hidden="1"/>
    </xf>
    <xf numFmtId="165" fontId="0" fillId="29" borderId="0" xfId="0" applyNumberFormat="1" applyFill="1" applyAlignment="1" applyProtection="1">
      <alignment horizontal="center"/>
      <protection hidden="1"/>
    </xf>
    <xf numFmtId="0" fontId="99" fillId="0" borderId="0" xfId="0" applyFont="1" applyProtection="1">
      <protection hidden="1"/>
    </xf>
    <xf numFmtId="4" fontId="4" fillId="35" borderId="0" xfId="0" applyNumberFormat="1" applyFont="1" applyFill="1" applyBorder="1" applyProtection="1">
      <protection hidden="1"/>
    </xf>
    <xf numFmtId="4" fontId="49" fillId="35" borderId="0" xfId="0" applyNumberFormat="1" applyFont="1" applyFill="1" applyBorder="1" applyProtection="1">
      <protection hidden="1"/>
    </xf>
    <xf numFmtId="0" fontId="95" fillId="29" borderId="0" xfId="0" applyNumberFormat="1" applyFont="1" applyFill="1" applyBorder="1" applyAlignment="1" applyProtection="1">
      <alignment horizontal="center"/>
      <protection hidden="1"/>
    </xf>
    <xf numFmtId="0" fontId="8" fillId="37" borderId="0" xfId="0" applyFont="1" applyFill="1" applyAlignment="1" applyProtection="1">
      <alignment vertical="top"/>
      <protection hidden="1"/>
    </xf>
    <xf numFmtId="0" fontId="8" fillId="37" borderId="0" xfId="0" applyFont="1" applyFill="1" applyAlignment="1" applyProtection="1">
      <alignment wrapText="1"/>
      <protection hidden="1"/>
    </xf>
    <xf numFmtId="0" fontId="100" fillId="37" borderId="0" xfId="0" applyFont="1" applyFill="1" applyAlignment="1" applyProtection="1">
      <alignment wrapText="1"/>
      <protection hidden="1"/>
    </xf>
    <xf numFmtId="0" fontId="101" fillId="37" borderId="0" xfId="0" applyFont="1" applyFill="1" applyAlignment="1" applyProtection="1">
      <alignment wrapText="1"/>
      <protection hidden="1"/>
    </xf>
    <xf numFmtId="165" fontId="8" fillId="37" borderId="0" xfId="0" applyNumberFormat="1" applyFont="1" applyFill="1" applyAlignment="1" applyProtection="1">
      <alignment horizontal="left" wrapText="1"/>
      <protection hidden="1"/>
    </xf>
    <xf numFmtId="165" fontId="8" fillId="37" borderId="0" xfId="0" applyNumberFormat="1" applyFont="1" applyFill="1" applyAlignment="1" applyProtection="1">
      <alignment horizontal="right" wrapText="1"/>
      <protection hidden="1"/>
    </xf>
    <xf numFmtId="0" fontId="5" fillId="37" borderId="0" xfId="0" applyFont="1" applyFill="1" applyAlignment="1" applyProtection="1">
      <alignment horizontal="center"/>
      <protection hidden="1"/>
    </xf>
    <xf numFmtId="0" fontId="0" fillId="37" borderId="37" xfId="0" applyFill="1" applyBorder="1" applyProtection="1">
      <protection hidden="1"/>
    </xf>
    <xf numFmtId="0" fontId="4" fillId="37" borderId="37" xfId="0" applyFont="1" applyFill="1" applyBorder="1" applyProtection="1">
      <protection hidden="1"/>
    </xf>
    <xf numFmtId="0" fontId="49" fillId="37" borderId="37" xfId="0" applyFont="1" applyFill="1" applyBorder="1" applyProtection="1">
      <protection hidden="1"/>
    </xf>
    <xf numFmtId="0" fontId="95" fillId="37" borderId="37" xfId="0" applyFont="1" applyFill="1" applyBorder="1" applyProtection="1">
      <protection hidden="1"/>
    </xf>
    <xf numFmtId="0" fontId="49" fillId="0" borderId="0" xfId="0" applyFont="1" applyProtection="1">
      <protection hidden="1"/>
    </xf>
    <xf numFmtId="0" fontId="30" fillId="13" borderId="0" xfId="0" applyFont="1" applyFill="1" applyProtection="1">
      <protection hidden="1"/>
    </xf>
    <xf numFmtId="0" fontId="0" fillId="13" borderId="0" xfId="0" applyFill="1" applyProtection="1">
      <protection hidden="1"/>
    </xf>
    <xf numFmtId="252" fontId="0" fillId="0" borderId="0" xfId="0" applyNumberFormat="1" applyAlignment="1" applyProtection="1">
      <alignment horizontal="left"/>
      <protection hidden="1"/>
    </xf>
    <xf numFmtId="9" fontId="0" fillId="0" borderId="0" xfId="0" applyNumberFormat="1" applyProtection="1">
      <protection hidden="1"/>
    </xf>
    <xf numFmtId="253" fontId="5" fillId="0" borderId="0" xfId="77" applyNumberFormat="1" applyFont="1" applyAlignment="1" applyProtection="1">
      <alignment vertical="center"/>
      <protection hidden="1"/>
    </xf>
    <xf numFmtId="1" fontId="5" fillId="0" borderId="0" xfId="0" applyNumberFormat="1" applyFont="1" applyAlignment="1" applyProtection="1">
      <alignment horizontal="left" vertical="center"/>
      <protection hidden="1"/>
    </xf>
    <xf numFmtId="0" fontId="102" fillId="0" borderId="0" xfId="77" applyFont="1" applyAlignment="1" applyProtection="1">
      <alignment horizontal="center" vertical="center"/>
      <protection hidden="1"/>
    </xf>
    <xf numFmtId="0" fontId="103" fillId="0" borderId="0" xfId="77" applyFont="1" applyAlignment="1" applyProtection="1">
      <alignment horizontal="center" vertical="center"/>
      <protection hidden="1"/>
    </xf>
    <xf numFmtId="1" fontId="5" fillId="0" borderId="0" xfId="77" applyNumberFormat="1" applyFont="1" applyProtection="1">
      <protection hidden="1"/>
    </xf>
    <xf numFmtId="0" fontId="4" fillId="0" borderId="0" xfId="77" applyFont="1" applyProtection="1">
      <protection hidden="1"/>
    </xf>
    <xf numFmtId="0" fontId="0" fillId="0" borderId="0" xfId="0" applyAlignment="1" applyProtection="1">
      <alignment horizontal="center"/>
      <protection hidden="1"/>
    </xf>
    <xf numFmtId="0" fontId="5" fillId="0" borderId="0" xfId="0" applyFont="1" applyAlignment="1" applyProtection="1">
      <alignment horizontal="left" vertical="center"/>
      <protection hidden="1"/>
    </xf>
    <xf numFmtId="1" fontId="34" fillId="0" borderId="0" xfId="77" applyNumberFormat="1" applyFont="1" applyProtection="1">
      <protection hidden="1"/>
    </xf>
    <xf numFmtId="0" fontId="34" fillId="0" borderId="0" xfId="77" applyFont="1" applyProtection="1">
      <protection hidden="1"/>
    </xf>
    <xf numFmtId="1" fontId="46" fillId="0" borderId="0" xfId="77" applyNumberFormat="1" applyFont="1" applyProtection="1">
      <protection hidden="1"/>
    </xf>
    <xf numFmtId="0" fontId="46" fillId="0" borderId="0" xfId="77" applyFont="1" applyProtection="1">
      <protection hidden="1"/>
    </xf>
    <xf numFmtId="0" fontId="104" fillId="0" borderId="0" xfId="0" applyFont="1" applyAlignment="1" applyProtection="1">
      <protection hidden="1"/>
    </xf>
    <xf numFmtId="9" fontId="34" fillId="0" borderId="0" xfId="77" applyNumberFormat="1" applyFont="1" applyBorder="1" applyAlignment="1" applyProtection="1">
      <alignment horizontal="center" vertical="center"/>
      <protection hidden="1"/>
    </xf>
    <xf numFmtId="0" fontId="34" fillId="0" borderId="0" xfId="77" applyFont="1" applyAlignment="1" applyProtection="1">
      <alignment horizontal="center" vertical="center"/>
      <protection hidden="1"/>
    </xf>
    <xf numFmtId="253" fontId="5" fillId="0" borderId="0" xfId="0" applyNumberFormat="1" applyFont="1" applyAlignment="1" applyProtection="1">
      <alignment vertical="center"/>
      <protection hidden="1"/>
    </xf>
    <xf numFmtId="0" fontId="24" fillId="0" borderId="0" xfId="0" applyFont="1" applyProtection="1">
      <protection hidden="1"/>
    </xf>
    <xf numFmtId="0" fontId="105" fillId="0" borderId="0" xfId="0" applyFont="1" applyProtection="1">
      <protection hidden="1"/>
    </xf>
    <xf numFmtId="0" fontId="49" fillId="13" borderId="0" xfId="0" applyFont="1" applyFill="1" applyProtection="1">
      <protection hidden="1"/>
    </xf>
    <xf numFmtId="0" fontId="46" fillId="10" borderId="0" xfId="0" applyFont="1" applyFill="1" applyProtection="1">
      <protection hidden="1"/>
    </xf>
    <xf numFmtId="0" fontId="58" fillId="10" borderId="0" xfId="0" applyFont="1" applyFill="1" applyProtection="1">
      <protection hidden="1"/>
    </xf>
    <xf numFmtId="0" fontId="106" fillId="10" borderId="0" xfId="0" applyFont="1" applyFill="1" applyProtection="1">
      <protection hidden="1"/>
    </xf>
    <xf numFmtId="0" fontId="0" fillId="0" borderId="13" xfId="0" applyBorder="1"/>
    <xf numFmtId="0" fontId="5" fillId="0" borderId="13" xfId="0" applyFont="1" applyFill="1" applyBorder="1" applyAlignment="1" applyProtection="1">
      <alignment vertical="center"/>
      <protection locked="0" hidden="1"/>
    </xf>
    <xf numFmtId="0" fontId="18" fillId="31" borderId="0" xfId="0" applyFont="1" applyFill="1" applyAlignment="1" applyProtection="1">
      <alignment horizontal="centerContinuous" vertical="center" wrapText="1"/>
      <protection hidden="1"/>
    </xf>
    <xf numFmtId="0" fontId="34" fillId="31" borderId="0" xfId="0" applyFont="1" applyFill="1" applyAlignment="1" applyProtection="1">
      <alignment horizontal="centerContinuous" vertical="center" wrapText="1"/>
      <protection hidden="1"/>
    </xf>
    <xf numFmtId="0" fontId="33" fillId="31" borderId="0" xfId="0" applyFont="1" applyFill="1" applyAlignment="1" applyProtection="1">
      <alignment horizontal="centerContinuous" vertical="center" wrapText="1"/>
      <protection hidden="1"/>
    </xf>
    <xf numFmtId="0" fontId="4" fillId="30" borderId="0" xfId="0" applyFont="1" applyFill="1" applyBorder="1" applyAlignment="1" applyProtection="1">
      <alignment vertical="center"/>
      <protection hidden="1"/>
    </xf>
    <xf numFmtId="0" fontId="3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Protection="1">
      <protection locked="0"/>
    </xf>
    <xf numFmtId="20" fontId="4" fillId="0" borderId="0" xfId="0" applyNumberFormat="1" applyFont="1" applyProtection="1">
      <protection hidden="1"/>
    </xf>
    <xf numFmtId="4" fontId="108" fillId="0" borderId="13" xfId="0" applyNumberFormat="1" applyFont="1" applyFill="1" applyBorder="1" applyProtection="1">
      <protection locked="0"/>
    </xf>
    <xf numFmtId="0" fontId="109" fillId="39" borderId="0" xfId="0" applyFont="1" applyFill="1" applyAlignment="1" applyProtection="1">
      <alignment vertical="top"/>
      <protection hidden="1"/>
    </xf>
    <xf numFmtId="0" fontId="110" fillId="0" borderId="0" xfId="0" applyFont="1" applyProtection="1">
      <protection hidden="1"/>
    </xf>
    <xf numFmtId="0" fontId="11" fillId="0" borderId="37" xfId="0" applyFont="1" applyBorder="1" applyAlignment="1" applyProtection="1">
      <alignment horizontal="center" vertical="center"/>
      <protection hidden="1"/>
    </xf>
    <xf numFmtId="0" fontId="113" fillId="0" borderId="0" xfId="0" applyFont="1" applyAlignment="1" applyProtection="1">
      <alignment vertical="top"/>
      <protection hidden="1"/>
    </xf>
    <xf numFmtId="0" fontId="114" fillId="0" borderId="0" xfId="0" applyFont="1" applyAlignment="1" applyProtection="1">
      <alignment horizontal="justify" vertical="top"/>
      <protection hidden="1"/>
    </xf>
    <xf numFmtId="0" fontId="4" fillId="0" borderId="0" xfId="0" applyFont="1" applyBorder="1" applyAlignment="1" applyProtection="1">
      <alignment wrapText="1"/>
      <protection hidden="1"/>
    </xf>
    <xf numFmtId="0" fontId="115" fillId="0" borderId="0" xfId="0" applyFont="1" applyProtection="1">
      <protection hidden="1"/>
    </xf>
    <xf numFmtId="0" fontId="11" fillId="0" borderId="0" xfId="0" applyFont="1" applyFill="1" applyBorder="1" applyAlignment="1" applyProtection="1">
      <alignment vertical="center"/>
      <protection hidden="1"/>
    </xf>
    <xf numFmtId="0" fontId="33" fillId="0" borderId="0" xfId="0" applyFont="1" applyProtection="1">
      <protection hidden="1"/>
    </xf>
    <xf numFmtId="0" fontId="116" fillId="39" borderId="0" xfId="0" applyFont="1" applyFill="1" applyProtection="1">
      <protection hidden="1"/>
    </xf>
    <xf numFmtId="0" fontId="117" fillId="0" borderId="13" xfId="0" applyFont="1" applyFill="1" applyBorder="1" applyAlignment="1" applyProtection="1">
      <alignment horizontal="center" vertical="center"/>
      <protection locked="0"/>
    </xf>
    <xf numFmtId="0" fontId="4" fillId="0" borderId="0" xfId="0" applyFont="1" applyAlignment="1" applyProtection="1">
      <alignment horizontal="left" vertical="top" wrapText="1" indent="1"/>
      <protection hidden="1"/>
    </xf>
    <xf numFmtId="0" fontId="118" fillId="0" borderId="0" xfId="0" applyFont="1" applyFill="1" applyBorder="1" applyAlignment="1" applyProtection="1">
      <alignment horizontal="justify" vertical="top" wrapText="1"/>
      <protection hidden="1"/>
    </xf>
    <xf numFmtId="0" fontId="116" fillId="0" borderId="0" xfId="0" applyFont="1" applyProtection="1">
      <protection hidden="1"/>
    </xf>
    <xf numFmtId="0" fontId="9" fillId="0" borderId="8" xfId="0" applyFont="1" applyBorder="1" applyAlignment="1" applyProtection="1">
      <alignment horizontal="left" wrapText="1" indent="1"/>
      <protection hidden="1"/>
    </xf>
    <xf numFmtId="0" fontId="10" fillId="0" borderId="0" xfId="0" applyFont="1" applyAlignment="1" applyProtection="1">
      <alignment vertical="center"/>
      <protection hidden="1"/>
    </xf>
    <xf numFmtId="0" fontId="4" fillId="39" borderId="0" xfId="0" applyFont="1" applyFill="1" applyProtection="1">
      <protection hidden="1"/>
    </xf>
    <xf numFmtId="4" fontId="117" fillId="0" borderId="13" xfId="0" applyNumberFormat="1" applyFont="1" applyFill="1" applyBorder="1" applyProtection="1">
      <protection locked="0"/>
    </xf>
    <xf numFmtId="0" fontId="10" fillId="0" borderId="0" xfId="0" applyFont="1" applyBorder="1" applyProtection="1">
      <protection hidden="1"/>
    </xf>
    <xf numFmtId="0" fontId="4" fillId="0" borderId="0" xfId="0" applyFont="1" applyAlignment="1" applyProtection="1">
      <alignment vertical="top"/>
      <protection hidden="1"/>
    </xf>
    <xf numFmtId="0" fontId="113" fillId="0" borderId="0" xfId="0" applyFont="1" applyBorder="1" applyProtection="1">
      <protection hidden="1"/>
    </xf>
    <xf numFmtId="0" fontId="10" fillId="0" borderId="67" xfId="0" applyFont="1" applyBorder="1" applyProtection="1">
      <protection hidden="1"/>
    </xf>
    <xf numFmtId="0" fontId="10" fillId="0" borderId="68" xfId="0" applyFont="1" applyBorder="1" applyProtection="1">
      <protection hidden="1"/>
    </xf>
    <xf numFmtId="4" fontId="108" fillId="0" borderId="27" xfId="0" applyNumberFormat="1" applyFont="1" applyFill="1" applyBorder="1" applyProtection="1">
      <protection locked="0"/>
    </xf>
    <xf numFmtId="0" fontId="4" fillId="0" borderId="0" xfId="0" applyFont="1" applyAlignment="1" applyProtection="1">
      <alignment horizontal="left"/>
      <protection hidden="1"/>
    </xf>
    <xf numFmtId="0" fontId="4" fillId="0" borderId="0" xfId="0" applyFont="1" applyAlignment="1" applyProtection="1">
      <alignment horizontal="right"/>
      <protection hidden="1"/>
    </xf>
    <xf numFmtId="172" fontId="117" fillId="0" borderId="13" xfId="0" applyNumberFormat="1" applyFont="1" applyFill="1" applyBorder="1" applyProtection="1">
      <protection locked="0"/>
    </xf>
    <xf numFmtId="0" fontId="4" fillId="0" borderId="0" xfId="0" applyFont="1" applyAlignment="1" applyProtection="1">
      <protection hidden="1"/>
    </xf>
    <xf numFmtId="0" fontId="9" fillId="0" borderId="0" xfId="0" applyFont="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9" fillId="0" borderId="0" xfId="0" applyFont="1" applyAlignment="1" applyProtection="1">
      <alignment horizontal="right"/>
      <protection hidden="1"/>
    </xf>
    <xf numFmtId="3" fontId="117" fillId="0" borderId="13" xfId="0" applyNumberFormat="1" applyFont="1" applyFill="1" applyBorder="1" applyAlignment="1" applyProtection="1">
      <alignment horizontal="right"/>
      <protection locked="0"/>
    </xf>
    <xf numFmtId="0" fontId="34" fillId="0" borderId="0" xfId="0" applyFont="1" applyFill="1" applyAlignment="1" applyProtection="1">
      <alignment horizontal="left" vertical="top" wrapText="1"/>
      <protection hidden="1"/>
    </xf>
    <xf numFmtId="171" fontId="116" fillId="39" borderId="0" xfId="0" applyNumberFormat="1" applyFont="1" applyFill="1" applyAlignment="1" applyProtection="1">
      <alignment vertical="center"/>
      <protection hidden="1"/>
    </xf>
    <xf numFmtId="0" fontId="4" fillId="0" borderId="0" xfId="0" applyFont="1" applyAlignment="1" applyProtection="1">
      <alignment vertical="center"/>
      <protection locked="0"/>
    </xf>
    <xf numFmtId="0" fontId="118" fillId="0" borderId="0" xfId="0" applyFont="1" applyFill="1" applyBorder="1" applyAlignment="1" applyProtection="1">
      <alignment horizontal="justify" vertical="center" wrapText="1"/>
      <protection hidden="1"/>
    </xf>
    <xf numFmtId="0" fontId="4" fillId="0" borderId="0" xfId="0" applyFont="1" applyAlignment="1" applyProtection="1">
      <alignment horizontal="left" vertical="center" wrapText="1"/>
      <protection hidden="1"/>
    </xf>
    <xf numFmtId="0" fontId="116" fillId="0" borderId="0" xfId="0" applyFont="1" applyAlignment="1" applyProtection="1">
      <alignment vertical="center"/>
      <protection hidden="1"/>
    </xf>
    <xf numFmtId="171" fontId="4" fillId="0" borderId="0" xfId="0" applyNumberFormat="1" applyFont="1" applyAlignment="1" applyProtection="1">
      <alignment vertical="center" wrapText="1"/>
      <protection hidden="1"/>
    </xf>
    <xf numFmtId="0" fontId="4" fillId="0" borderId="0" xfId="0" applyFont="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0" fontId="27" fillId="0" borderId="0" xfId="0" applyFont="1" applyBorder="1" applyAlignment="1">
      <alignment vertical="center"/>
    </xf>
    <xf numFmtId="171" fontId="117" fillId="0" borderId="13" xfId="0" applyNumberFormat="1" applyFont="1" applyFill="1" applyBorder="1" applyAlignment="1" applyProtection="1">
      <alignment vertical="center"/>
      <protection locked="0"/>
    </xf>
    <xf numFmtId="0" fontId="115" fillId="0" borderId="0" xfId="0" applyFont="1" applyAlignment="1" applyProtection="1">
      <alignment vertical="center"/>
      <protection hidden="1"/>
    </xf>
    <xf numFmtId="0" fontId="116" fillId="39" borderId="0" xfId="0" applyFont="1" applyFill="1" applyAlignment="1" applyProtection="1">
      <alignment vertical="center"/>
      <protection hidden="1"/>
    </xf>
    <xf numFmtId="0" fontId="117" fillId="0" borderId="0" xfId="0" applyFont="1" applyFill="1" applyBorder="1" applyAlignment="1" applyProtection="1">
      <alignment horizontal="center" vertical="center"/>
      <protection locked="0"/>
    </xf>
    <xf numFmtId="0" fontId="5" fillId="0" borderId="0" xfId="72" applyFont="1"/>
    <xf numFmtId="0" fontId="27" fillId="0" borderId="0" xfId="72" applyFont="1" applyFill="1" applyAlignment="1" applyProtection="1">
      <alignment vertical="center"/>
      <protection hidden="1"/>
    </xf>
    <xf numFmtId="0" fontId="5" fillId="0" borderId="0" xfId="72" applyFont="1" applyProtection="1">
      <protection hidden="1"/>
    </xf>
    <xf numFmtId="0" fontId="5" fillId="0" borderId="0" xfId="72" applyFont="1" applyFill="1" applyProtection="1">
      <protection hidden="1"/>
    </xf>
    <xf numFmtId="0" fontId="5" fillId="0" borderId="0" xfId="72" applyFont="1" applyAlignment="1" applyProtection="1">
      <alignment horizontal="center" vertical="center"/>
      <protection hidden="1"/>
    </xf>
    <xf numFmtId="0" fontId="5" fillId="0" borderId="0" xfId="77" applyFont="1" applyAlignment="1" applyProtection="1">
      <alignment horizontal="left" vertical="center"/>
      <protection hidden="1"/>
    </xf>
    <xf numFmtId="2" fontId="5" fillId="0" borderId="0" xfId="72" applyNumberFormat="1" applyFont="1" applyFill="1" applyAlignment="1" applyProtection="1">
      <alignment horizontal="center" vertical="center"/>
      <protection hidden="1"/>
    </xf>
    <xf numFmtId="0" fontId="5" fillId="0" borderId="0" xfId="72" applyFont="1" applyFill="1" applyAlignment="1" applyProtection="1">
      <alignment horizontal="center" vertical="center"/>
      <protection hidden="1"/>
    </xf>
    <xf numFmtId="0" fontId="5" fillId="0" borderId="0" xfId="72" applyFont="1" applyAlignment="1" applyProtection="1">
      <alignment vertical="center"/>
      <protection hidden="1"/>
    </xf>
    <xf numFmtId="0" fontId="5" fillId="0" borderId="0" xfId="0" applyFont="1" applyAlignment="1" applyProtection="1">
      <alignment vertical="center"/>
      <protection hidden="1"/>
    </xf>
    <xf numFmtId="0" fontId="5" fillId="0" borderId="0" xfId="72" applyFont="1" applyFill="1" applyAlignment="1" applyProtection="1">
      <alignment vertical="center"/>
      <protection hidden="1"/>
    </xf>
    <xf numFmtId="0" fontId="119" fillId="0" borderId="0" xfId="72" applyFont="1" applyFill="1" applyAlignment="1" applyProtection="1">
      <alignment vertical="center"/>
      <protection hidden="1"/>
    </xf>
    <xf numFmtId="171" fontId="5" fillId="0" borderId="0" xfId="72" applyNumberFormat="1" applyFont="1" applyFill="1" applyBorder="1" applyAlignment="1" applyProtection="1">
      <alignment vertical="center"/>
      <protection hidden="1"/>
    </xf>
    <xf numFmtId="178" fontId="5" fillId="0" borderId="0" xfId="72" applyNumberFormat="1" applyFont="1" applyFill="1" applyBorder="1" applyAlignment="1" applyProtection="1">
      <alignment vertical="center"/>
      <protection hidden="1"/>
    </xf>
    <xf numFmtId="250" fontId="5" fillId="0" borderId="0" xfId="72" applyNumberFormat="1" applyFont="1" applyFill="1" applyBorder="1" applyAlignment="1" applyProtection="1">
      <alignment vertical="center"/>
      <protection hidden="1"/>
    </xf>
    <xf numFmtId="0" fontId="119" fillId="0" borderId="0" xfId="72" applyFont="1" applyBorder="1" applyAlignment="1" applyProtection="1">
      <protection hidden="1"/>
    </xf>
    <xf numFmtId="0" fontId="5" fillId="0" borderId="0" xfId="72" applyFont="1" applyFill="1" applyBorder="1" applyAlignment="1" applyProtection="1">
      <alignment horizontal="center"/>
      <protection hidden="1"/>
    </xf>
    <xf numFmtId="0" fontId="5" fillId="0" borderId="0" xfId="72" applyFont="1" applyAlignment="1" applyProtection="1">
      <protection hidden="1"/>
    </xf>
    <xf numFmtId="3" fontId="5" fillId="0" borderId="0" xfId="72" applyNumberFormat="1" applyFont="1" applyAlignment="1" applyProtection="1">
      <alignment horizontal="left"/>
      <protection hidden="1"/>
    </xf>
    <xf numFmtId="0" fontId="27" fillId="0" borderId="0" xfId="77" applyFont="1" applyAlignment="1" applyProtection="1">
      <alignment horizontal="center"/>
      <protection hidden="1"/>
    </xf>
    <xf numFmtId="0" fontId="27" fillId="0" borderId="0" xfId="77" applyFont="1" applyAlignment="1" applyProtection="1">
      <alignment horizontal="left"/>
      <protection hidden="1"/>
    </xf>
    <xf numFmtId="220" fontId="95" fillId="0" borderId="69" xfId="72" applyNumberFormat="1" applyFont="1" applyFill="1" applyBorder="1" applyAlignment="1" applyProtection="1">
      <alignment vertical="center"/>
      <protection locked="0"/>
    </xf>
    <xf numFmtId="220" fontId="5" fillId="0" borderId="0" xfId="72" applyNumberFormat="1" applyFont="1" applyFill="1" applyBorder="1" applyAlignment="1" applyProtection="1">
      <alignment vertical="center"/>
      <protection hidden="1"/>
    </xf>
    <xf numFmtId="0" fontId="88" fillId="0" borderId="37" xfId="72" applyFont="1" applyFill="1" applyBorder="1" applyAlignment="1" applyProtection="1">
      <alignment horizontal="center" vertical="center"/>
      <protection hidden="1"/>
    </xf>
    <xf numFmtId="0" fontId="5" fillId="0" borderId="0" xfId="72" quotePrefix="1" applyFont="1" applyFill="1" applyAlignment="1" applyProtection="1">
      <alignment horizontal="center" vertical="center"/>
      <protection hidden="1"/>
    </xf>
    <xf numFmtId="0" fontId="46" fillId="0" borderId="0" xfId="72" applyFont="1" applyFill="1" applyAlignment="1" applyProtection="1">
      <alignment vertical="center"/>
      <protection hidden="1"/>
    </xf>
    <xf numFmtId="0" fontId="58" fillId="0" borderId="0" xfId="72" applyFont="1" applyFill="1" applyAlignment="1" applyProtection="1">
      <alignment horizontal="center" vertical="center" wrapText="1"/>
      <protection hidden="1"/>
    </xf>
    <xf numFmtId="0" fontId="5" fillId="0" borderId="0" xfId="72" applyFont="1" applyAlignment="1">
      <alignment vertical="center"/>
    </xf>
    <xf numFmtId="0" fontId="27" fillId="0" borderId="0" xfId="72" applyFont="1" applyFill="1" applyBorder="1" applyAlignment="1" applyProtection="1">
      <alignment vertical="center" wrapText="1"/>
      <protection hidden="1"/>
    </xf>
    <xf numFmtId="0" fontId="0" fillId="0" borderId="0" xfId="0" applyAlignment="1">
      <alignment horizontal="center" vertical="center"/>
    </xf>
    <xf numFmtId="171" fontId="95" fillId="0" borderId="13" xfId="72" applyNumberFormat="1" applyFont="1" applyBorder="1" applyAlignment="1" applyProtection="1">
      <alignment vertical="top" wrapText="1"/>
      <protection locked="0"/>
    </xf>
    <xf numFmtId="4" fontId="5" fillId="0" borderId="0" xfId="72" applyNumberFormat="1" applyFont="1" applyFill="1" applyAlignment="1" applyProtection="1">
      <alignment vertical="center"/>
      <protection hidden="1"/>
    </xf>
    <xf numFmtId="0" fontId="88" fillId="0" borderId="37" xfId="72" applyFont="1" applyBorder="1" applyAlignment="1" applyProtection="1">
      <alignment horizontal="center" vertical="center"/>
      <protection hidden="1"/>
    </xf>
    <xf numFmtId="0" fontId="5" fillId="0" borderId="0" xfId="72" quotePrefix="1" applyFont="1" applyAlignment="1" applyProtection="1">
      <alignment horizontal="center" vertical="center"/>
      <protection hidden="1"/>
    </xf>
    <xf numFmtId="0" fontId="27" fillId="0" borderId="13" xfId="72" applyFont="1" applyFill="1" applyBorder="1" applyAlignment="1" applyProtection="1">
      <alignment horizontal="center" vertical="center"/>
      <protection hidden="1"/>
    </xf>
    <xf numFmtId="0" fontId="58" fillId="40" borderId="0" xfId="72" applyFont="1" applyFill="1" applyAlignment="1" applyProtection="1">
      <alignment vertical="center"/>
      <protection hidden="1"/>
    </xf>
    <xf numFmtId="0" fontId="5" fillId="0" borderId="13" xfId="72" applyFont="1" applyFill="1" applyBorder="1" applyAlignment="1" applyProtection="1">
      <alignment vertical="center"/>
      <protection hidden="1"/>
    </xf>
    <xf numFmtId="251" fontId="5" fillId="0" borderId="13" xfId="72" applyNumberFormat="1" applyFont="1" applyFill="1" applyBorder="1" applyAlignment="1" applyProtection="1">
      <alignment horizontal="left" vertical="center"/>
      <protection hidden="1"/>
    </xf>
    <xf numFmtId="171" fontId="5" fillId="0" borderId="13" xfId="72" applyNumberFormat="1" applyFont="1" applyFill="1" applyBorder="1" applyAlignment="1" applyProtection="1">
      <alignment vertical="center"/>
      <protection hidden="1"/>
    </xf>
    <xf numFmtId="0" fontId="89" fillId="0" borderId="13" xfId="72" applyFont="1" applyFill="1" applyBorder="1" applyAlignment="1" applyProtection="1">
      <alignment horizontal="center" vertical="center"/>
      <protection hidden="1"/>
    </xf>
    <xf numFmtId="0" fontId="27" fillId="0" borderId="13" xfId="72" applyFont="1" applyFill="1" applyBorder="1" applyAlignment="1" applyProtection="1">
      <alignment vertical="center"/>
      <protection hidden="1"/>
    </xf>
    <xf numFmtId="171" fontId="27" fillId="0" borderId="13" xfId="72" applyNumberFormat="1" applyFont="1" applyFill="1" applyBorder="1" applyAlignment="1" applyProtection="1">
      <alignment vertical="center"/>
      <protection hidden="1"/>
    </xf>
    <xf numFmtId="0" fontId="5" fillId="0" borderId="0" xfId="0" applyFont="1"/>
    <xf numFmtId="171" fontId="5" fillId="0" borderId="0" xfId="72" applyNumberFormat="1" applyFont="1" applyFill="1" applyBorder="1" applyAlignment="1" applyProtection="1">
      <alignment horizontal="left"/>
      <protection hidden="1"/>
    </xf>
    <xf numFmtId="239" fontId="5" fillId="0" borderId="0" xfId="72" applyNumberFormat="1" applyFont="1" applyFill="1" applyBorder="1" applyAlignment="1" applyProtection="1">
      <alignment horizontal="left"/>
      <protection hidden="1"/>
    </xf>
    <xf numFmtId="250" fontId="5" fillId="0" borderId="0" xfId="72" applyNumberFormat="1" applyFont="1" applyFill="1" applyBorder="1" applyAlignment="1" applyProtection="1">
      <alignment horizontal="left"/>
      <protection hidden="1"/>
    </xf>
    <xf numFmtId="0" fontId="88" fillId="0" borderId="0" xfId="72" applyFont="1" applyFill="1" applyBorder="1" applyAlignment="1" applyProtection="1">
      <alignment horizontal="center" vertical="center"/>
      <protection hidden="1"/>
    </xf>
    <xf numFmtId="0" fontId="5" fillId="0" borderId="0" xfId="0" applyFont="1" applyAlignment="1">
      <alignment vertical="center"/>
    </xf>
    <xf numFmtId="0" fontId="46" fillId="40" borderId="0" xfId="72" applyFont="1" applyFill="1" applyAlignment="1" applyProtection="1">
      <alignment horizontal="center" vertical="center"/>
      <protection hidden="1"/>
    </xf>
    <xf numFmtId="171" fontId="5" fillId="0" borderId="0" xfId="72" applyNumberFormat="1" applyFont="1" applyFill="1" applyProtection="1">
      <protection hidden="1"/>
    </xf>
    <xf numFmtId="0" fontId="10" fillId="10" borderId="0" xfId="0" applyFont="1" applyFill="1" applyAlignment="1" applyProtection="1">
      <alignment horizontal="centerContinuous"/>
      <protection hidden="1"/>
    </xf>
    <xf numFmtId="0" fontId="10" fillId="13" borderId="0" xfId="0" applyFont="1" applyFill="1" applyAlignment="1" applyProtection="1">
      <alignment horizontal="center"/>
      <protection hidden="1"/>
    </xf>
    <xf numFmtId="0" fontId="10" fillId="13" borderId="0" xfId="0" applyFont="1" applyFill="1" applyAlignment="1" applyProtection="1">
      <alignment horizontal="right"/>
      <protection hidden="1"/>
    </xf>
    <xf numFmtId="0" fontId="10" fillId="13" borderId="0" xfId="0" applyFont="1" applyFill="1" applyAlignment="1" applyProtection="1">
      <alignment horizontal="centerContinuous"/>
      <protection hidden="1"/>
    </xf>
    <xf numFmtId="0" fontId="10" fillId="10" borderId="37" xfId="0" applyFont="1" applyFill="1" applyBorder="1" applyProtection="1">
      <protection hidden="1"/>
    </xf>
    <xf numFmtId="0" fontId="10" fillId="10" borderId="37" xfId="0" applyFont="1" applyFill="1" applyBorder="1" applyAlignment="1" applyProtection="1">
      <alignment horizontal="right"/>
      <protection hidden="1"/>
    </xf>
    <xf numFmtId="0" fontId="10" fillId="13" borderId="37" xfId="0" applyFont="1" applyFill="1" applyBorder="1" applyAlignment="1" applyProtection="1">
      <alignment horizontal="center"/>
      <protection hidden="1"/>
    </xf>
    <xf numFmtId="0" fontId="10" fillId="13" borderId="37" xfId="0" applyFont="1" applyFill="1" applyBorder="1" applyProtection="1">
      <protection hidden="1"/>
    </xf>
    <xf numFmtId="0" fontId="4" fillId="13" borderId="37" xfId="0" applyFont="1" applyFill="1" applyBorder="1" applyProtection="1">
      <protection hidden="1"/>
    </xf>
    <xf numFmtId="0" fontId="4" fillId="13" borderId="37" xfId="0" applyFont="1" applyFill="1" applyBorder="1" applyAlignment="1" applyProtection="1">
      <alignment horizontal="right"/>
      <protection hidden="1"/>
    </xf>
    <xf numFmtId="0" fontId="4" fillId="0" borderId="70" xfId="0" applyFont="1" applyBorder="1" applyProtection="1">
      <protection hidden="1"/>
    </xf>
    <xf numFmtId="0" fontId="10" fillId="0" borderId="0" xfId="0" applyFont="1" applyFill="1" applyAlignment="1" applyProtection="1">
      <alignment horizontal="center"/>
      <protection hidden="1"/>
    </xf>
    <xf numFmtId="0" fontId="10" fillId="0" borderId="71" xfId="0" applyFont="1" applyBorder="1" applyProtection="1">
      <protection hidden="1"/>
    </xf>
    <xf numFmtId="4" fontId="4" fillId="0" borderId="70" xfId="0" applyNumberFormat="1" applyFont="1" applyBorder="1" applyAlignment="1" applyProtection="1">
      <alignment horizontal="right" indent="1"/>
      <protection hidden="1"/>
    </xf>
    <xf numFmtId="4" fontId="4" fillId="0" borderId="0" xfId="0" applyNumberFormat="1" applyFont="1" applyAlignment="1" applyProtection="1">
      <alignment horizontal="right" indent="1"/>
      <protection hidden="1"/>
    </xf>
    <xf numFmtId="0" fontId="117" fillId="0" borderId="8" xfId="0" applyFont="1" applyFill="1" applyBorder="1" applyProtection="1">
      <protection locked="0"/>
    </xf>
    <xf numFmtId="0" fontId="34" fillId="0" borderId="0" xfId="0" applyFont="1" applyProtection="1">
      <protection hidden="1"/>
    </xf>
    <xf numFmtId="0" fontId="34" fillId="0" borderId="72" xfId="0" applyFont="1" applyBorder="1" applyProtection="1">
      <protection hidden="1"/>
    </xf>
    <xf numFmtId="0" fontId="4" fillId="0" borderId="0" xfId="0" applyFont="1" applyAlignment="1" applyProtection="1">
      <alignment horizontal="center"/>
      <protection hidden="1"/>
    </xf>
    <xf numFmtId="0" fontId="4" fillId="0" borderId="72" xfId="0" applyFont="1" applyBorder="1" applyAlignment="1" applyProtection="1">
      <alignment horizontal="center"/>
      <protection hidden="1"/>
    </xf>
    <xf numFmtId="4" fontId="4" fillId="0" borderId="72" xfId="0" applyNumberFormat="1" applyFont="1" applyBorder="1" applyAlignment="1" applyProtection="1">
      <alignment horizontal="right" indent="1"/>
      <protection hidden="1"/>
    </xf>
    <xf numFmtId="0" fontId="10" fillId="0" borderId="0" xfId="0" applyFont="1" applyAlignment="1" applyProtection="1">
      <alignment horizontal="center"/>
      <protection hidden="1"/>
    </xf>
    <xf numFmtId="4" fontId="4" fillId="0" borderId="0" xfId="0" applyNumberFormat="1" applyFont="1" applyProtection="1">
      <protection hidden="1"/>
    </xf>
    <xf numFmtId="4" fontId="117" fillId="0" borderId="27" xfId="0" applyNumberFormat="1" applyFont="1" applyFill="1" applyBorder="1" applyProtection="1">
      <protection locked="0"/>
    </xf>
    <xf numFmtId="0" fontId="4" fillId="0" borderId="71" xfId="0" applyFont="1" applyBorder="1" applyProtection="1">
      <protection hidden="1"/>
    </xf>
    <xf numFmtId="0" fontId="34" fillId="0" borderId="70" xfId="0" applyFont="1" applyBorder="1" applyProtection="1">
      <protection hidden="1"/>
    </xf>
    <xf numFmtId="0" fontId="34" fillId="0" borderId="71" xfId="0" applyFont="1" applyBorder="1" applyProtection="1">
      <protection hidden="1"/>
    </xf>
    <xf numFmtId="0" fontId="31" fillId="0" borderId="0" xfId="0" applyFont="1" applyBorder="1" applyProtection="1">
      <protection hidden="1"/>
    </xf>
    <xf numFmtId="0" fontId="10" fillId="0" borderId="73"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10" fillId="0" borderId="73" xfId="0" applyFont="1" applyBorder="1" applyProtection="1">
      <protection hidden="1"/>
    </xf>
    <xf numFmtId="4" fontId="10" fillId="0" borderId="74" xfId="0" applyNumberFormat="1" applyFont="1" applyBorder="1" applyAlignment="1" applyProtection="1">
      <alignment horizontal="right" indent="1"/>
      <protection hidden="1"/>
    </xf>
    <xf numFmtId="4" fontId="10" fillId="0" borderId="73" xfId="0" applyNumberFormat="1" applyFont="1" applyBorder="1" applyAlignment="1" applyProtection="1">
      <alignment horizontal="right" indent="1"/>
      <protection hidden="1"/>
    </xf>
    <xf numFmtId="0" fontId="4" fillId="0" borderId="75" xfId="0" applyFont="1" applyBorder="1" applyProtection="1">
      <protection hidden="1"/>
    </xf>
    <xf numFmtId="0" fontId="4" fillId="0" borderId="76" xfId="0" applyFont="1" applyBorder="1" applyProtection="1">
      <protection hidden="1"/>
    </xf>
    <xf numFmtId="0" fontId="10" fillId="13" borderId="0" xfId="0" applyFont="1" applyFill="1" applyProtection="1">
      <protection hidden="1"/>
    </xf>
    <xf numFmtId="0" fontId="4" fillId="13" borderId="0" xfId="0" applyFont="1" applyFill="1" applyProtection="1">
      <protection hidden="1"/>
    </xf>
    <xf numFmtId="0" fontId="4" fillId="0" borderId="0" xfId="0" applyFont="1" applyAlignment="1" applyProtection="1">
      <alignment horizontal="left" vertical="center" indent="1"/>
      <protection hidden="1"/>
    </xf>
    <xf numFmtId="0" fontId="117" fillId="0" borderId="0" xfId="0" applyFont="1" applyFill="1" applyBorder="1" applyAlignment="1" applyProtection="1">
      <alignment horizontal="center" vertical="center"/>
      <protection hidden="1"/>
    </xf>
    <xf numFmtId="0" fontId="4" fillId="0" borderId="0" xfId="0" applyFont="1" applyAlignment="1" applyProtection="1">
      <alignment horizontal="left" vertical="center" wrapText="1" indent="1"/>
      <protection hidden="1"/>
    </xf>
    <xf numFmtId="0" fontId="33" fillId="39" borderId="0" xfId="0" applyFont="1" applyFill="1" applyProtection="1">
      <protection hidden="1"/>
    </xf>
    <xf numFmtId="0" fontId="121" fillId="0" borderId="0" xfId="0" applyFont="1" applyProtection="1">
      <protection hidden="1"/>
    </xf>
    <xf numFmtId="0" fontId="117" fillId="0" borderId="13" xfId="0" applyFont="1" applyBorder="1" applyAlignment="1" applyProtection="1">
      <alignment vertical="center"/>
      <protection locked="0"/>
    </xf>
    <xf numFmtId="0" fontId="117" fillId="0" borderId="0" xfId="0" applyFont="1" applyFill="1" applyBorder="1" applyAlignment="1" applyProtection="1">
      <alignment horizontal="justify" vertical="top" wrapText="1"/>
      <protection hidden="1"/>
    </xf>
    <xf numFmtId="0" fontId="44" fillId="0" borderId="0" xfId="0" applyFont="1" applyProtection="1">
      <protection hidden="1"/>
    </xf>
    <xf numFmtId="0" fontId="44" fillId="0" borderId="0" xfId="0" applyFont="1" applyAlignment="1" applyProtection="1">
      <protection hidden="1"/>
    </xf>
    <xf numFmtId="0" fontId="44" fillId="0" borderId="0" xfId="0" applyFont="1" applyAlignment="1" applyProtection="1">
      <alignment wrapText="1"/>
      <protection hidden="1"/>
    </xf>
    <xf numFmtId="20" fontId="44" fillId="0" borderId="0" xfId="0" applyNumberFormat="1" applyFont="1" applyProtection="1">
      <protection hidden="1"/>
    </xf>
    <xf numFmtId="0" fontId="44" fillId="0" borderId="0" xfId="0" applyFont="1" applyFill="1" applyBorder="1" applyAlignment="1" applyProtection="1">
      <alignment vertical="top"/>
      <protection hidden="1"/>
    </xf>
    <xf numFmtId="0" fontId="117" fillId="0" borderId="13" xfId="0" applyFont="1" applyFill="1" applyBorder="1" applyAlignment="1" applyProtection="1">
      <alignment horizontal="center" vertical="center" wrapText="1"/>
      <protection locked="0"/>
    </xf>
    <xf numFmtId="0" fontId="123" fillId="0" borderId="0" xfId="0" applyFont="1" applyAlignment="1" applyProtection="1">
      <alignment vertical="center"/>
      <protection hidden="1"/>
    </xf>
    <xf numFmtId="0" fontId="10" fillId="6" borderId="0" xfId="0" applyFont="1" applyFill="1" applyProtection="1">
      <protection hidden="1"/>
    </xf>
    <xf numFmtId="0" fontId="10" fillId="6" borderId="0" xfId="0" applyFont="1" applyFill="1" applyBorder="1" applyAlignment="1" applyProtection="1">
      <alignment wrapText="1"/>
      <protection hidden="1"/>
    </xf>
    <xf numFmtId="0" fontId="11" fillId="6" borderId="0" xfId="0" applyFont="1" applyFill="1" applyAlignment="1" applyProtection="1">
      <alignment horizontal="center" vertical="center"/>
      <protection hidden="1"/>
    </xf>
    <xf numFmtId="0" fontId="10" fillId="6" borderId="0" xfId="0" quotePrefix="1" applyFont="1" applyFill="1" applyAlignment="1" applyProtection="1">
      <alignment horizontal="center" vertical="center"/>
      <protection hidden="1"/>
    </xf>
    <xf numFmtId="0" fontId="10" fillId="6" borderId="0" xfId="0" applyFont="1" applyFill="1" applyAlignment="1" applyProtection="1">
      <alignment horizontal="center" vertical="center"/>
      <protection hidden="1"/>
    </xf>
    <xf numFmtId="0" fontId="10" fillId="6" borderId="37" xfId="0" applyFont="1" applyFill="1" applyBorder="1" applyProtection="1">
      <protection hidden="1"/>
    </xf>
    <xf numFmtId="0" fontId="10" fillId="6" borderId="37" xfId="0" applyFont="1" applyFill="1" applyBorder="1" applyAlignment="1" applyProtection="1">
      <alignment wrapText="1"/>
      <protection hidden="1"/>
    </xf>
    <xf numFmtId="0" fontId="11" fillId="6" borderId="37" xfId="0" applyFont="1" applyFill="1" applyBorder="1" applyAlignment="1" applyProtection="1">
      <alignment horizontal="center" vertical="center"/>
      <protection hidden="1"/>
    </xf>
    <xf numFmtId="0" fontId="10" fillId="6" borderId="37" xfId="0" quotePrefix="1" applyFont="1" applyFill="1" applyBorder="1" applyAlignment="1" applyProtection="1">
      <alignment horizontal="center" vertical="center"/>
      <protection hidden="1"/>
    </xf>
    <xf numFmtId="0" fontId="10" fillId="6" borderId="37" xfId="0" applyFont="1" applyFill="1" applyBorder="1" applyAlignment="1" applyProtection="1">
      <alignment horizontal="center" vertical="center"/>
      <protection hidden="1"/>
    </xf>
    <xf numFmtId="0" fontId="33" fillId="13" borderId="0" xfId="0" applyFont="1" applyFill="1" applyProtection="1">
      <protection hidden="1"/>
    </xf>
    <xf numFmtId="0" fontId="4" fillId="13" borderId="0" xfId="0" applyFont="1" applyFill="1" applyAlignment="1" applyProtection="1">
      <alignment horizontal="center" vertical="center"/>
      <protection hidden="1"/>
    </xf>
    <xf numFmtId="0" fontId="18" fillId="31" borderId="0" xfId="0" applyFont="1" applyFill="1" applyBorder="1" applyAlignment="1" applyProtection="1">
      <protection hidden="1"/>
    </xf>
    <xf numFmtId="0" fontId="18" fillId="31" borderId="0" xfId="0" applyFont="1" applyFill="1" applyBorder="1" applyAlignment="1" applyProtection="1">
      <alignment wrapText="1"/>
      <protection hidden="1"/>
    </xf>
    <xf numFmtId="0" fontId="4" fillId="0" borderId="0" xfId="0" applyFont="1" applyFill="1" applyBorder="1" applyProtection="1">
      <protection hidden="1"/>
    </xf>
    <xf numFmtId="0" fontId="31" fillId="31" borderId="0" xfId="0" applyFont="1" applyFill="1" applyBorder="1" applyAlignment="1" applyProtection="1">
      <alignment vertical="center"/>
      <protection hidden="1"/>
    </xf>
    <xf numFmtId="0" fontId="34" fillId="31" borderId="0" xfId="0" applyFont="1" applyFill="1" applyBorder="1" applyAlignment="1" applyProtection="1">
      <alignment vertical="center" wrapText="1"/>
      <protection hidden="1"/>
    </xf>
    <xf numFmtId="0" fontId="10" fillId="31" borderId="0" xfId="0" applyFont="1" applyFill="1" applyBorder="1" applyAlignment="1" applyProtection="1">
      <alignment vertical="top"/>
      <protection hidden="1"/>
    </xf>
    <xf numFmtId="0" fontId="42" fillId="31" borderId="0" xfId="0" applyFont="1" applyFill="1" applyBorder="1" applyAlignment="1" applyProtection="1">
      <alignment wrapText="1"/>
      <protection hidden="1"/>
    </xf>
    <xf numFmtId="0" fontId="12" fillId="0" borderId="0" xfId="0" applyFont="1" applyFill="1" applyBorder="1" applyProtection="1">
      <protection hidden="1"/>
    </xf>
    <xf numFmtId="3" fontId="10" fillId="10" borderId="0" xfId="0" applyNumberFormat="1" applyFont="1" applyFill="1" applyBorder="1" applyAlignment="1" applyProtection="1">
      <alignment vertical="center"/>
      <protection hidden="1"/>
    </xf>
    <xf numFmtId="3" fontId="43" fillId="10" borderId="0" xfId="0" applyNumberFormat="1" applyFont="1" applyFill="1" applyBorder="1" applyAlignment="1" applyProtection="1">
      <alignment horizontal="center" vertical="center"/>
      <protection hidden="1"/>
    </xf>
    <xf numFmtId="3" fontId="43" fillId="1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protection locked="0"/>
    </xf>
    <xf numFmtId="3" fontId="4" fillId="29" borderId="0" xfId="0" applyNumberFormat="1" applyFont="1" applyFill="1" applyBorder="1" applyAlignment="1" applyProtection="1">
      <alignment vertical="center"/>
      <protection hidden="1"/>
    </xf>
    <xf numFmtId="169" fontId="4" fillId="0" borderId="13" xfId="0" applyNumberFormat="1" applyFont="1" applyFill="1" applyBorder="1" applyAlignment="1" applyProtection="1">
      <alignment vertical="center"/>
      <protection hidden="1"/>
    </xf>
    <xf numFmtId="10" fontId="4" fillId="0" borderId="13" xfId="0" applyNumberFormat="1" applyFont="1" applyFill="1" applyBorder="1" applyAlignment="1" applyProtection="1">
      <alignment vertical="center"/>
      <protection hidden="1"/>
    </xf>
    <xf numFmtId="3" fontId="4" fillId="0" borderId="14" xfId="53" applyNumberFormat="1" applyFont="1" applyFill="1" applyBorder="1" applyAlignment="1" applyProtection="1">
      <alignment horizontal="center" vertical="center"/>
      <protection hidden="1"/>
    </xf>
    <xf numFmtId="169" fontId="4" fillId="16" borderId="15" xfId="0" applyNumberFormat="1" applyFont="1" applyFill="1" applyBorder="1" applyAlignment="1" applyProtection="1">
      <alignment vertical="center"/>
      <protection locked="0"/>
    </xf>
    <xf numFmtId="169" fontId="4" fillId="16" borderId="38" xfId="0" applyNumberFormat="1" applyFont="1" applyFill="1" applyBorder="1" applyAlignment="1" applyProtection="1">
      <alignment vertical="center"/>
      <protection locked="0"/>
    </xf>
    <xf numFmtId="0" fontId="10" fillId="32" borderId="0" xfId="0" applyFont="1" applyFill="1" applyBorder="1" applyAlignment="1" applyProtection="1">
      <alignment vertical="center"/>
      <protection hidden="1"/>
    </xf>
    <xf numFmtId="4" fontId="10" fillId="35" borderId="15" xfId="53" applyNumberFormat="1" applyFont="1" applyFill="1" applyBorder="1" applyAlignment="1" applyProtection="1">
      <alignment vertical="center"/>
      <protection locked="0"/>
    </xf>
    <xf numFmtId="0" fontId="10" fillId="10" borderId="0" xfId="0" applyFont="1" applyFill="1" applyBorder="1" applyAlignment="1" applyProtection="1">
      <alignment vertical="center"/>
      <protection hidden="1"/>
    </xf>
    <xf numFmtId="0" fontId="43" fillId="10" borderId="0" xfId="0" applyFont="1" applyFill="1" applyBorder="1" applyAlignment="1" applyProtection="1">
      <alignment horizontal="center" vertical="center"/>
      <protection hidden="1"/>
    </xf>
    <xf numFmtId="0" fontId="44" fillId="29" borderId="0" xfId="0" quotePrefix="1" applyFont="1" applyFill="1" applyBorder="1" applyAlignment="1" applyProtection="1">
      <alignment vertical="center"/>
      <protection hidden="1"/>
    </xf>
    <xf numFmtId="0" fontId="44" fillId="29" borderId="0" xfId="0" applyFont="1" applyFill="1" applyBorder="1" applyAlignment="1" applyProtection="1">
      <alignment vertical="center"/>
      <protection hidden="1"/>
    </xf>
    <xf numFmtId="169" fontId="44" fillId="0" borderId="13" xfId="0" applyNumberFormat="1" applyFont="1" applyFill="1" applyBorder="1" applyAlignment="1" applyProtection="1">
      <alignment vertical="center"/>
      <protection hidden="1"/>
    </xf>
    <xf numFmtId="0" fontId="10" fillId="32" borderId="0" xfId="0" quotePrefix="1" applyFont="1" applyFill="1" applyBorder="1" applyAlignment="1" applyProtection="1">
      <alignment vertical="center"/>
      <protection hidden="1"/>
    </xf>
    <xf numFmtId="169" fontId="10" fillId="35" borderId="15"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protection hidden="1"/>
    </xf>
    <xf numFmtId="0" fontId="124" fillId="10" borderId="0" xfId="0" applyFont="1" applyFill="1" applyBorder="1" applyAlignment="1" applyProtection="1">
      <alignment horizontal="left" vertical="center"/>
      <protection hidden="1"/>
    </xf>
    <xf numFmtId="0" fontId="125" fillId="10" borderId="13" xfId="0" applyFont="1" applyFill="1" applyBorder="1" applyAlignment="1" applyProtection="1">
      <alignment horizontal="center" vertical="center"/>
      <protection hidden="1"/>
    </xf>
    <xf numFmtId="0" fontId="29" fillId="10" borderId="0" xfId="0" applyFont="1" applyFill="1" applyBorder="1" applyAlignment="1" applyProtection="1">
      <alignment vertical="center"/>
      <protection hidden="1"/>
    </xf>
    <xf numFmtId="0" fontId="126"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249" fontId="4" fillId="0" borderId="13" xfId="0" applyNumberFormat="1" applyFont="1" applyFill="1" applyBorder="1" applyAlignment="1" applyProtection="1">
      <alignment vertical="center"/>
      <protection hidden="1"/>
    </xf>
    <xf numFmtId="169" fontId="10" fillId="16" borderId="15" xfId="0" applyNumberFormat="1" applyFont="1" applyFill="1" applyBorder="1" applyAlignment="1" applyProtection="1">
      <alignment vertical="center"/>
      <protection locked="0"/>
    </xf>
    <xf numFmtId="0" fontId="10" fillId="6" borderId="0" xfId="0" applyFont="1" applyFill="1" applyBorder="1" applyAlignment="1" applyProtection="1">
      <alignment vertical="center"/>
      <protection hidden="1"/>
    </xf>
    <xf numFmtId="0" fontId="10" fillId="6" borderId="0" xfId="0" applyFont="1" applyFill="1" applyBorder="1" applyAlignment="1" applyProtection="1">
      <alignment horizontal="center" vertical="center"/>
      <protection hidden="1"/>
    </xf>
    <xf numFmtId="0" fontId="10" fillId="29" borderId="0" xfId="0" applyFont="1" applyFill="1" applyBorder="1" applyAlignment="1" applyProtection="1">
      <alignment vertical="center"/>
      <protection hidden="1"/>
    </xf>
    <xf numFmtId="0" fontId="11" fillId="29" borderId="0" xfId="0" applyFont="1" applyFill="1" applyBorder="1" applyAlignment="1" applyProtection="1">
      <alignment horizontal="right" vertical="center"/>
      <protection hidden="1"/>
    </xf>
    <xf numFmtId="0" fontId="11" fillId="34" borderId="15" xfId="0" applyFont="1" applyFill="1" applyBorder="1" applyAlignment="1" applyProtection="1">
      <alignment horizontal="center" vertical="center"/>
      <protection locked="0"/>
    </xf>
    <xf numFmtId="0" fontId="10" fillId="31" borderId="0" xfId="0" applyFont="1" applyFill="1" applyBorder="1" applyAlignment="1" applyProtection="1">
      <alignment vertical="center"/>
      <protection hidden="1"/>
    </xf>
    <xf numFmtId="3" fontId="10" fillId="32" borderId="0" xfId="0" applyNumberFormat="1" applyFont="1" applyFill="1" applyBorder="1" applyAlignment="1" applyProtection="1">
      <alignment vertical="center"/>
      <protection hidden="1"/>
    </xf>
    <xf numFmtId="1" fontId="43" fillId="10" borderId="0" xfId="0" applyNumberFormat="1" applyFont="1" applyFill="1" applyBorder="1" applyAlignment="1" applyProtection="1">
      <alignment horizontal="center" vertical="center" wrapText="1"/>
      <protection hidden="1"/>
    </xf>
    <xf numFmtId="0" fontId="29" fillId="10" borderId="0" xfId="0" applyFont="1" applyFill="1" applyBorder="1" applyAlignment="1" applyProtection="1">
      <alignment horizontal="center" vertical="center" wrapText="1"/>
      <protection hidden="1"/>
    </xf>
    <xf numFmtId="169" fontId="4" fillId="0" borderId="14" xfId="0" applyNumberFormat="1" applyFont="1" applyFill="1" applyBorder="1" applyAlignment="1" applyProtection="1">
      <alignment vertical="center"/>
      <protection hidden="1"/>
    </xf>
    <xf numFmtId="3" fontId="10" fillId="10" borderId="0" xfId="0" applyNumberFormat="1" applyFont="1" applyFill="1" applyBorder="1" applyAlignment="1" applyProtection="1">
      <alignment horizontal="center" vertical="center"/>
      <protection hidden="1"/>
    </xf>
    <xf numFmtId="3" fontId="4" fillId="0" borderId="13" xfId="53" applyNumberFormat="1" applyFont="1" applyFill="1" applyBorder="1" applyAlignment="1" applyProtection="1">
      <alignment horizontal="center" vertical="center"/>
      <protection hidden="1"/>
    </xf>
    <xf numFmtId="169" fontId="4" fillId="0" borderId="17" xfId="0" applyNumberFormat="1" applyFont="1" applyFill="1" applyBorder="1" applyAlignment="1" applyProtection="1">
      <alignment vertical="center"/>
      <protection hidden="1"/>
    </xf>
    <xf numFmtId="169" fontId="4" fillId="0" borderId="0" xfId="0" applyNumberFormat="1" applyFont="1" applyFill="1" applyBorder="1" applyAlignment="1" applyProtection="1">
      <alignment horizontal="center" vertical="center"/>
      <protection hidden="1"/>
    </xf>
    <xf numFmtId="169" fontId="10" fillId="0" borderId="0" xfId="0" applyNumberFormat="1" applyFont="1" applyFill="1" applyBorder="1" applyAlignment="1" applyProtection="1">
      <alignment vertical="center"/>
      <protection hidden="1"/>
    </xf>
    <xf numFmtId="3" fontId="36" fillId="32" borderId="0" xfId="0" applyNumberFormat="1" applyFont="1" applyFill="1" applyBorder="1" applyAlignment="1" applyProtection="1">
      <alignment vertical="center"/>
      <protection hidden="1"/>
    </xf>
    <xf numFmtId="169" fontId="10" fillId="35" borderId="15" xfId="53" applyNumberFormat="1" applyFont="1" applyFill="1" applyBorder="1" applyAlignment="1" applyProtection="1">
      <alignment vertical="center"/>
      <protection locked="0"/>
    </xf>
    <xf numFmtId="3" fontId="10" fillId="32" borderId="0" xfId="53" applyNumberFormat="1" applyFont="1" applyFill="1" applyBorder="1" applyAlignment="1" applyProtection="1">
      <alignment horizontal="right" vertical="center"/>
      <protection hidden="1"/>
    </xf>
    <xf numFmtId="219" fontId="4" fillId="0" borderId="13" xfId="0" applyNumberFormat="1" applyFont="1" applyBorder="1" applyAlignment="1" applyProtection="1">
      <alignment vertical="center"/>
      <protection hidden="1"/>
    </xf>
    <xf numFmtId="0" fontId="10" fillId="10" borderId="0" xfId="0" applyFont="1" applyFill="1" applyBorder="1" applyAlignment="1" applyProtection="1">
      <alignment horizontal="center" vertical="center"/>
      <protection hidden="1"/>
    </xf>
    <xf numFmtId="167" fontId="4" fillId="0" borderId="14" xfId="0" applyNumberFormat="1" applyFont="1" applyFill="1" applyBorder="1" applyAlignment="1" applyProtection="1">
      <alignment horizontal="center" vertical="center"/>
      <protection hidden="1"/>
    </xf>
    <xf numFmtId="3" fontId="4" fillId="0" borderId="16" xfId="0" applyNumberFormat="1" applyFont="1" applyFill="1" applyBorder="1" applyAlignment="1" applyProtection="1">
      <alignment vertical="center"/>
      <protection hidden="1"/>
    </xf>
    <xf numFmtId="3" fontId="4" fillId="16" borderId="15" xfId="0" applyNumberFormat="1" applyFont="1" applyFill="1" applyBorder="1" applyAlignment="1" applyProtection="1">
      <alignment vertical="center"/>
      <protection locked="0"/>
    </xf>
    <xf numFmtId="166" fontId="4" fillId="0" borderId="14" xfId="0" applyNumberFormat="1" applyFont="1" applyFill="1" applyBorder="1" applyAlignment="1" applyProtection="1">
      <alignment vertical="center"/>
      <protection hidden="1"/>
    </xf>
    <xf numFmtId="166" fontId="4" fillId="16" borderId="15" xfId="0" applyNumberFormat="1" applyFont="1" applyFill="1" applyBorder="1" applyAlignment="1" applyProtection="1">
      <alignment vertical="center"/>
      <protection locked="0"/>
    </xf>
    <xf numFmtId="167" fontId="4" fillId="0" borderId="13" xfId="0" applyNumberFormat="1" applyFont="1" applyFill="1" applyBorder="1" applyAlignment="1" applyProtection="1">
      <alignment horizontal="center" vertical="center"/>
      <protection hidden="1"/>
    </xf>
    <xf numFmtId="169" fontId="4" fillId="0" borderId="39" xfId="0" applyNumberFormat="1" applyFont="1" applyFill="1" applyBorder="1" applyAlignment="1" applyProtection="1">
      <alignment vertical="center"/>
      <protection hidden="1"/>
    </xf>
    <xf numFmtId="3" fontId="4" fillId="0" borderId="13" xfId="0" applyNumberFormat="1" applyFont="1" applyFill="1" applyBorder="1" applyAlignment="1" applyProtection="1">
      <alignment vertical="center"/>
      <protection hidden="1"/>
    </xf>
    <xf numFmtId="166" fontId="4" fillId="0" borderId="16" xfId="0" applyNumberFormat="1" applyFont="1" applyFill="1" applyBorder="1" applyAlignment="1" applyProtection="1">
      <alignment vertical="center"/>
      <protection hidden="1"/>
    </xf>
    <xf numFmtId="166" fontId="4" fillId="0" borderId="13" xfId="0" applyNumberFormat="1" applyFont="1" applyFill="1" applyBorder="1" applyAlignment="1" applyProtection="1">
      <alignment vertical="center"/>
      <protection hidden="1"/>
    </xf>
    <xf numFmtId="4" fontId="4" fillId="0" borderId="14" xfId="0" applyNumberFormat="1" applyFont="1" applyFill="1" applyBorder="1" applyAlignment="1" applyProtection="1">
      <alignment vertical="center"/>
      <protection hidden="1"/>
    </xf>
    <xf numFmtId="172" fontId="4" fillId="0" borderId="13" xfId="0" applyNumberFormat="1" applyFont="1" applyFill="1" applyBorder="1" applyAlignment="1" applyProtection="1">
      <alignment horizontal="center" vertical="center"/>
      <protection hidden="1"/>
    </xf>
    <xf numFmtId="3" fontId="4" fillId="0" borderId="17" xfId="0" applyNumberFormat="1" applyFont="1" applyFill="1" applyBorder="1" applyAlignment="1" applyProtection="1">
      <alignment vertical="center"/>
      <protection hidden="1"/>
    </xf>
    <xf numFmtId="166" fontId="4" fillId="0" borderId="17" xfId="0" applyNumberFormat="1" applyFont="1" applyFill="1" applyBorder="1" applyAlignment="1" applyProtection="1">
      <alignment vertical="center"/>
      <protection hidden="1"/>
    </xf>
    <xf numFmtId="169" fontId="4" fillId="0" borderId="18" xfId="0" applyNumberFormat="1" applyFont="1" applyFill="1" applyBorder="1" applyAlignment="1" applyProtection="1">
      <alignment vertical="center"/>
      <protection hidden="1"/>
    </xf>
    <xf numFmtId="3" fontId="4" fillId="0" borderId="18" xfId="0" applyNumberFormat="1" applyFont="1" applyFill="1" applyBorder="1" applyAlignment="1" applyProtection="1">
      <alignment vertical="center"/>
      <protection hidden="1"/>
    </xf>
    <xf numFmtId="166" fontId="4" fillId="0" borderId="18" xfId="0" applyNumberFormat="1" applyFont="1" applyFill="1" applyBorder="1" applyAlignment="1" applyProtection="1">
      <alignment vertical="center"/>
      <protection hidden="1"/>
    </xf>
    <xf numFmtId="3" fontId="4" fillId="29" borderId="0" xfId="0" applyNumberFormat="1" applyFont="1" applyFill="1" applyBorder="1" applyAlignment="1" applyProtection="1">
      <alignment horizontal="left" vertical="center"/>
      <protection hidden="1"/>
    </xf>
    <xf numFmtId="169" fontId="4" fillId="0" borderId="20" xfId="0" applyNumberFormat="1" applyFont="1" applyFill="1" applyBorder="1" applyAlignment="1" applyProtection="1">
      <alignment vertical="center"/>
      <protection hidden="1"/>
    </xf>
    <xf numFmtId="169" fontId="36" fillId="32" borderId="17" xfId="0" applyNumberFormat="1" applyFont="1" applyFill="1" applyBorder="1" applyAlignment="1" applyProtection="1">
      <alignment vertical="center"/>
      <protection hidden="1"/>
    </xf>
    <xf numFmtId="0" fontId="4" fillId="6" borderId="0" xfId="0" applyFont="1" applyFill="1" applyBorder="1" applyAlignment="1" applyProtection="1">
      <alignment vertical="center"/>
      <protection hidden="1"/>
    </xf>
    <xf numFmtId="169" fontId="4" fillId="0" borderId="0" xfId="0" applyNumberFormat="1" applyFont="1" applyBorder="1" applyAlignment="1" applyProtection="1">
      <alignment vertical="center"/>
      <protection hidden="1"/>
    </xf>
    <xf numFmtId="0" fontId="4" fillId="29" borderId="0" xfId="0" applyFont="1" applyFill="1" applyBorder="1" applyAlignment="1" applyProtection="1">
      <alignment horizontal="centerContinuous" vertical="center"/>
      <protection hidden="1"/>
    </xf>
    <xf numFmtId="0" fontId="78" fillId="6" borderId="0" xfId="0" applyFont="1" applyFill="1" applyBorder="1" applyAlignment="1" applyProtection="1">
      <alignment vertical="center"/>
      <protection hidden="1"/>
    </xf>
    <xf numFmtId="0" fontId="79" fillId="6" borderId="0" xfId="0" applyFont="1" applyFill="1" applyBorder="1" applyAlignment="1" applyProtection="1">
      <alignment vertical="center"/>
      <protection hidden="1"/>
    </xf>
    <xf numFmtId="0" fontId="31" fillId="43" borderId="0" xfId="0" applyFont="1" applyFill="1" applyProtection="1">
      <protection hidden="1"/>
    </xf>
    <xf numFmtId="0" fontId="31" fillId="43" borderId="0" xfId="0" applyFont="1" applyFill="1" applyAlignment="1" applyProtection="1">
      <alignment vertical="center"/>
      <protection hidden="1"/>
    </xf>
    <xf numFmtId="0" fontId="34" fillId="43" borderId="0" xfId="0" applyFont="1" applyFill="1" applyProtection="1">
      <protection hidden="1"/>
    </xf>
    <xf numFmtId="0" fontId="34" fillId="43" borderId="0" xfId="0" applyFont="1" applyFill="1" applyAlignment="1" applyProtection="1">
      <alignment horizontal="center" vertical="center"/>
      <protection hidden="1"/>
    </xf>
    <xf numFmtId="0" fontId="0" fillId="0" borderId="71" xfId="0" applyBorder="1" applyProtection="1">
      <protection hidden="1"/>
    </xf>
    <xf numFmtId="0" fontId="44" fillId="0" borderId="0" xfId="0" applyFont="1" applyFill="1" applyBorder="1" applyAlignment="1" applyProtection="1">
      <alignment horizontal="center" vertical="center"/>
      <protection locked="0"/>
    </xf>
    <xf numFmtId="4" fontId="116" fillId="39" borderId="0" xfId="0" applyNumberFormat="1" applyFont="1" applyFill="1" applyAlignment="1" applyProtection="1">
      <alignment vertical="center"/>
      <protection hidden="1"/>
    </xf>
    <xf numFmtId="0" fontId="128" fillId="43" borderId="0" xfId="0" applyFont="1" applyFill="1" applyAlignment="1" applyProtection="1">
      <alignment vertical="center"/>
      <protection hidden="1"/>
    </xf>
    <xf numFmtId="0" fontId="129" fillId="43" borderId="0" xfId="0" applyFont="1" applyFill="1" applyAlignment="1" applyProtection="1">
      <alignment vertical="center"/>
      <protection hidden="1"/>
    </xf>
    <xf numFmtId="0" fontId="130" fillId="43" borderId="0" xfId="0" applyFont="1" applyFill="1" applyAlignment="1" applyProtection="1">
      <alignment vertical="center"/>
      <protection hidden="1"/>
    </xf>
    <xf numFmtId="0" fontId="131" fillId="43" borderId="0" xfId="0" applyFont="1" applyFill="1" applyAlignment="1" applyProtection="1">
      <alignment horizontal="center" vertical="center"/>
      <protection hidden="1"/>
    </xf>
    <xf numFmtId="0" fontId="131" fillId="43" borderId="0" xfId="0" applyFont="1" applyFill="1" applyAlignment="1" applyProtection="1">
      <alignment horizontal="center" vertical="center" wrapText="1"/>
      <protection hidden="1"/>
    </xf>
    <xf numFmtId="0" fontId="131" fillId="43" borderId="0" xfId="0" quotePrefix="1" applyFont="1" applyFill="1" applyAlignment="1" applyProtection="1">
      <alignment horizontal="center" vertical="center"/>
      <protection hidden="1"/>
    </xf>
    <xf numFmtId="0" fontId="131" fillId="43" borderId="0" xfId="0" applyFont="1" applyFill="1" applyAlignment="1" applyProtection="1">
      <alignment horizontal="centerContinuous" vertical="center"/>
      <protection hidden="1"/>
    </xf>
    <xf numFmtId="0" fontId="132" fillId="43" borderId="0" xfId="0" applyFont="1" applyFill="1" applyProtection="1">
      <protection hidden="1"/>
    </xf>
    <xf numFmtId="0" fontId="130" fillId="43" borderId="0" xfId="0" applyFont="1" applyFill="1" applyProtection="1">
      <protection hidden="1"/>
    </xf>
    <xf numFmtId="0" fontId="5" fillId="0" borderId="0" xfId="72" applyFont="1" applyProtection="1">
      <protection locked="0"/>
    </xf>
    <xf numFmtId="0" fontId="5" fillId="0" borderId="0" xfId="0" applyFont="1" applyAlignment="1" applyProtection="1">
      <alignment vertical="center"/>
      <protection locked="0"/>
    </xf>
    <xf numFmtId="0" fontId="5" fillId="0" borderId="0" xfId="72" applyFont="1" applyAlignment="1" applyProtection="1">
      <alignment vertical="center"/>
      <protection locked="0"/>
    </xf>
    <xf numFmtId="170" fontId="4" fillId="16" borderId="15" xfId="78" applyNumberFormat="1" applyFont="1" applyFill="1" applyBorder="1" applyAlignment="1" applyProtection="1">
      <alignment vertical="center"/>
      <protection locked="0"/>
    </xf>
    <xf numFmtId="3" fontId="10" fillId="16" borderId="15" xfId="0" applyNumberFormat="1" applyFont="1" applyFill="1" applyBorder="1" applyAlignment="1" applyProtection="1">
      <alignment horizontal="center" vertical="center"/>
      <protection locked="0"/>
    </xf>
    <xf numFmtId="169" fontId="44" fillId="0" borderId="0" xfId="0" applyNumberFormat="1" applyFont="1" applyFill="1" applyBorder="1" applyAlignment="1" applyProtection="1">
      <alignment vertical="center"/>
      <protection hidden="1"/>
    </xf>
    <xf numFmtId="169" fontId="44" fillId="0" borderId="77" xfId="0" applyNumberFormat="1" applyFont="1" applyFill="1" applyBorder="1" applyAlignment="1" applyProtection="1">
      <alignment vertical="center"/>
      <protection hidden="1"/>
    </xf>
    <xf numFmtId="169" fontId="4" fillId="0" borderId="78" xfId="0" applyNumberFormat="1" applyFont="1" applyFill="1" applyBorder="1" applyAlignment="1" applyProtection="1">
      <alignment vertical="center"/>
      <protection hidden="1"/>
    </xf>
    <xf numFmtId="169" fontId="4" fillId="0" borderId="77" xfId="0" applyNumberFormat="1" applyFont="1" applyFill="1" applyBorder="1" applyAlignment="1" applyProtection="1">
      <alignment vertical="center"/>
      <protection hidden="1"/>
    </xf>
    <xf numFmtId="191" fontId="10" fillId="16" borderId="15" xfId="0" applyNumberFormat="1" applyFont="1" applyFill="1" applyBorder="1" applyProtection="1">
      <protection locked="0"/>
    </xf>
    <xf numFmtId="4" fontId="28" fillId="0" borderId="79" xfId="0" applyNumberFormat="1" applyFont="1" applyFill="1" applyBorder="1" applyAlignment="1" applyProtection="1">
      <alignment horizontal="center" vertical="center"/>
      <protection hidden="1"/>
    </xf>
    <xf numFmtId="4" fontId="26" fillId="32" borderId="18" xfId="0" applyNumberFormat="1" applyFont="1" applyFill="1" applyBorder="1" applyAlignment="1" applyProtection="1">
      <alignment horizontal="center" vertical="center"/>
      <protection hidden="1"/>
    </xf>
    <xf numFmtId="4" fontId="28" fillId="0" borderId="28" xfId="0" applyNumberFormat="1" applyFont="1" applyFill="1" applyBorder="1" applyAlignment="1" applyProtection="1">
      <alignment horizontal="center" vertical="center"/>
      <protection hidden="1"/>
    </xf>
    <xf numFmtId="4" fontId="28" fillId="0" borderId="19" xfId="0" applyNumberFormat="1" applyFont="1" applyFill="1" applyBorder="1" applyAlignment="1" applyProtection="1">
      <alignment horizontal="center" vertical="center"/>
      <protection hidden="1"/>
    </xf>
    <xf numFmtId="4" fontId="26" fillId="32" borderId="39" xfId="0" applyNumberFormat="1" applyFont="1" applyFill="1" applyBorder="1" applyAlignment="1" applyProtection="1">
      <alignment horizontal="center" vertical="center"/>
      <protection hidden="1"/>
    </xf>
    <xf numFmtId="4" fontId="28" fillId="0" borderId="14" xfId="0" applyNumberFormat="1" applyFont="1" applyFill="1" applyBorder="1" applyAlignment="1" applyProtection="1">
      <alignment horizontal="center" vertical="center"/>
      <protection hidden="1"/>
    </xf>
    <xf numFmtId="3" fontId="28" fillId="0" borderId="13" xfId="0" applyNumberFormat="1" applyFont="1" applyFill="1" applyBorder="1" applyAlignment="1" applyProtection="1">
      <alignment horizontal="center" vertical="center"/>
      <protection hidden="1"/>
    </xf>
    <xf numFmtId="189" fontId="28" fillId="0" borderId="14" xfId="0" applyNumberFormat="1" applyFont="1" applyFill="1" applyBorder="1" applyAlignment="1" applyProtection="1">
      <alignment horizontal="center" vertical="center"/>
      <protection hidden="1"/>
    </xf>
    <xf numFmtId="3" fontId="28" fillId="0" borderId="17" xfId="0" applyNumberFormat="1" applyFont="1" applyFill="1" applyBorder="1" applyAlignment="1" applyProtection="1">
      <alignment horizontal="center" vertical="center"/>
      <protection hidden="1"/>
    </xf>
    <xf numFmtId="4" fontId="28" fillId="0" borderId="78" xfId="0" applyNumberFormat="1" applyFont="1" applyFill="1" applyBorder="1" applyAlignment="1" applyProtection="1">
      <alignment horizontal="center" vertical="center"/>
      <protection locked="0"/>
    </xf>
    <xf numFmtId="213" fontId="28" fillId="0" borderId="13" xfId="0" applyNumberFormat="1" applyFont="1" applyFill="1" applyBorder="1" applyAlignment="1" applyProtection="1">
      <alignment horizontal="center" vertical="center"/>
      <protection hidden="1"/>
    </xf>
    <xf numFmtId="250" fontId="4" fillId="0" borderId="0" xfId="72" applyNumberFormat="1" applyFont="1" applyFill="1" applyBorder="1" applyAlignment="1" applyProtection="1">
      <alignment vertical="center"/>
      <protection hidden="1"/>
    </xf>
    <xf numFmtId="10" fontId="5" fillId="0" borderId="0" xfId="72" applyNumberFormat="1" applyFont="1" applyFill="1" applyBorder="1" applyAlignment="1" applyProtection="1">
      <alignment vertical="center"/>
      <protection hidden="1"/>
    </xf>
    <xf numFmtId="169" fontId="10" fillId="32" borderId="0" xfId="0" applyNumberFormat="1" applyFont="1" applyFill="1" applyBorder="1" applyAlignment="1" applyProtection="1">
      <alignment vertical="center"/>
      <protection hidden="1"/>
    </xf>
    <xf numFmtId="169" fontId="28" fillId="0" borderId="77" xfId="0" applyNumberFormat="1" applyFont="1" applyFill="1" applyBorder="1" applyProtection="1">
      <protection hidden="1"/>
    </xf>
    <xf numFmtId="220" fontId="133" fillId="0" borderId="13" xfId="0" applyNumberFormat="1" applyFont="1" applyFill="1" applyBorder="1" applyAlignment="1" applyProtection="1">
      <alignment vertical="center"/>
      <protection hidden="1"/>
    </xf>
    <xf numFmtId="252" fontId="0" fillId="13" borderId="0" xfId="0" applyNumberFormat="1" applyFill="1" applyAlignment="1" applyProtection="1">
      <alignment horizontal="left"/>
      <protection hidden="1"/>
    </xf>
    <xf numFmtId="0" fontId="46" fillId="40" borderId="65" xfId="0" applyFont="1" applyFill="1" applyBorder="1" applyAlignment="1" applyProtection="1">
      <alignment vertical="center"/>
      <protection hidden="1"/>
    </xf>
    <xf numFmtId="0" fontId="46" fillId="40" borderId="65" xfId="0" applyFont="1" applyFill="1" applyBorder="1" applyProtection="1">
      <protection hidden="1"/>
    </xf>
    <xf numFmtId="0" fontId="134" fillId="40" borderId="65" xfId="0" applyFont="1" applyFill="1" applyBorder="1" applyAlignment="1" applyProtection="1">
      <alignment horizontal="center" vertical="center"/>
      <protection hidden="1"/>
    </xf>
    <xf numFmtId="0" fontId="46" fillId="40" borderId="65" xfId="0" applyFont="1" applyFill="1" applyBorder="1" applyAlignment="1" applyProtection="1">
      <alignment horizontal="center" vertical="center"/>
      <protection hidden="1"/>
    </xf>
    <xf numFmtId="0" fontId="135" fillId="0" borderId="13" xfId="72" applyFont="1" applyFill="1" applyBorder="1" applyAlignment="1" applyProtection="1">
      <alignment horizontal="center" vertical="center"/>
      <protection hidden="1"/>
    </xf>
    <xf numFmtId="0" fontId="93" fillId="37" borderId="0" xfId="0" applyFont="1" applyFill="1" applyAlignment="1" applyProtection="1">
      <alignment vertical="center"/>
      <protection hidden="1"/>
    </xf>
    <xf numFmtId="252" fontId="0" fillId="13" borderId="0" xfId="0" applyNumberFormat="1" applyFill="1" applyAlignment="1" applyProtection="1">
      <alignment horizontal="left"/>
      <protection hidden="1"/>
    </xf>
    <xf numFmtId="254" fontId="34" fillId="0" borderId="0" xfId="77" applyNumberFormat="1" applyFont="1" applyFill="1" applyBorder="1" applyAlignment="1" applyProtection="1">
      <alignment horizontal="left" vertical="center"/>
      <protection hidden="1"/>
    </xf>
    <xf numFmtId="165" fontId="100" fillId="37" borderId="0" xfId="0" applyNumberFormat="1" applyFont="1" applyFill="1" applyAlignment="1" applyProtection="1">
      <alignment horizontal="left" wrapText="1"/>
      <protection hidden="1"/>
    </xf>
    <xf numFmtId="0" fontId="4" fillId="0" borderId="0" xfId="0" applyFont="1" applyAlignment="1" applyProtection="1">
      <alignment horizontal="left" vertical="top" wrapText="1" indent="1"/>
      <protection hidden="1"/>
    </xf>
    <xf numFmtId="0" fontId="108" fillId="29" borderId="14" xfId="0" applyFont="1" applyFill="1" applyBorder="1" applyAlignment="1" applyProtection="1">
      <alignment horizontal="justify" vertical="top" wrapText="1"/>
      <protection locked="0"/>
    </xf>
    <xf numFmtId="0" fontId="108" fillId="29" borderId="16" xfId="0" applyFont="1" applyFill="1" applyBorder="1" applyAlignment="1" applyProtection="1">
      <alignment horizontal="justify" vertical="top" wrapText="1"/>
      <protection locked="0"/>
    </xf>
    <xf numFmtId="0" fontId="108" fillId="29" borderId="19" xfId="0" applyFont="1" applyFill="1" applyBorder="1" applyAlignment="1" applyProtection="1">
      <alignment horizontal="justify" vertical="top" wrapText="1"/>
      <protection locked="0"/>
    </xf>
    <xf numFmtId="0" fontId="4" fillId="0" borderId="0" xfId="0" applyFont="1" applyAlignment="1" applyProtection="1">
      <alignment vertical="top" wrapText="1"/>
      <protection hidden="1"/>
    </xf>
    <xf numFmtId="0" fontId="4" fillId="0" borderId="0" xfId="0" applyFont="1" applyProtection="1">
      <protection hidden="1"/>
    </xf>
    <xf numFmtId="251" fontId="5" fillId="0" borderId="0" xfId="72" applyNumberFormat="1" applyFont="1" applyBorder="1" applyAlignment="1" applyProtection="1">
      <alignment horizontal="left" vertical="top" wrapText="1"/>
      <protection hidden="1"/>
    </xf>
    <xf numFmtId="251" fontId="5" fillId="0" borderId="80" xfId="72" applyNumberFormat="1" applyFont="1" applyBorder="1" applyAlignment="1" applyProtection="1">
      <alignment horizontal="left" vertical="top" wrapText="1"/>
      <protection hidden="1"/>
    </xf>
    <xf numFmtId="171" fontId="95" fillId="0" borderId="14" xfId="72" applyNumberFormat="1" applyFont="1" applyBorder="1" applyAlignment="1" applyProtection="1">
      <alignment vertical="top" wrapText="1"/>
      <protection locked="0"/>
    </xf>
    <xf numFmtId="171" fontId="95" fillId="0" borderId="16" xfId="72" applyNumberFormat="1" applyFont="1" applyBorder="1" applyAlignment="1" applyProtection="1">
      <alignment vertical="top" wrapText="1"/>
      <protection locked="0"/>
    </xf>
    <xf numFmtId="171" fontId="95" fillId="0" borderId="19" xfId="72" applyNumberFormat="1" applyFont="1" applyBorder="1" applyAlignment="1" applyProtection="1">
      <alignment vertical="top" wrapText="1"/>
      <protection locked="0"/>
    </xf>
    <xf numFmtId="0" fontId="27" fillId="0" borderId="8" xfId="72" applyFont="1" applyFill="1" applyBorder="1" applyAlignment="1" applyProtection="1">
      <alignment vertical="center" wrapText="1"/>
      <protection hidden="1"/>
    </xf>
    <xf numFmtId="0" fontId="27" fillId="0" borderId="0" xfId="72" applyFont="1" applyFill="1" applyBorder="1" applyAlignment="1" applyProtection="1">
      <alignment vertical="center" wrapText="1"/>
      <protection hidden="1"/>
    </xf>
    <xf numFmtId="255" fontId="5" fillId="0" borderId="0" xfId="77" applyNumberFormat="1" applyFont="1" applyProtection="1">
      <protection hidden="1"/>
    </xf>
    <xf numFmtId="0" fontId="5" fillId="0" borderId="0" xfId="77" applyFont="1" applyAlignment="1" applyProtection="1">
      <alignment horizontal="left" vertical="center"/>
      <protection hidden="1"/>
    </xf>
    <xf numFmtId="220" fontId="113" fillId="0" borderId="0" xfId="72" applyNumberFormat="1" applyFont="1" applyFill="1" applyBorder="1" applyAlignment="1" applyProtection="1">
      <alignment vertical="top" wrapText="1"/>
      <protection hidden="1"/>
    </xf>
    <xf numFmtId="0" fontId="107" fillId="40" borderId="0" xfId="0" applyFont="1" applyFill="1" applyAlignment="1" applyProtection="1">
      <alignment horizontal="center" wrapText="1"/>
      <protection hidden="1"/>
    </xf>
    <xf numFmtId="0" fontId="9" fillId="29" borderId="14" xfId="0" applyFont="1" applyFill="1" applyBorder="1" applyAlignment="1" applyProtection="1">
      <alignment horizontal="justify" vertical="center" wrapText="1"/>
      <protection locked="0"/>
    </xf>
    <xf numFmtId="0" fontId="9" fillId="29" borderId="16" xfId="0" applyFont="1" applyFill="1" applyBorder="1" applyAlignment="1" applyProtection="1">
      <alignment horizontal="justify" vertical="center" wrapText="1"/>
      <protection locked="0"/>
    </xf>
    <xf numFmtId="0" fontId="9" fillId="29" borderId="19" xfId="0" applyFont="1" applyFill="1" applyBorder="1" applyAlignment="1" applyProtection="1">
      <alignment horizontal="justify" vertical="center" wrapText="1"/>
      <protection locked="0"/>
    </xf>
    <xf numFmtId="0" fontId="4" fillId="0" borderId="0" xfId="0" applyFont="1" applyBorder="1" applyAlignment="1" applyProtection="1">
      <alignment horizontal="left" vertical="top" wrapText="1" indent="1"/>
      <protection hidden="1"/>
    </xf>
    <xf numFmtId="0" fontId="112" fillId="39" borderId="0" xfId="0" applyFont="1" applyFill="1" applyAlignment="1" applyProtection="1">
      <alignment horizontal="justify" vertical="top"/>
      <protection hidden="1"/>
    </xf>
    <xf numFmtId="0" fontId="111" fillId="39" borderId="0" xfId="0" applyFont="1" applyFill="1" applyAlignment="1" applyProtection="1">
      <alignment horizontal="justify" vertical="top"/>
      <protection hidden="1"/>
    </xf>
    <xf numFmtId="0" fontId="108" fillId="29" borderId="14" xfId="0" applyFont="1" applyFill="1" applyBorder="1" applyAlignment="1" applyProtection="1">
      <alignment horizontal="justify" vertical="center" wrapText="1"/>
      <protection locked="0"/>
    </xf>
    <xf numFmtId="0" fontId="108" fillId="29" borderId="16" xfId="0" applyFont="1" applyFill="1" applyBorder="1" applyAlignment="1" applyProtection="1">
      <alignment horizontal="justify" vertical="center" wrapText="1"/>
      <protection locked="0"/>
    </xf>
    <xf numFmtId="0" fontId="108" fillId="29" borderId="19" xfId="0" applyFont="1" applyFill="1" applyBorder="1" applyAlignment="1" applyProtection="1">
      <alignment horizontal="justify" vertical="center" wrapText="1"/>
      <protection locked="0"/>
    </xf>
    <xf numFmtId="0" fontId="32" fillId="30" borderId="0" xfId="0" applyFont="1" applyFill="1" applyBorder="1" applyAlignment="1" applyProtection="1">
      <alignment horizontal="center" vertical="center" wrapText="1"/>
      <protection hidden="1"/>
    </xf>
    <xf numFmtId="0" fontId="32" fillId="30" borderId="0" xfId="0" applyFont="1" applyFill="1" applyBorder="1" applyAlignment="1" applyProtection="1">
      <alignment horizontal="center" vertical="center"/>
      <protection hidden="1"/>
    </xf>
    <xf numFmtId="0" fontId="117" fillId="0" borderId="8" xfId="0" applyFont="1" applyFill="1" applyBorder="1" applyProtection="1">
      <protection locked="0"/>
    </xf>
    <xf numFmtId="0" fontId="4" fillId="0" borderId="0" xfId="0" applyFont="1" applyAlignment="1" applyProtection="1">
      <alignment horizontal="justify" vertical="top" wrapText="1"/>
      <protection hidden="1"/>
    </xf>
    <xf numFmtId="0" fontId="31" fillId="43" borderId="0" xfId="0" applyFont="1" applyFill="1" applyAlignment="1" applyProtection="1">
      <alignment horizontal="center" vertical="center" textRotation="90"/>
      <protection hidden="1"/>
    </xf>
    <xf numFmtId="0" fontId="117" fillId="0" borderId="14" xfId="0" applyFont="1" applyFill="1" applyBorder="1" applyAlignment="1" applyProtection="1">
      <alignment vertical="center" wrapText="1"/>
      <protection locked="0"/>
    </xf>
    <xf numFmtId="0" fontId="117" fillId="0" borderId="16" xfId="0" applyFont="1" applyFill="1" applyBorder="1" applyAlignment="1" applyProtection="1">
      <alignment vertical="center" wrapText="1"/>
      <protection locked="0"/>
    </xf>
    <xf numFmtId="0" fontId="117" fillId="0" borderId="19" xfId="0" applyFont="1" applyFill="1" applyBorder="1" applyAlignment="1" applyProtection="1">
      <alignment vertical="center" wrapText="1"/>
      <protection locked="0"/>
    </xf>
    <xf numFmtId="49" fontId="117" fillId="0" borderId="14" xfId="0" applyNumberFormat="1" applyFont="1" applyFill="1" applyBorder="1" applyAlignment="1" applyProtection="1">
      <alignment vertical="center" wrapText="1"/>
      <protection locked="0"/>
    </xf>
    <xf numFmtId="49" fontId="117" fillId="0" borderId="19" xfId="0" applyNumberFormat="1" applyFont="1" applyFill="1" applyBorder="1" applyAlignment="1" applyProtection="1">
      <alignment vertical="center" wrapText="1"/>
      <protection locked="0"/>
    </xf>
    <xf numFmtId="0" fontId="117" fillId="0" borderId="14" xfId="0" applyFont="1" applyBorder="1" applyAlignment="1" applyProtection="1">
      <alignment vertical="center"/>
      <protection locked="0"/>
    </xf>
    <xf numFmtId="0" fontId="117" fillId="0" borderId="19" xfId="0" applyFont="1" applyBorder="1" applyAlignment="1" applyProtection="1">
      <alignment vertical="center"/>
      <protection locked="0"/>
    </xf>
    <xf numFmtId="3" fontId="117" fillId="29" borderId="14" xfId="0" applyNumberFormat="1" applyFont="1" applyFill="1" applyBorder="1" applyAlignment="1" applyProtection="1">
      <alignment vertical="center"/>
      <protection locked="0"/>
    </xf>
    <xf numFmtId="3" fontId="117" fillId="29" borderId="16" xfId="0" applyNumberFormat="1" applyFont="1" applyFill="1" applyBorder="1" applyAlignment="1" applyProtection="1">
      <alignment vertical="center"/>
      <protection locked="0"/>
    </xf>
    <xf numFmtId="3" fontId="117" fillId="29" borderId="19" xfId="0" applyNumberFormat="1" applyFont="1" applyFill="1" applyBorder="1" applyAlignment="1" applyProtection="1">
      <alignment vertical="center"/>
      <protection locked="0"/>
    </xf>
    <xf numFmtId="3" fontId="117" fillId="0" borderId="14" xfId="0" applyNumberFormat="1" applyFont="1" applyFill="1" applyBorder="1" applyAlignment="1" applyProtection="1">
      <alignment vertical="center" wrapText="1"/>
      <protection locked="0"/>
    </xf>
    <xf numFmtId="3" fontId="117" fillId="0" borderId="19" xfId="0" applyNumberFormat="1" applyFont="1" applyFill="1" applyBorder="1" applyAlignment="1" applyProtection="1">
      <alignment vertical="center" wrapText="1"/>
      <protection locked="0"/>
    </xf>
    <xf numFmtId="0" fontId="117" fillId="0" borderId="14" xfId="0" applyNumberFormat="1" applyFont="1" applyFill="1" applyBorder="1" applyAlignment="1" applyProtection="1">
      <alignment vertical="center" wrapText="1"/>
      <protection locked="0"/>
    </xf>
    <xf numFmtId="0" fontId="117" fillId="0" borderId="19" xfId="0" applyNumberFormat="1" applyFont="1" applyFill="1" applyBorder="1" applyAlignment="1" applyProtection="1">
      <alignment vertical="center" wrapText="1"/>
      <protection locked="0"/>
    </xf>
    <xf numFmtId="4" fontId="117" fillId="0" borderId="14" xfId="0" applyNumberFormat="1" applyFont="1" applyFill="1" applyBorder="1" applyAlignment="1" applyProtection="1">
      <alignment vertical="center" wrapText="1"/>
      <protection locked="0"/>
    </xf>
    <xf numFmtId="4" fontId="117" fillId="0" borderId="19" xfId="0" applyNumberFormat="1" applyFont="1" applyFill="1" applyBorder="1" applyAlignment="1" applyProtection="1">
      <alignment vertical="center" wrapText="1"/>
      <protection locked="0"/>
    </xf>
    <xf numFmtId="0" fontId="18" fillId="31" borderId="0" xfId="0" applyFont="1" applyFill="1" applyBorder="1" applyAlignment="1" applyProtection="1">
      <alignment vertical="center" wrapText="1"/>
      <protection hidden="1"/>
    </xf>
    <xf numFmtId="3" fontId="10" fillId="6" borderId="0" xfId="0" applyNumberFormat="1" applyFont="1" applyFill="1" applyBorder="1" applyAlignment="1" applyProtection="1">
      <alignment vertical="center" wrapText="1"/>
      <protection hidden="1"/>
    </xf>
    <xf numFmtId="169" fontId="10" fillId="6" borderId="14" xfId="0" applyNumberFormat="1" applyFont="1" applyFill="1" applyBorder="1" applyAlignment="1" applyProtection="1">
      <alignment horizontal="center" vertical="center"/>
      <protection hidden="1"/>
    </xf>
    <xf numFmtId="169" fontId="10" fillId="6" borderId="19" xfId="0" applyNumberFormat="1" applyFont="1" applyFill="1" applyBorder="1" applyAlignment="1" applyProtection="1">
      <alignment horizontal="center" vertical="center"/>
      <protection hidden="1"/>
    </xf>
    <xf numFmtId="3" fontId="10" fillId="10" borderId="0" xfId="0" applyNumberFormat="1" applyFont="1" applyFill="1" applyBorder="1" applyAlignment="1" applyProtection="1">
      <alignment vertical="center"/>
      <protection hidden="1"/>
    </xf>
    <xf numFmtId="0" fontId="10" fillId="11" borderId="0" xfId="0" applyFont="1" applyFill="1" applyBorder="1" applyAlignment="1" applyProtection="1">
      <alignment horizontal="left" vertical="center"/>
      <protection hidden="1"/>
    </xf>
    <xf numFmtId="3" fontId="10" fillId="29" borderId="0" xfId="0" applyNumberFormat="1" applyFont="1" applyFill="1" applyBorder="1" applyAlignment="1" applyProtection="1">
      <alignment horizontal="center" vertical="center" wrapText="1"/>
      <protection hidden="1"/>
    </xf>
    <xf numFmtId="3" fontId="4" fillId="35" borderId="38" xfId="0" applyNumberFormat="1" applyFont="1" applyFill="1" applyBorder="1" applyAlignment="1" applyProtection="1">
      <alignment horizontal="center" vertical="center"/>
      <protection locked="0"/>
    </xf>
    <xf numFmtId="3" fontId="4" fillId="35" borderId="6" xfId="0" applyNumberFormat="1" applyFont="1" applyFill="1" applyBorder="1" applyAlignment="1" applyProtection="1">
      <alignment horizontal="center" vertical="center"/>
      <protection locked="0"/>
    </xf>
    <xf numFmtId="3" fontId="4" fillId="35" borderId="12" xfId="0" applyNumberFormat="1" applyFont="1" applyFill="1" applyBorder="1" applyAlignment="1" applyProtection="1">
      <alignment horizontal="center" vertical="center"/>
      <protection locked="0"/>
    </xf>
    <xf numFmtId="0" fontId="10" fillId="10" borderId="0" xfId="0" applyFont="1" applyFill="1" applyBorder="1" applyAlignment="1" applyProtection="1">
      <alignment horizontal="left" vertical="center" wrapText="1"/>
      <protection hidden="1"/>
    </xf>
    <xf numFmtId="0" fontId="127" fillId="31" borderId="0" xfId="0" applyFont="1" applyFill="1" applyBorder="1" applyAlignment="1" applyProtection="1">
      <alignment horizontal="center" vertical="center" wrapText="1"/>
      <protection hidden="1"/>
    </xf>
    <xf numFmtId="0" fontId="10" fillId="10" borderId="0" xfId="0" applyFont="1" applyFill="1" applyBorder="1" applyAlignment="1" applyProtection="1">
      <alignment horizontal="center" vertical="center" wrapText="1"/>
      <protection hidden="1"/>
    </xf>
    <xf numFmtId="0" fontId="10" fillId="10" borderId="0" xfId="0" applyFont="1" applyFill="1" applyBorder="1" applyAlignment="1" applyProtection="1">
      <alignment horizontal="center" vertical="center"/>
      <protection hidden="1"/>
    </xf>
    <xf numFmtId="166" fontId="4" fillId="35" borderId="38" xfId="0" applyNumberFormat="1" applyFont="1" applyFill="1" applyBorder="1" applyAlignment="1" applyProtection="1">
      <alignment horizontal="center" vertical="center"/>
      <protection locked="0"/>
    </xf>
    <xf numFmtId="0" fontId="4" fillId="35" borderId="6" xfId="0" applyFont="1" applyFill="1" applyBorder="1" applyAlignment="1" applyProtection="1">
      <alignment horizontal="center" vertical="center"/>
      <protection locked="0"/>
    </xf>
    <xf numFmtId="0" fontId="4" fillId="35" borderId="12" xfId="0" applyFont="1" applyFill="1" applyBorder="1" applyAlignment="1" applyProtection="1">
      <alignment horizontal="center" vertical="center"/>
      <protection locked="0"/>
    </xf>
    <xf numFmtId="0" fontId="26" fillId="11" borderId="0" xfId="0" applyFont="1" applyFill="1" applyBorder="1" applyAlignment="1" applyProtection="1">
      <alignment horizontal="left" vertical="center"/>
      <protection hidden="1"/>
    </xf>
    <xf numFmtId="3" fontId="28" fillId="29" borderId="83" xfId="0" applyNumberFormat="1" applyFont="1" applyFill="1" applyBorder="1" applyAlignment="1" applyProtection="1">
      <alignment vertical="center" wrapText="1"/>
      <protection hidden="1"/>
    </xf>
    <xf numFmtId="3" fontId="28" fillId="29" borderId="0" xfId="0" applyNumberFormat="1" applyFont="1" applyFill="1" applyBorder="1" applyAlignment="1" applyProtection="1">
      <alignment vertical="center" wrapText="1"/>
      <protection hidden="1"/>
    </xf>
    <xf numFmtId="3" fontId="28" fillId="29" borderId="80" xfId="0" applyNumberFormat="1" applyFont="1" applyFill="1" applyBorder="1" applyAlignment="1" applyProtection="1">
      <alignment vertical="center" wrapText="1"/>
      <protection hidden="1"/>
    </xf>
    <xf numFmtId="0" fontId="78" fillId="6" borderId="0" xfId="0" applyFont="1" applyFill="1" applyBorder="1" applyAlignment="1" applyProtection="1">
      <alignment horizontal="left" vertical="center" wrapText="1"/>
      <protection hidden="1"/>
    </xf>
    <xf numFmtId="0" fontId="78" fillId="6" borderId="33" xfId="0" applyFont="1" applyFill="1" applyBorder="1" applyAlignment="1" applyProtection="1">
      <alignment horizontal="left" vertical="center" wrapText="1"/>
      <protection hidden="1"/>
    </xf>
    <xf numFmtId="0" fontId="79" fillId="6" borderId="0" xfId="0" applyFont="1" applyFill="1" applyBorder="1" applyAlignment="1" applyProtection="1">
      <alignment horizontal="left" vertical="center" wrapText="1"/>
      <protection hidden="1"/>
    </xf>
    <xf numFmtId="0" fontId="26" fillId="10" borderId="0" xfId="0" applyFont="1" applyFill="1" applyBorder="1" applyAlignment="1" applyProtection="1">
      <alignment horizontal="center" vertical="center" wrapText="1"/>
      <protection hidden="1"/>
    </xf>
    <xf numFmtId="0" fontId="35" fillId="31" borderId="0" xfId="0" applyFont="1" applyFill="1" applyBorder="1" applyAlignment="1" applyProtection="1">
      <alignment horizontal="center" vertical="center" wrapText="1"/>
      <protection hidden="1"/>
    </xf>
    <xf numFmtId="0" fontId="26" fillId="10" borderId="0" xfId="0" applyFont="1" applyFill="1" applyBorder="1" applyAlignment="1" applyProtection="1">
      <alignment horizontal="left" vertical="center" wrapText="1"/>
      <protection hidden="1"/>
    </xf>
    <xf numFmtId="0" fontId="26" fillId="10" borderId="0" xfId="0" applyFont="1" applyFill="1" applyBorder="1" applyAlignment="1" applyProtection="1">
      <alignment horizontal="center" vertical="center"/>
      <protection hidden="1"/>
    </xf>
    <xf numFmtId="3" fontId="26" fillId="29" borderId="0" xfId="0" applyNumberFormat="1" applyFont="1" applyFill="1" applyBorder="1" applyAlignment="1" applyProtection="1">
      <alignment horizontal="center" vertical="center" wrapText="1"/>
      <protection hidden="1"/>
    </xf>
    <xf numFmtId="3" fontId="28" fillId="16" borderId="38" xfId="0" applyNumberFormat="1" applyFont="1" applyFill="1" applyBorder="1" applyAlignment="1" applyProtection="1">
      <alignment horizontal="center" vertical="center"/>
      <protection locked="0"/>
    </xf>
    <xf numFmtId="3" fontId="28" fillId="16" borderId="6" xfId="0" applyNumberFormat="1" applyFont="1" applyFill="1" applyBorder="1" applyAlignment="1" applyProtection="1">
      <alignment horizontal="center" vertical="center"/>
      <protection locked="0"/>
    </xf>
    <xf numFmtId="3" fontId="28" fillId="16" borderId="12" xfId="0" applyNumberFormat="1" applyFont="1" applyFill="1" applyBorder="1" applyAlignment="1" applyProtection="1">
      <alignment horizontal="center" vertical="center"/>
      <protection locked="0"/>
    </xf>
    <xf numFmtId="166" fontId="28" fillId="16" borderId="38" xfId="0" applyNumberFormat="1" applyFont="1" applyFill="1" applyBorder="1" applyAlignment="1" applyProtection="1">
      <alignment horizontal="center" vertical="center"/>
      <protection locked="0"/>
    </xf>
    <xf numFmtId="0" fontId="28" fillId="16" borderId="6" xfId="0" applyFont="1" applyFill="1" applyBorder="1" applyAlignment="1" applyProtection="1">
      <alignment horizontal="center" vertical="center"/>
      <protection locked="0"/>
    </xf>
    <xf numFmtId="0" fontId="28" fillId="16" borderId="12" xfId="0" applyFont="1" applyFill="1" applyBorder="1" applyAlignment="1" applyProtection="1">
      <alignment horizontal="center" vertical="center"/>
      <protection locked="0"/>
    </xf>
    <xf numFmtId="169" fontId="28" fillId="0" borderId="81" xfId="0" applyNumberFormat="1" applyFont="1" applyFill="1" applyBorder="1" applyAlignment="1" applyProtection="1">
      <alignment vertical="center"/>
      <protection hidden="1"/>
    </xf>
    <xf numFmtId="169" fontId="28" fillId="0" borderId="82" xfId="0" applyNumberFormat="1" applyFont="1" applyFill="1" applyBorder="1" applyAlignment="1" applyProtection="1">
      <alignment vertical="center"/>
      <protection hidden="1"/>
    </xf>
    <xf numFmtId="3" fontId="28" fillId="10" borderId="0" xfId="0" applyNumberFormat="1" applyFont="1" applyFill="1" applyBorder="1" applyAlignment="1" applyProtection="1">
      <alignment horizontal="center" vertical="center" wrapText="1"/>
      <protection hidden="1"/>
    </xf>
    <xf numFmtId="3" fontId="28" fillId="10" borderId="0" xfId="0" applyNumberFormat="1" applyFont="1" applyFill="1" applyBorder="1" applyAlignment="1" applyProtection="1">
      <alignment horizontal="center" vertical="center"/>
      <protection hidden="1"/>
    </xf>
    <xf numFmtId="3" fontId="28" fillId="29" borderId="0" xfId="0" applyNumberFormat="1" applyFont="1" applyFill="1" applyBorder="1" applyAlignment="1" applyProtection="1">
      <protection hidden="1"/>
    </xf>
    <xf numFmtId="3" fontId="28" fillId="13" borderId="0" xfId="0" applyNumberFormat="1" applyFont="1" applyFill="1" applyBorder="1" applyAlignment="1" applyProtection="1">
      <protection hidden="1"/>
    </xf>
    <xf numFmtId="3" fontId="26" fillId="10" borderId="0" xfId="0" applyNumberFormat="1" applyFont="1" applyFill="1" applyBorder="1" applyAlignment="1" applyProtection="1">
      <protection hidden="1"/>
    </xf>
    <xf numFmtId="194" fontId="28" fillId="0" borderId="20" xfId="0" applyNumberFormat="1" applyFont="1" applyFill="1" applyBorder="1" applyAlignment="1" applyProtection="1">
      <alignment horizontal="center" vertical="center"/>
      <protection hidden="1"/>
    </xf>
    <xf numFmtId="194" fontId="33" fillId="12" borderId="18" xfId="0" applyNumberFormat="1" applyFont="1" applyFill="1" applyBorder="1" applyAlignment="1" applyProtection="1">
      <alignment horizontal="center" vertical="center"/>
      <protection hidden="1"/>
    </xf>
    <xf numFmtId="0" fontId="26" fillId="10" borderId="0" xfId="0" applyFont="1" applyFill="1" applyBorder="1" applyProtection="1">
      <protection hidden="1"/>
    </xf>
    <xf numFmtId="3" fontId="36" fillId="10" borderId="0" xfId="0" applyNumberFormat="1" applyFont="1" applyFill="1" applyBorder="1" applyAlignment="1" applyProtection="1">
      <protection hidden="1"/>
    </xf>
    <xf numFmtId="185" fontId="26" fillId="16" borderId="38" xfId="0" applyNumberFormat="1" applyFont="1" applyFill="1" applyBorder="1" applyAlignment="1" applyProtection="1">
      <alignment horizontal="center" vertical="center"/>
      <protection locked="0"/>
    </xf>
    <xf numFmtId="185" fontId="26" fillId="16" borderId="6" xfId="0" applyNumberFormat="1" applyFont="1" applyFill="1" applyBorder="1" applyAlignment="1" applyProtection="1">
      <alignment horizontal="center" vertical="center"/>
      <protection locked="0"/>
    </xf>
    <xf numFmtId="185" fontId="26" fillId="16" borderId="12" xfId="0" applyNumberFormat="1" applyFont="1" applyFill="1" applyBorder="1" applyAlignment="1" applyProtection="1">
      <alignment horizontal="center" vertical="center"/>
      <protection locked="0"/>
    </xf>
    <xf numFmtId="3" fontId="28" fillId="29" borderId="84" xfId="0" applyNumberFormat="1" applyFont="1" applyFill="1" applyBorder="1" applyAlignment="1" applyProtection="1">
      <alignment horizontal="left" wrapText="1"/>
      <protection hidden="1"/>
    </xf>
    <xf numFmtId="3" fontId="28" fillId="29" borderId="0" xfId="0" applyNumberFormat="1" applyFont="1" applyFill="1" applyBorder="1" applyAlignment="1" applyProtection="1">
      <alignment horizontal="left" wrapText="1"/>
      <protection hidden="1"/>
    </xf>
    <xf numFmtId="0" fontId="18" fillId="31" borderId="0" xfId="0" applyFont="1" applyFill="1" applyBorder="1" applyAlignment="1" applyProtection="1">
      <alignment horizontal="left" vertical="center" wrapText="1"/>
      <protection hidden="1"/>
    </xf>
    <xf numFmtId="0" fontId="7" fillId="31" borderId="0" xfId="0" applyFont="1" applyFill="1" applyBorder="1" applyAlignment="1" applyProtection="1">
      <alignment horizontal="left" vertical="center" wrapText="1"/>
      <protection hidden="1"/>
    </xf>
    <xf numFmtId="3" fontId="28" fillId="13" borderId="0" xfId="0" applyNumberFormat="1" applyFont="1" applyFill="1" applyBorder="1" applyAlignment="1" applyProtection="1">
      <alignment vertical="center" wrapText="1"/>
      <protection hidden="1"/>
    </xf>
    <xf numFmtId="190" fontId="26" fillId="35" borderId="40" xfId="0" applyNumberFormat="1" applyFont="1" applyFill="1" applyBorder="1" applyAlignment="1" applyProtection="1">
      <protection locked="0"/>
    </xf>
    <xf numFmtId="190" fontId="26" fillId="35" borderId="85" xfId="0" applyNumberFormat="1" applyFont="1" applyFill="1" applyBorder="1" applyAlignment="1" applyProtection="1">
      <protection locked="0"/>
    </xf>
    <xf numFmtId="3" fontId="36" fillId="10" borderId="0" xfId="0" applyNumberFormat="1" applyFont="1" applyFill="1" applyBorder="1" applyAlignment="1" applyProtection="1">
      <alignment vertical="center"/>
      <protection hidden="1"/>
    </xf>
    <xf numFmtId="3" fontId="26" fillId="10" borderId="0" xfId="0" applyNumberFormat="1" applyFont="1" applyFill="1" applyBorder="1" applyAlignment="1" applyProtection="1">
      <alignment vertical="top"/>
      <protection hidden="1"/>
    </xf>
    <xf numFmtId="3" fontId="28" fillId="29" borderId="0" xfId="0" applyNumberFormat="1" applyFont="1" applyFill="1" applyBorder="1" applyProtection="1">
      <protection hidden="1"/>
    </xf>
    <xf numFmtId="3" fontId="28" fillId="13" borderId="0" xfId="0" applyNumberFormat="1" applyFont="1" applyFill="1" applyBorder="1" applyProtection="1">
      <protection hidden="1"/>
    </xf>
    <xf numFmtId="3" fontId="26" fillId="32" borderId="0" xfId="0" applyNumberFormat="1" applyFont="1" applyFill="1" applyBorder="1" applyProtection="1">
      <protection hidden="1"/>
    </xf>
    <xf numFmtId="3" fontId="26" fillId="39" borderId="0" xfId="0" applyNumberFormat="1" applyFont="1" applyFill="1" applyBorder="1" applyProtection="1">
      <protection hidden="1"/>
    </xf>
    <xf numFmtId="3" fontId="28" fillId="10" borderId="0" xfId="0" applyNumberFormat="1" applyFont="1" applyFill="1" applyBorder="1" applyProtection="1">
      <protection hidden="1"/>
    </xf>
    <xf numFmtId="3" fontId="36" fillId="11" borderId="0" xfId="0" applyNumberFormat="1" applyFont="1" applyFill="1" applyBorder="1" applyProtection="1">
      <protection hidden="1"/>
    </xf>
    <xf numFmtId="188" fontId="36" fillId="33" borderId="34" xfId="0" applyNumberFormat="1" applyFont="1" applyFill="1" applyBorder="1" applyProtection="1">
      <protection locked="0"/>
    </xf>
    <xf numFmtId="188" fontId="36" fillId="33" borderId="36" xfId="0" applyNumberFormat="1" applyFont="1" applyFill="1" applyBorder="1" applyProtection="1">
      <protection locked="0"/>
    </xf>
    <xf numFmtId="3" fontId="36" fillId="32" borderId="0" xfId="0" applyNumberFormat="1" applyFont="1" applyFill="1" applyBorder="1" applyProtection="1">
      <protection hidden="1"/>
    </xf>
    <xf numFmtId="3" fontId="36" fillId="39" borderId="0" xfId="0" applyNumberFormat="1" applyFont="1" applyFill="1" applyBorder="1" applyProtection="1">
      <protection hidden="1"/>
    </xf>
    <xf numFmtId="190" fontId="28" fillId="0" borderId="83" xfId="0" applyNumberFormat="1" applyFont="1" applyFill="1" applyBorder="1" applyAlignment="1" applyProtection="1">
      <protection hidden="1"/>
    </xf>
    <xf numFmtId="190" fontId="28" fillId="0" borderId="80" xfId="0" applyNumberFormat="1" applyFont="1" applyFill="1" applyBorder="1" applyAlignment="1" applyProtection="1">
      <protection hidden="1"/>
    </xf>
    <xf numFmtId="190" fontId="26" fillId="0" borderId="14" xfId="0" applyNumberFormat="1" applyFont="1" applyFill="1" applyBorder="1" applyAlignment="1" applyProtection="1">
      <protection hidden="1"/>
    </xf>
    <xf numFmtId="190" fontId="26" fillId="0" borderId="19" xfId="0" applyNumberFormat="1" applyFont="1" applyFill="1" applyBorder="1" applyAlignment="1" applyProtection="1">
      <protection hidden="1"/>
    </xf>
    <xf numFmtId="169" fontId="36" fillId="34" borderId="40" xfId="0" applyNumberFormat="1" applyFont="1" applyFill="1" applyBorder="1" applyProtection="1">
      <protection locked="0"/>
    </xf>
    <xf numFmtId="169" fontId="36" fillId="34" borderId="85" xfId="0" applyNumberFormat="1" applyFont="1" applyFill="1" applyBorder="1" applyProtection="1">
      <protection locked="0"/>
    </xf>
    <xf numFmtId="169" fontId="36" fillId="32" borderId="25" xfId="0" applyNumberFormat="1" applyFont="1" applyFill="1" applyBorder="1" applyProtection="1">
      <protection hidden="1"/>
    </xf>
    <xf numFmtId="169" fontId="36" fillId="32" borderId="28" xfId="0" applyNumberFormat="1" applyFont="1" applyFill="1" applyBorder="1" applyProtection="1">
      <protection hidden="1"/>
    </xf>
    <xf numFmtId="169" fontId="28" fillId="0" borderId="14" xfId="0" applyNumberFormat="1" applyFont="1" applyFill="1" applyBorder="1" applyProtection="1">
      <protection hidden="1"/>
    </xf>
    <xf numFmtId="169" fontId="28" fillId="0" borderId="19" xfId="0" applyNumberFormat="1" applyFont="1" applyFill="1" applyBorder="1" applyProtection="1">
      <protection hidden="1"/>
    </xf>
    <xf numFmtId="195" fontId="28" fillId="0" borderId="0" xfId="0" applyNumberFormat="1" applyFont="1" applyFill="1" applyBorder="1" applyProtection="1">
      <protection hidden="1"/>
    </xf>
    <xf numFmtId="195" fontId="33" fillId="12" borderId="0" xfId="0" applyNumberFormat="1" applyFont="1" applyFill="1" applyBorder="1" applyProtection="1">
      <protection hidden="1"/>
    </xf>
    <xf numFmtId="169" fontId="28" fillId="0" borderId="25" xfId="0" applyNumberFormat="1" applyFont="1" applyFill="1" applyBorder="1" applyProtection="1">
      <protection hidden="1"/>
    </xf>
    <xf numFmtId="169" fontId="28" fillId="0" borderId="28" xfId="0" applyNumberFormat="1" applyFont="1" applyFill="1" applyBorder="1" applyProtection="1">
      <protection hidden="1"/>
    </xf>
    <xf numFmtId="169" fontId="28" fillId="35" borderId="29" xfId="0" applyNumberFormat="1" applyFont="1" applyFill="1" applyBorder="1" applyAlignment="1" applyProtection="1">
      <alignment horizontal="right" vertical="center"/>
      <protection locked="0"/>
    </xf>
    <xf numFmtId="169" fontId="28" fillId="35" borderId="31" xfId="0" applyNumberFormat="1" applyFont="1" applyFill="1" applyBorder="1" applyAlignment="1" applyProtection="1">
      <alignment horizontal="right" vertical="center"/>
      <protection locked="0"/>
    </xf>
    <xf numFmtId="169" fontId="28" fillId="35" borderId="34" xfId="0" applyNumberFormat="1" applyFont="1" applyFill="1" applyBorder="1" applyAlignment="1" applyProtection="1">
      <alignment horizontal="right" vertical="center"/>
      <protection locked="0"/>
    </xf>
    <xf numFmtId="169" fontId="28" fillId="35" borderId="36" xfId="0" applyNumberFormat="1" applyFont="1" applyFill="1" applyBorder="1" applyAlignment="1" applyProtection="1">
      <alignment horizontal="right" vertical="center"/>
      <protection locked="0"/>
    </xf>
    <xf numFmtId="3" fontId="26" fillId="32" borderId="0" xfId="0" applyNumberFormat="1" applyFont="1" applyFill="1" applyBorder="1" applyAlignment="1" applyProtection="1">
      <alignment horizontal="center"/>
      <protection hidden="1"/>
    </xf>
    <xf numFmtId="3" fontId="26" fillId="29" borderId="0" xfId="0" applyNumberFormat="1" applyFont="1" applyFill="1" applyBorder="1" applyAlignment="1" applyProtection="1">
      <protection hidden="1"/>
    </xf>
    <xf numFmtId="3" fontId="26" fillId="13" borderId="0" xfId="0" applyNumberFormat="1" applyFont="1" applyFill="1" applyBorder="1" applyAlignment="1" applyProtection="1">
      <protection hidden="1"/>
    </xf>
    <xf numFmtId="3" fontId="28" fillId="10" borderId="0" xfId="0" applyNumberFormat="1" applyFont="1" applyFill="1" applyBorder="1" applyAlignment="1" applyProtection="1">
      <alignment horizontal="center" wrapText="1"/>
      <protection hidden="1"/>
    </xf>
    <xf numFmtId="246" fontId="50" fillId="0" borderId="14" xfId="0" applyNumberFormat="1" applyFont="1" applyFill="1" applyBorder="1" applyProtection="1">
      <protection hidden="1"/>
    </xf>
    <xf numFmtId="246" fontId="50" fillId="0" borderId="19" xfId="0" applyNumberFormat="1" applyFont="1" applyFill="1" applyBorder="1" applyProtection="1">
      <protection hidden="1"/>
    </xf>
    <xf numFmtId="218" fontId="26" fillId="6" borderId="14" xfId="0" applyNumberFormat="1" applyFont="1" applyFill="1" applyBorder="1" applyAlignment="1" applyProtection="1">
      <alignment horizontal="center"/>
      <protection hidden="1"/>
    </xf>
    <xf numFmtId="218" fontId="26" fillId="6" borderId="16" xfId="0" applyNumberFormat="1" applyFont="1" applyFill="1" applyBorder="1" applyAlignment="1" applyProtection="1">
      <alignment horizontal="center"/>
      <protection hidden="1"/>
    </xf>
    <xf numFmtId="218" fontId="26" fillId="6" borderId="19" xfId="0" applyNumberFormat="1" applyFont="1" applyFill="1" applyBorder="1" applyAlignment="1" applyProtection="1">
      <alignment horizontal="center"/>
      <protection hidden="1"/>
    </xf>
    <xf numFmtId="202" fontId="28" fillId="0" borderId="0" xfId="0" applyNumberFormat="1" applyFont="1" applyFill="1" applyBorder="1" applyAlignment="1" applyProtection="1">
      <alignment horizontal="center" vertical="center"/>
      <protection hidden="1"/>
    </xf>
    <xf numFmtId="0" fontId="26" fillId="10" borderId="0" xfId="0" applyFont="1" applyFill="1" applyBorder="1" applyAlignment="1" applyProtection="1">
      <alignment vertical="center"/>
      <protection hidden="1"/>
    </xf>
    <xf numFmtId="0" fontId="28" fillId="6" borderId="0" xfId="0" applyFont="1" applyFill="1" applyBorder="1" applyAlignment="1" applyProtection="1">
      <alignment horizontal="center" vertical="center"/>
      <protection hidden="1"/>
    </xf>
    <xf numFmtId="217" fontId="28" fillId="6" borderId="0" xfId="0" applyNumberFormat="1" applyFont="1" applyFill="1" applyBorder="1" applyAlignment="1" applyProtection="1">
      <alignment horizontal="center" vertical="center"/>
      <protection hidden="1"/>
    </xf>
    <xf numFmtId="215" fontId="28" fillId="0" borderId="0" xfId="0" applyNumberFormat="1" applyFont="1" applyFill="1" applyBorder="1" applyAlignment="1" applyProtection="1">
      <alignment horizontal="left" vertical="center"/>
      <protection hidden="1"/>
    </xf>
    <xf numFmtId="247" fontId="28" fillId="0" borderId="0" xfId="0" applyNumberFormat="1" applyFont="1" applyFill="1" applyBorder="1" applyAlignment="1" applyProtection="1">
      <alignment horizontal="left" vertical="center"/>
      <protection hidden="1"/>
    </xf>
    <xf numFmtId="215" fontId="28" fillId="0" borderId="0" xfId="0" applyNumberFormat="1" applyFont="1" applyFill="1" applyBorder="1" applyAlignment="1" applyProtection="1">
      <alignment horizontal="center" vertical="center"/>
      <protection hidden="1"/>
    </xf>
    <xf numFmtId="0" fontId="34" fillId="31" borderId="0"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214" fontId="28" fillId="0" borderId="0" xfId="0" applyNumberFormat="1" applyFont="1" applyFill="1" applyBorder="1" applyAlignment="1" applyProtection="1">
      <alignment horizontal="left" vertical="center"/>
      <protection hidden="1"/>
    </xf>
    <xf numFmtId="0" fontId="53" fillId="10" borderId="86" xfId="0" applyFont="1" applyFill="1" applyBorder="1" applyAlignment="1" applyProtection="1">
      <alignment vertical="center"/>
      <protection hidden="1"/>
    </xf>
    <xf numFmtId="0" fontId="53" fillId="10" borderId="24" xfId="0" applyFont="1" applyFill="1" applyBorder="1" applyAlignment="1" applyProtection="1">
      <alignment vertical="center"/>
      <protection hidden="1"/>
    </xf>
    <xf numFmtId="0" fontId="26" fillId="10" borderId="0" xfId="0" applyFont="1" applyFill="1" applyBorder="1" applyAlignment="1" applyProtection="1">
      <alignment horizontal="center"/>
      <protection hidden="1"/>
    </xf>
    <xf numFmtId="206" fontId="43" fillId="29" borderId="0" xfId="0" applyNumberFormat="1" applyFont="1" applyFill="1" applyBorder="1" applyAlignment="1" applyProtection="1">
      <alignment horizontal="center" vertical="center"/>
      <protection hidden="1"/>
    </xf>
    <xf numFmtId="206" fontId="43" fillId="29" borderId="80" xfId="0" applyNumberFormat="1" applyFont="1" applyFill="1" applyBorder="1" applyAlignment="1" applyProtection="1">
      <alignment horizontal="center" vertical="center"/>
      <protection hidden="1"/>
    </xf>
    <xf numFmtId="199" fontId="36" fillId="0" borderId="14" xfId="0" applyNumberFormat="1" applyFont="1" applyFill="1" applyBorder="1" applyAlignment="1" applyProtection="1">
      <alignment horizontal="center" vertical="center"/>
      <protection hidden="1"/>
    </xf>
    <xf numFmtId="199" fontId="36" fillId="0" borderId="16" xfId="0" applyNumberFormat="1" applyFont="1" applyFill="1" applyBorder="1" applyAlignment="1" applyProtection="1">
      <alignment horizontal="center" vertical="center"/>
      <protection hidden="1"/>
    </xf>
    <xf numFmtId="0" fontId="26" fillId="10" borderId="8" xfId="0" applyFont="1" applyFill="1" applyBorder="1" applyAlignment="1" applyProtection="1">
      <alignment horizontal="center" vertical="center"/>
      <protection hidden="1"/>
    </xf>
    <xf numFmtId="0" fontId="26" fillId="37" borderId="17" xfId="0" applyFont="1" applyFill="1" applyBorder="1" applyAlignment="1" applyProtection="1">
      <alignment horizontal="center" vertical="center" wrapText="1"/>
      <protection hidden="1"/>
    </xf>
    <xf numFmtId="0" fontId="26" fillId="37" borderId="20" xfId="0" applyFont="1" applyFill="1" applyBorder="1" applyAlignment="1" applyProtection="1">
      <alignment horizontal="center" vertical="center" wrapText="1"/>
      <protection hidden="1"/>
    </xf>
    <xf numFmtId="0" fontId="26" fillId="37" borderId="18" xfId="0" applyFont="1" applyFill="1" applyBorder="1" applyAlignment="1" applyProtection="1">
      <alignment horizontal="center" vertical="center" wrapText="1"/>
      <protection hidden="1"/>
    </xf>
    <xf numFmtId="233" fontId="26" fillId="35" borderId="40" xfId="75" applyNumberFormat="1" applyFont="1" applyFill="1" applyBorder="1" applyAlignment="1" applyProtection="1">
      <alignment vertical="center"/>
      <protection locked="0"/>
    </xf>
    <xf numFmtId="233" fontId="26" fillId="35" borderId="85" xfId="75" applyNumberFormat="1" applyFont="1" applyFill="1" applyBorder="1" applyAlignment="1" applyProtection="1">
      <alignment vertical="center"/>
      <protection locked="0"/>
    </xf>
    <xf numFmtId="235" fontId="26" fillId="11" borderId="0" xfId="75" applyNumberFormat="1" applyFont="1" applyFill="1" applyBorder="1" applyAlignment="1" applyProtection="1">
      <alignment vertical="center" wrapText="1"/>
      <protection hidden="1"/>
    </xf>
    <xf numFmtId="235" fontId="26" fillId="11" borderId="33" xfId="75" applyNumberFormat="1" applyFont="1" applyFill="1" applyBorder="1" applyAlignment="1" applyProtection="1">
      <alignment vertical="center" wrapText="1"/>
      <protection hidden="1"/>
    </xf>
    <xf numFmtId="0" fontId="65" fillId="10" borderId="0" xfId="75" applyFont="1" applyFill="1" applyBorder="1" applyAlignment="1" applyProtection="1">
      <alignment horizontal="center" vertical="center"/>
      <protection hidden="1"/>
    </xf>
    <xf numFmtId="0" fontId="65" fillId="10" borderId="8" xfId="75" applyFont="1" applyFill="1" applyBorder="1" applyAlignment="1" applyProtection="1">
      <alignment horizontal="center" vertical="center"/>
      <protection hidden="1"/>
    </xf>
    <xf numFmtId="0" fontId="65" fillId="10" borderId="0" xfId="75" applyFont="1" applyFill="1" applyBorder="1" applyAlignment="1" applyProtection="1">
      <alignment horizontal="center" vertical="center" wrapText="1"/>
      <protection hidden="1"/>
    </xf>
    <xf numFmtId="0" fontId="32" fillId="30" borderId="0" xfId="76" applyFont="1" applyFill="1" applyAlignment="1" applyProtection="1">
      <alignment horizontal="center" vertical="center" wrapText="1"/>
      <protection hidden="1"/>
    </xf>
    <xf numFmtId="0" fontId="26" fillId="10" borderId="0" xfId="75" applyFont="1" applyFill="1" applyBorder="1" applyAlignment="1" applyProtection="1">
      <alignment horizontal="center" vertical="center"/>
      <protection hidden="1"/>
    </xf>
    <xf numFmtId="0" fontId="65" fillId="10" borderId="8" xfId="75" applyFont="1" applyFill="1" applyBorder="1" applyAlignment="1" applyProtection="1">
      <alignment horizontal="center" vertical="center" wrapText="1"/>
      <protection hidden="1"/>
    </xf>
    <xf numFmtId="237" fontId="4" fillId="0" borderId="25" xfId="75" applyNumberFormat="1" applyFont="1" applyFill="1" applyBorder="1" applyAlignment="1" applyProtection="1">
      <alignment vertical="center"/>
      <protection hidden="1"/>
    </xf>
    <xf numFmtId="237" fontId="4" fillId="0" borderId="28" xfId="75" applyNumberFormat="1" applyFont="1" applyFill="1" applyBorder="1" applyAlignment="1" applyProtection="1">
      <alignment vertical="center"/>
      <protection hidden="1"/>
    </xf>
    <xf numFmtId="226" fontId="4" fillId="16" borderId="40" xfId="75" applyNumberFormat="1" applyFont="1" applyFill="1" applyBorder="1" applyAlignment="1" applyProtection="1">
      <alignment vertical="center"/>
      <protection locked="0"/>
    </xf>
    <xf numFmtId="226" fontId="4" fillId="16" borderId="85" xfId="75" applyNumberFormat="1" applyFont="1" applyFill="1" applyBorder="1" applyAlignment="1" applyProtection="1">
      <alignment vertical="center"/>
      <protection locked="0"/>
    </xf>
    <xf numFmtId="233" fontId="4" fillId="16" borderId="40" xfId="75" applyNumberFormat="1" applyFont="1" applyFill="1" applyBorder="1" applyAlignment="1" applyProtection="1">
      <alignment vertical="center"/>
      <protection locked="0"/>
    </xf>
    <xf numFmtId="233" fontId="4" fillId="16" borderId="85" xfId="75" applyNumberFormat="1" applyFont="1" applyFill="1" applyBorder="1" applyAlignment="1" applyProtection="1">
      <alignment vertical="center"/>
      <protection locked="0"/>
    </xf>
    <xf numFmtId="0" fontId="26" fillId="10" borderId="0" xfId="0" applyFont="1" applyFill="1" applyBorder="1" applyAlignment="1" applyProtection="1">
      <alignment horizontal="right"/>
      <protection hidden="1"/>
    </xf>
    <xf numFmtId="3" fontId="26" fillId="10" borderId="0" xfId="0" applyNumberFormat="1" applyFont="1" applyFill="1" applyBorder="1" applyAlignment="1" applyProtection="1">
      <alignment horizontal="center" wrapText="1"/>
      <protection hidden="1"/>
    </xf>
    <xf numFmtId="0" fontId="26" fillId="10" borderId="0" xfId="0" applyNumberFormat="1" applyFont="1" applyFill="1" applyBorder="1" applyAlignment="1" applyProtection="1">
      <alignment horizontal="left" vertical="center"/>
      <protection hidden="1"/>
    </xf>
    <xf numFmtId="0" fontId="59" fillId="0" borderId="0" xfId="76" applyFont="1" applyAlignment="1" applyProtection="1">
      <alignment horizontal="center" vertical="center" textRotation="90" wrapText="1"/>
      <protection hidden="1"/>
    </xf>
    <xf numFmtId="0" fontId="59" fillId="0" borderId="0" xfId="76" applyFont="1" applyAlignment="1" applyProtection="1">
      <alignment horizontal="center" vertical="center" textRotation="90"/>
      <protection hidden="1"/>
    </xf>
    <xf numFmtId="0" fontId="57" fillId="0" borderId="87" xfId="76" applyFont="1" applyFill="1" applyBorder="1" applyAlignment="1" applyProtection="1">
      <alignment horizontal="justify" vertical="center" wrapText="1"/>
      <protection hidden="1"/>
    </xf>
    <xf numFmtId="0" fontId="57" fillId="0" borderId="70" xfId="76" applyFont="1" applyFill="1" applyBorder="1" applyAlignment="1" applyProtection="1">
      <alignment horizontal="justify" vertical="center"/>
      <protection hidden="1"/>
    </xf>
    <xf numFmtId="0" fontId="57" fillId="0" borderId="88" xfId="76" applyFont="1" applyFill="1" applyBorder="1" applyAlignment="1" applyProtection="1">
      <alignment horizontal="justify" vertical="center"/>
      <protection hidden="1"/>
    </xf>
    <xf numFmtId="0" fontId="57" fillId="0" borderId="72" xfId="76" applyFont="1" applyFill="1" applyBorder="1" applyAlignment="1" applyProtection="1">
      <alignment horizontal="justify" vertical="center"/>
      <protection hidden="1"/>
    </xf>
    <xf numFmtId="0" fontId="57" fillId="0" borderId="0" xfId="76" applyFont="1" applyFill="1" applyBorder="1" applyAlignment="1" applyProtection="1">
      <alignment horizontal="justify" vertical="center"/>
      <protection hidden="1"/>
    </xf>
    <xf numFmtId="0" fontId="57" fillId="0" borderId="37" xfId="76" applyFont="1" applyFill="1" applyBorder="1" applyAlignment="1" applyProtection="1">
      <alignment horizontal="justify" vertical="center"/>
      <protection hidden="1"/>
    </xf>
    <xf numFmtId="0" fontId="57" fillId="0" borderId="89" xfId="76" applyFont="1" applyFill="1" applyBorder="1" applyAlignment="1" applyProtection="1">
      <alignment horizontal="justify" vertical="center"/>
      <protection hidden="1"/>
    </xf>
    <xf numFmtId="0" fontId="4" fillId="16" borderId="0" xfId="0" applyFont="1" applyFill="1" applyBorder="1" applyAlignment="1" applyProtection="1">
      <alignment horizontal="center" vertical="center"/>
      <protection locked="0"/>
    </xf>
    <xf numFmtId="0" fontId="26" fillId="11" borderId="32" xfId="0" applyFont="1" applyFill="1" applyBorder="1" applyAlignment="1" applyProtection="1">
      <alignment horizontal="right" vertical="center"/>
      <protection hidden="1"/>
    </xf>
    <xf numFmtId="0" fontId="26" fillId="11" borderId="0" xfId="0" applyFont="1" applyFill="1" applyBorder="1" applyAlignment="1" applyProtection="1">
      <alignment horizontal="center" vertical="center"/>
      <protection hidden="1"/>
    </xf>
  </cellXfs>
  <cellStyles count="86">
    <cellStyle name="Absatz1" xfId="1" xr:uid="{00000000-0005-0000-0000-000000000000}"/>
    <cellStyle name="Absatz2" xfId="2" xr:uid="{00000000-0005-0000-0000-000001000000}"/>
    <cellStyle name="Absatz3" xfId="3" xr:uid="{00000000-0005-0000-0000-000002000000}"/>
    <cellStyle name="Abzug-Währung mit 2 Komma" xfId="4" xr:uid="{00000000-0005-0000-0000-000003000000}"/>
    <cellStyle name="Angaben" xfId="5" xr:uid="{00000000-0005-0000-0000-000004000000}"/>
    <cellStyle name="Angaben10" xfId="6" xr:uid="{00000000-0005-0000-0000-000005000000}"/>
    <cellStyle name="AngabenABC" xfId="7" xr:uid="{00000000-0005-0000-0000-000006000000}"/>
    <cellStyle name="AngabenFett" xfId="8" xr:uid="{00000000-0005-0000-0000-000007000000}"/>
    <cellStyle name="Aufzählung" xfId="9" xr:uid="{00000000-0005-0000-0000-000008000000}"/>
    <cellStyle name="Aufzählung10" xfId="10" xr:uid="{00000000-0005-0000-0000-000009000000}"/>
    <cellStyle name="AufzählungOP" xfId="11" xr:uid="{00000000-0005-0000-0000-00000A000000}"/>
    <cellStyle name="Berechnung-Währung mit 2 Komma" xfId="12" xr:uid="{00000000-0005-0000-0000-00000B000000}"/>
    <cellStyle name="Berechnung-Währung mit 2 Komma-Fett" xfId="13" xr:uid="{00000000-0005-0000-0000-00000C000000}"/>
    <cellStyle name="d1" xfId="14" xr:uid="{00000000-0005-0000-0000-00000D000000}"/>
    <cellStyle name="d2l" xfId="15" xr:uid="{00000000-0005-0000-0000-00000E000000}"/>
    <cellStyle name="d2r" xfId="16" xr:uid="{00000000-0005-0000-0000-00000F000000}"/>
    <cellStyle name="d3l" xfId="17" xr:uid="{00000000-0005-0000-0000-000010000000}"/>
    <cellStyle name="d3r" xfId="18" xr:uid="{00000000-0005-0000-0000-000011000000}"/>
    <cellStyle name="D-Angaben" xfId="19" xr:uid="{00000000-0005-0000-0000-000012000000}"/>
    <cellStyle name="Dateneingabe-Überschrift3" xfId="20" xr:uid="{00000000-0005-0000-0000-000013000000}"/>
    <cellStyle name="D-Copyright" xfId="21" xr:uid="{00000000-0005-0000-0000-000014000000}"/>
    <cellStyle name="D-Eingabefelder" xfId="22" xr:uid="{00000000-0005-0000-0000-000015000000}"/>
    <cellStyle name="D-Euro8F" xfId="23" xr:uid="{00000000-0005-0000-0000-000016000000}"/>
    <cellStyle name="D-Grau" xfId="24" xr:uid="{00000000-0005-0000-0000-000017000000}"/>
    <cellStyle name="D-Grau-Unterstirch-hell" xfId="25" xr:uid="{00000000-0005-0000-0000-000018000000}"/>
    <cellStyle name="D-Hilfetext" xfId="26" xr:uid="{00000000-0005-0000-0000-000019000000}"/>
    <cellStyle name="Diabeschreibung" xfId="27" xr:uid="{00000000-0005-0000-0000-00001A000000}"/>
    <cellStyle name="DiabeZeile1" xfId="28" xr:uid="{00000000-0005-0000-0000-00001B000000}"/>
    <cellStyle name="Dialog_Elemente" xfId="29" xr:uid="{00000000-0005-0000-0000-00001C000000}"/>
    <cellStyle name="D-Jahr8F" xfId="30" xr:uid="{00000000-0005-0000-0000-00001D000000}"/>
    <cellStyle name="D-Jahre8F" xfId="31" xr:uid="{00000000-0005-0000-0000-00001E000000}"/>
    <cellStyle name="D-Prozent8Blau" xfId="32" xr:uid="{00000000-0005-0000-0000-00001F000000}"/>
    <cellStyle name="D-Prozent8F" xfId="33" xr:uid="{00000000-0005-0000-0000-000020000000}"/>
    <cellStyle name="D-Stunden8F" xfId="34" xr:uid="{00000000-0005-0000-0000-000021000000}"/>
    <cellStyle name="D-Text" xfId="35" xr:uid="{00000000-0005-0000-0000-000022000000}"/>
    <cellStyle name="D-Text12" xfId="36" xr:uid="{00000000-0005-0000-0000-000023000000}"/>
    <cellStyle name="D-Text12F" xfId="37" xr:uid="{00000000-0005-0000-0000-000024000000}"/>
    <cellStyle name="D-Text8" xfId="38" xr:uid="{00000000-0005-0000-0000-000025000000}"/>
    <cellStyle name="D-Text8ArialBlack" xfId="39" xr:uid="{00000000-0005-0000-0000-000026000000}"/>
    <cellStyle name="D-Text8F" xfId="40" xr:uid="{00000000-0005-0000-0000-000027000000}"/>
    <cellStyle name="D-Text8Schwarz" xfId="41" xr:uid="{00000000-0005-0000-0000-000028000000}"/>
    <cellStyle name="D-Text8SchwarzF" xfId="42" xr:uid="{00000000-0005-0000-0000-000029000000}"/>
    <cellStyle name="D-Überschrift" xfId="43" xr:uid="{00000000-0005-0000-0000-00002A000000}"/>
    <cellStyle name="D-Weiß12" xfId="44" xr:uid="{00000000-0005-0000-0000-00002B000000}"/>
    <cellStyle name="e1" xfId="45" xr:uid="{00000000-0005-0000-0000-00002C000000}"/>
    <cellStyle name="Euro" xfId="46" xr:uid="{00000000-0005-0000-0000-00002D000000}"/>
    <cellStyle name="Formel-Fett" xfId="47" xr:uid="{00000000-0005-0000-0000-00002E000000}"/>
    <cellStyle name="Formel-Rabatt-Prozent ohne Komma" xfId="48" xr:uid="{00000000-0005-0000-0000-00002F000000}"/>
    <cellStyle name="Formel-Skonto-Prozent ohne Komma" xfId="49" xr:uid="{00000000-0005-0000-0000-000030000000}"/>
    <cellStyle name="Formel-Standard" xfId="50" xr:uid="{00000000-0005-0000-0000-000031000000}"/>
    <cellStyle name="grau" xfId="51" xr:uid="{00000000-0005-0000-0000-000032000000}"/>
    <cellStyle name="grün" xfId="52" xr:uid="{00000000-0005-0000-0000-000033000000}"/>
    <cellStyle name="Komma" xfId="53" builtinId="3"/>
    <cellStyle name="Kopf" xfId="54" xr:uid="{00000000-0005-0000-0000-000035000000}"/>
    <cellStyle name="Kopfzeile" xfId="55" xr:uid="{00000000-0005-0000-0000-000036000000}"/>
    <cellStyle name="Leerzelle" xfId="56" xr:uid="{00000000-0005-0000-0000-000037000000}"/>
    <cellStyle name="Makro_Aufruf" xfId="57" xr:uid="{00000000-0005-0000-0000-000038000000}"/>
    <cellStyle name="Makrobefehle" xfId="58" xr:uid="{00000000-0005-0000-0000-000039000000}"/>
    <cellStyle name="Makrobeginn" xfId="59" xr:uid="{00000000-0005-0000-0000-00003A000000}"/>
    <cellStyle name="Makrobezeichnung" xfId="60" xr:uid="{00000000-0005-0000-0000-00003B000000}"/>
    <cellStyle name="Makrocode" xfId="61" xr:uid="{00000000-0005-0000-0000-00003C000000}"/>
    <cellStyle name="Makroende" xfId="62" xr:uid="{00000000-0005-0000-0000-00003D000000}"/>
    <cellStyle name="Menübeschreibung" xfId="63" xr:uid="{00000000-0005-0000-0000-00003E000000}"/>
    <cellStyle name="Namen_Bereich" xfId="64" xr:uid="{00000000-0005-0000-0000-00003F000000}"/>
    <cellStyle name="Namensliste" xfId="65" xr:uid="{00000000-0005-0000-0000-000040000000}"/>
    <cellStyle name="Prozent" xfId="66" builtinId="5"/>
    <cellStyle name="Rot" xfId="67" xr:uid="{00000000-0005-0000-0000-000042000000}"/>
    <cellStyle name="Schleife" xfId="68" xr:uid="{00000000-0005-0000-0000-000043000000}"/>
    <cellStyle name="Schleifenbeginn" xfId="69" xr:uid="{00000000-0005-0000-0000-000044000000}"/>
    <cellStyle name="Schleifenende" xfId="70" xr:uid="{00000000-0005-0000-0000-000045000000}"/>
    <cellStyle name="Standard" xfId="0" builtinId="0"/>
    <cellStyle name="Standard 2" xfId="71" xr:uid="{00000000-0005-0000-0000-000047000000}"/>
    <cellStyle name="Standard 2_abprfg 2010 --- schüler" xfId="72" xr:uid="{00000000-0005-0000-0000-000048000000}"/>
    <cellStyle name="Standard 3" xfId="73" xr:uid="{00000000-0005-0000-0000-000049000000}"/>
    <cellStyle name="Standard_annuitätentabelle" xfId="74" xr:uid="{00000000-0005-0000-0000-00004A000000}"/>
    <cellStyle name="Standard_bsp - jogurt" xfId="75" xr:uid="{00000000-0005-0000-0000-00004B000000}"/>
    <cellStyle name="Standard_mkk für plare neu" xfId="76" xr:uid="{00000000-0005-0000-0000-00004C000000}"/>
    <cellStyle name="Standard_Modell VK-Wirtschaftsduengung" xfId="77" xr:uid="{00000000-0005-0000-0000-00004D000000}"/>
    <cellStyle name="Standard_vollkostenrechnung jogurt für plare neu" xfId="78" xr:uid="{00000000-0005-0000-0000-00004E000000}"/>
    <cellStyle name="Suchkriterien" xfId="79" xr:uid="{00000000-0005-0000-0000-00004F000000}"/>
    <cellStyle name="Überschrift" xfId="80" builtinId="15" customBuiltin="1"/>
    <cellStyle name="Überschrift1" xfId="81" xr:uid="{00000000-0005-0000-0000-000051000000}"/>
    <cellStyle name="Überschrift2" xfId="82" xr:uid="{00000000-0005-0000-0000-000052000000}"/>
    <cellStyle name="Überschrift3" xfId="83" xr:uid="{00000000-0005-0000-0000-000053000000}"/>
    <cellStyle name="Wenn_Bedingung" xfId="84" xr:uid="{00000000-0005-0000-0000-000054000000}"/>
    <cellStyle name="zahlen" xfId="85" xr:uid="{00000000-0005-0000-0000-000055000000}"/>
  </cellStyles>
  <dxfs count="192">
    <dxf>
      <font>
        <b/>
        <i val="0"/>
        <condense val="0"/>
        <extend val="0"/>
        <color indexed="17"/>
      </font>
    </dxf>
    <dxf>
      <font>
        <b/>
        <i val="0"/>
        <condense val="0"/>
        <extend val="0"/>
        <color indexed="10"/>
      </font>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indexed="9"/>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ndense val="0"/>
        <extend val="0"/>
        <color indexed="45"/>
      </font>
    </dxf>
    <dxf>
      <font>
        <b/>
        <i val="0"/>
        <color rgb="FFFF0000"/>
      </font>
    </dxf>
    <dxf>
      <font>
        <b/>
        <i val="0"/>
        <condense val="0"/>
        <extend val="0"/>
        <color indexed="10"/>
      </font>
      <fill>
        <patternFill>
          <bgColor indexed="8"/>
        </patternFill>
      </fill>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10"/>
      </font>
      <fill>
        <patternFill>
          <bgColor indexed="8"/>
        </patternFill>
      </fill>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10"/>
      </font>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10"/>
        </patternFill>
      </fill>
    </dxf>
    <dxf>
      <font>
        <b/>
        <i val="0"/>
        <condense val="0"/>
        <extend val="0"/>
        <color indexed="43"/>
      </font>
      <fill>
        <patternFill>
          <bgColor indexed="12"/>
        </patternFill>
      </fill>
    </dxf>
    <dxf>
      <font>
        <b/>
        <i val="0"/>
        <condense val="0"/>
        <extend val="0"/>
        <color indexed="10"/>
      </font>
      <fill>
        <patternFill>
          <bgColor indexed="8"/>
        </patternFill>
      </fill>
    </dxf>
    <dxf>
      <border>
        <left/>
        <right/>
        <top/>
        <bottom/>
      </border>
    </dxf>
    <dxf>
      <border>
        <left/>
        <right/>
        <top/>
        <bottom/>
      </border>
    </dxf>
    <dxf>
      <font>
        <condense val="0"/>
        <extend val="0"/>
        <color indexed="23"/>
      </font>
      <fill>
        <patternFill>
          <bgColor indexed="23"/>
        </patternFill>
      </fill>
      <border>
        <left/>
        <right/>
        <top/>
        <bottom/>
      </border>
    </dxf>
    <dxf>
      <fill>
        <patternFill patternType="none">
          <bgColor indexed="65"/>
        </patternFill>
      </fill>
      <border>
        <left/>
        <right/>
        <top/>
        <bottom/>
      </border>
    </dxf>
    <dxf>
      <font>
        <condense val="0"/>
        <extend val="0"/>
        <color indexed="23"/>
      </font>
    </dxf>
    <dxf>
      <font>
        <condense val="0"/>
        <extend val="0"/>
        <color auto="1"/>
      </font>
      <fill>
        <patternFill patternType="none">
          <bgColor indexed="65"/>
        </patternFill>
      </fill>
      <border>
        <left/>
        <right/>
        <top/>
        <bottom/>
      </border>
    </dxf>
    <dxf>
      <font>
        <b/>
        <i val="0"/>
        <condense val="0"/>
        <extend val="0"/>
        <color indexed="10"/>
      </font>
    </dxf>
    <dxf>
      <fill>
        <patternFill>
          <bgColor indexed="23"/>
        </patternFill>
      </fill>
      <border>
        <left/>
        <right/>
        <top/>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b/>
        <i val="0"/>
        <color rgb="FFFF0000"/>
      </font>
    </dxf>
    <dxf>
      <font>
        <b/>
        <i val="0"/>
        <color rgb="FFFF0000"/>
      </font>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ill>
        <patternFill>
          <bgColor indexed="47"/>
        </patternFill>
      </fill>
      <border>
        <left/>
        <right/>
        <top/>
        <bottom/>
      </border>
    </dxf>
    <dxf>
      <border>
        <left/>
        <right/>
        <top/>
        <bottom/>
      </border>
    </dxf>
    <dxf>
      <font>
        <b/>
        <i val="0"/>
        <condense val="0"/>
        <extend val="0"/>
        <color indexed="10"/>
      </font>
    </dxf>
    <dxf>
      <border>
        <left style="hair">
          <color indexed="64"/>
        </left>
        <right style="hair">
          <color indexed="64"/>
        </right>
        <top style="hair">
          <color indexed="64"/>
        </top>
        <bottom style="hair">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b/>
        <i val="0"/>
        <color rgb="FFFF0000"/>
      </font>
    </dxf>
    <dxf>
      <font>
        <b/>
        <i val="0"/>
        <color rgb="FFFF0000"/>
      </font>
    </dxf>
    <dxf>
      <font>
        <b/>
        <i val="0"/>
        <condense val="0"/>
        <extend val="0"/>
        <color indexed="10"/>
      </font>
    </dxf>
    <dxf>
      <font>
        <condense val="0"/>
        <extend val="0"/>
        <color indexed="44"/>
      </font>
      <border>
        <left/>
        <right/>
        <top/>
        <bottom/>
      </border>
    </dxf>
    <dxf>
      <font>
        <condense val="0"/>
        <extend val="0"/>
        <color indexed="42"/>
      </font>
      <border>
        <left/>
        <right/>
        <top/>
        <bottom/>
      </border>
    </dxf>
    <dxf>
      <font>
        <condense val="0"/>
        <extend val="0"/>
        <color indexed="47"/>
      </font>
      <border>
        <left/>
        <right/>
        <top/>
        <bottom/>
      </border>
    </dxf>
    <dxf>
      <font>
        <condense val="0"/>
        <extend val="0"/>
        <color indexed="9"/>
      </font>
      <border>
        <left/>
        <right/>
        <top/>
        <bottom/>
      </border>
    </dxf>
    <dxf>
      <font>
        <condense val="0"/>
        <extend val="0"/>
        <color indexed="9"/>
      </font>
    </dxf>
    <dxf>
      <border>
        <left/>
        <right/>
        <top/>
        <bottom/>
      </border>
    </dxf>
    <dxf>
      <font>
        <condense val="0"/>
        <extend val="0"/>
        <color indexed="9"/>
      </font>
      <fill>
        <patternFill patternType="none">
          <bgColor indexed="65"/>
        </patternFill>
      </fill>
      <border>
        <left/>
        <right/>
        <top/>
        <bottom/>
      </border>
    </dxf>
    <dxf>
      <border>
        <left/>
        <right/>
        <top/>
        <bottom/>
      </border>
    </dxf>
    <dxf>
      <font>
        <condense val="0"/>
        <extend val="0"/>
        <color indexed="9"/>
      </font>
      <fill>
        <patternFill patternType="none">
          <bgColor indexed="65"/>
        </patternFill>
      </fill>
      <border>
        <left/>
        <right/>
        <top/>
        <bottom/>
      </border>
    </dxf>
    <dxf>
      <fill>
        <patternFill patternType="none">
          <bgColor indexed="65"/>
        </patternFill>
      </fill>
      <border>
        <left/>
        <right/>
        <top/>
        <bottom/>
      </border>
    </dxf>
    <dxf>
      <border>
        <left/>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fill>
        <patternFill patternType="none">
          <bgColor indexed="65"/>
        </patternFill>
      </fill>
      <border>
        <left/>
        <right style="hair">
          <color indexed="64"/>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auto="1"/>
      </font>
      <border>
        <left/>
        <right/>
        <top/>
        <bottom/>
      </border>
    </dxf>
    <dxf>
      <font>
        <b/>
        <i val="0"/>
        <condense val="0"/>
        <extend val="0"/>
        <color auto="1"/>
      </font>
      <border>
        <left/>
        <right/>
        <top/>
        <bottom/>
      </border>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border>
        <left/>
        <right/>
        <top/>
        <bottom/>
      </border>
    </dxf>
    <dxf>
      <border>
        <left/>
        <right/>
        <top/>
        <bottom/>
      </border>
    </dxf>
    <dxf>
      <font>
        <b/>
        <i val="0"/>
        <condense val="0"/>
        <extend val="0"/>
        <color auto="1"/>
      </font>
      <border>
        <left/>
        <right/>
        <top/>
        <bottom/>
      </border>
    </dxf>
    <dxf>
      <font>
        <b/>
        <i val="0"/>
        <color rgb="FFFF0000"/>
      </font>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font>
        <condense val="0"/>
        <extend val="0"/>
        <color indexed="9"/>
      </font>
      <border>
        <left/>
        <right/>
        <top/>
        <bottom/>
      </border>
    </dxf>
    <dxf>
      <font>
        <b/>
        <i val="0"/>
        <condense val="0"/>
        <extend val="0"/>
        <color indexed="10"/>
      </font>
    </dxf>
    <dxf>
      <font>
        <condense val="0"/>
        <extend val="0"/>
        <color indexed="47"/>
      </font>
      <fill>
        <patternFill>
          <bgColor indexed="47"/>
        </patternFill>
      </fill>
      <border>
        <left/>
        <right/>
        <top/>
        <bottom/>
      </border>
    </dxf>
    <dxf>
      <font>
        <condense val="0"/>
        <extend val="0"/>
        <color indexed="23"/>
      </font>
      <border>
        <left/>
        <right/>
        <top/>
        <bottom/>
      </border>
    </dxf>
    <dxf>
      <font>
        <condense val="0"/>
        <extend val="0"/>
        <color indexed="23"/>
      </font>
      <border>
        <left/>
        <right/>
        <top/>
        <bottom/>
      </border>
    </dxf>
    <dxf>
      <font>
        <condense val="0"/>
        <extend val="0"/>
        <color indexed="23"/>
      </font>
      <border>
        <left/>
        <right/>
        <top/>
        <bottom/>
      </border>
    </dxf>
    <dxf>
      <font>
        <b/>
        <i val="0"/>
        <condense val="0"/>
        <extend val="0"/>
        <color indexed="10"/>
      </font>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border>
        <left/>
        <right/>
        <top/>
        <bottom/>
      </border>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border>
        <left/>
        <right/>
        <top/>
        <bottom/>
      </border>
    </dxf>
    <dxf>
      <border>
        <left/>
        <right/>
        <top/>
        <bottom/>
      </border>
    </dxf>
    <dxf>
      <font>
        <b/>
        <i val="0"/>
        <condense val="0"/>
        <extend val="0"/>
        <color auto="1"/>
      </font>
      <border>
        <left/>
        <right/>
        <top/>
        <bottom/>
      </border>
    </dxf>
    <dxf>
      <font>
        <b/>
        <i val="0"/>
        <condense val="0"/>
        <extend val="0"/>
        <color indexed="10"/>
      </font>
    </dxf>
    <dxf>
      <font>
        <condense val="0"/>
        <extend val="0"/>
        <color indexed="9"/>
      </font>
      <border>
        <left/>
        <right/>
        <top/>
        <bottom/>
      </border>
    </dxf>
    <dxf>
      <font>
        <b/>
        <i val="0"/>
        <condense val="0"/>
        <extend val="0"/>
        <color indexed="10"/>
      </font>
    </dxf>
    <dxf>
      <font>
        <condense val="0"/>
        <extend val="0"/>
        <color indexed="47"/>
      </font>
      <fill>
        <patternFill>
          <bgColor indexed="47"/>
        </patternFill>
      </fill>
      <border>
        <left/>
        <right/>
        <top/>
        <bottom/>
      </border>
    </dxf>
    <dxf>
      <font>
        <condense val="0"/>
        <extend val="0"/>
        <color indexed="23"/>
      </font>
      <border>
        <left/>
        <right/>
        <top/>
        <bottom/>
      </border>
    </dxf>
    <dxf>
      <font>
        <condense val="0"/>
        <extend val="0"/>
        <color indexed="23"/>
      </font>
      <border>
        <left/>
        <right/>
        <top/>
        <bottom/>
      </border>
    </dxf>
    <dxf>
      <font>
        <condense val="0"/>
        <extend val="0"/>
        <color indexed="23"/>
      </font>
      <border>
        <left/>
        <right/>
        <top/>
        <bottom/>
      </border>
    </dxf>
    <dxf>
      <font>
        <b/>
        <i val="0"/>
        <condense val="0"/>
        <extend val="0"/>
        <color indexed="10"/>
      </font>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border>
        <left/>
        <right/>
        <top/>
        <bottom/>
      </border>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font>
      <fill>
        <patternFill>
          <bgColor indexed="50"/>
        </patternFill>
      </fill>
      <border>
        <left/>
        <right/>
        <top/>
        <bottom/>
      </border>
    </dxf>
    <dxf>
      <font>
        <b/>
        <i val="0"/>
      </font>
      <fill>
        <patternFill>
          <bgColor theme="6" tint="0.39994506668294322"/>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C9D2"/>
      <rgbColor rgb="000000FF"/>
      <rgbColor rgb="009EB8C4"/>
      <rgbColor rgb="00FFFFCC"/>
      <rgbColor rgb="00CCDAE0"/>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BF1F3"/>
      <rgbColor rgb="00CCFFFF"/>
      <rgbColor rgb="00E8FBAD"/>
      <rgbColor rgb="00FFFF66"/>
      <rgbColor rgb="00CCCCFF"/>
      <rgbColor rgb="00FFFF99"/>
      <rgbColor rgb="00CC99FF"/>
      <rgbColor rgb="00FDEA97"/>
      <rgbColor rgb="003366FF"/>
      <rgbColor rgb="0033CCCC"/>
      <rgbColor rgb="00D5EBAD"/>
      <rgbColor rgb="00FFCC00"/>
      <rgbColor rgb="00FF9900"/>
      <rgbColor rgb="00FF6600"/>
      <rgbColor rgb="00666699"/>
      <rgbColor rgb="00C0C0C0"/>
      <rgbColor rgb="00003366"/>
      <rgbColor rgb="00339966"/>
      <rgbColor rgb="00003300"/>
      <rgbColor rgb="00333300"/>
      <rgbColor rgb="00CC66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827586206896551"/>
          <c:y val="5.6604143994195846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0689655172413793"/>
          <c:y val="0.34771072539760256"/>
          <c:w val="0.69655172413793098"/>
          <c:h val="0.38814220509499819"/>
        </c:manualLayout>
      </c:layout>
      <c:barChart>
        <c:barDir val="col"/>
        <c:grouping val="clustered"/>
        <c:varyColors val="0"/>
        <c:ser>
          <c:idx val="0"/>
          <c:order val="0"/>
          <c:tx>
            <c:strRef>
              <c:f>'MKK1'!$D$1</c:f>
              <c:strCache>
                <c:ptCount val="1"/>
                <c:pt idx="0">
                  <c:v>Allradtraktor - 75 KW</c:v>
                </c:pt>
              </c:strCache>
            </c:strRef>
          </c:tx>
          <c:spPr>
            <a:solidFill>
              <a:srgbClr val="FF0000"/>
            </a:solidFill>
            <a:ln w="12700">
              <a:solidFill>
                <a:srgbClr val="000000"/>
              </a:solidFill>
              <a:prstDash val="solid"/>
            </a:ln>
          </c:spPr>
          <c:invertIfNegative val="0"/>
          <c:dPt>
            <c:idx val="4"/>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1-9071-49FA-8A37-1BFEB63D9DCC}"/>
              </c:ext>
            </c:extLst>
          </c:dPt>
          <c:dPt>
            <c:idx val="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3-9071-49FA-8A37-1BFEB63D9DCC}"/>
              </c:ext>
            </c:extLst>
          </c:dPt>
          <c:cat>
            <c:strRef>
              <c:f>('MKK1'!$A$12:$A$15,'MKK1'!$A$19:$A$20)</c:f>
              <c:strCache>
                <c:ptCount val="6"/>
                <c:pt idx="0">
                  <c:v>Afa</c:v>
                </c:pt>
                <c:pt idx="1">
                  <c:v>U</c:v>
                </c:pt>
                <c:pt idx="2">
                  <c:v>V</c:v>
                </c:pt>
                <c:pt idx="3">
                  <c:v>Z</c:v>
                </c:pt>
                <c:pt idx="4">
                  <c:v>E</c:v>
                </c:pt>
                <c:pt idx="5">
                  <c:v>R</c:v>
                </c:pt>
              </c:strCache>
            </c:strRef>
          </c:cat>
          <c:val>
            <c:numRef>
              <c:f>('MKK1'!$F$12:$F$15,'MKK1'!$F$19:$F$20)</c:f>
              <c:numCache>
                <c:formatCode>#\ ##0.\-\ "€"</c:formatCode>
                <c:ptCount val="6"/>
                <c:pt idx="0">
                  <c:v>2213.125</c:v>
                </c:pt>
                <c:pt idx="1">
                  <c:v>354.1</c:v>
                </c:pt>
                <c:pt idx="2">
                  <c:v>354.1</c:v>
                </c:pt>
                <c:pt idx="3">
                  <c:v>1062.3</c:v>
                </c:pt>
                <c:pt idx="4">
                  <c:v>869.04</c:v>
                </c:pt>
                <c:pt idx="5">
                  <c:v>1508.4660000000001</c:v>
                </c:pt>
              </c:numCache>
            </c:numRef>
          </c:val>
          <c:extLst>
            <c:ext xmlns:c16="http://schemas.microsoft.com/office/drawing/2014/chart" uri="{C3380CC4-5D6E-409C-BE32-E72D297353CC}">
              <c16:uniqueId val="{00000004-9071-49FA-8A37-1BFEB63D9DCC}"/>
            </c:ext>
          </c:extLst>
        </c:ser>
        <c:dLbls>
          <c:showLegendKey val="0"/>
          <c:showVal val="0"/>
          <c:showCatName val="0"/>
          <c:showSerName val="0"/>
          <c:showPercent val="0"/>
          <c:showBubbleSize val="0"/>
        </c:dLbls>
        <c:gapWidth val="150"/>
        <c:axId val="261158408"/>
        <c:axId val="384740368"/>
      </c:barChart>
      <c:catAx>
        <c:axId val="261158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de-DE"/>
          </a:p>
        </c:txPr>
        <c:crossAx val="384740368"/>
        <c:crosses val="autoZero"/>
        <c:auto val="1"/>
        <c:lblAlgn val="ctr"/>
        <c:lblOffset val="100"/>
        <c:tickLblSkip val="1"/>
        <c:tickMarkSkip val="1"/>
        <c:noMultiLvlLbl val="0"/>
      </c:catAx>
      <c:valAx>
        <c:axId val="384740368"/>
        <c:scaling>
          <c:orientation val="minMax"/>
        </c:scaling>
        <c:delete val="0"/>
        <c:axPos val="l"/>
        <c:majorGridlines>
          <c:spPr>
            <a:ln w="3175">
              <a:solidFill>
                <a:srgbClr val="000000"/>
              </a:solidFill>
              <a:prstDash val="solid"/>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de-DE"/>
          </a:p>
        </c:txPr>
        <c:crossAx val="261158408"/>
        <c:crosses val="autoZero"/>
        <c:crossBetween val="between"/>
      </c:valAx>
      <c:spPr>
        <a:solidFill>
          <a:srgbClr val="FFFFFF"/>
        </a:solidFill>
        <a:ln w="25400">
          <a:noFill/>
        </a:ln>
      </c:spPr>
    </c:plotArea>
    <c:plotVisOnly val="1"/>
    <c:dispBlanksAs val="gap"/>
    <c:showDLblsOverMax val="0"/>
  </c:chart>
  <c:spPr>
    <a:solidFill>
      <a:srgbClr val="EBF1F3"/>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068965517241379"/>
          <c:y val="5.6604143994195846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0689655172413793"/>
          <c:y val="0.34771072539760256"/>
          <c:w val="0.69655172413793098"/>
          <c:h val="0.38814220509499819"/>
        </c:manualLayout>
      </c:layout>
      <c:barChart>
        <c:barDir val="col"/>
        <c:grouping val="clustered"/>
        <c:varyColors val="0"/>
        <c:ser>
          <c:idx val="0"/>
          <c:order val="0"/>
          <c:tx>
            <c:strRef>
              <c:f>'MKK2'!$D$1</c:f>
              <c:strCache>
                <c:ptCount val="1"/>
                <c:pt idx="0">
                  <c:v>Motorsäge - 4 KW</c:v>
                </c:pt>
              </c:strCache>
            </c:strRef>
          </c:tx>
          <c:spPr>
            <a:solidFill>
              <a:srgbClr val="FF0000"/>
            </a:solidFill>
            <a:ln w="12700">
              <a:solidFill>
                <a:srgbClr val="000000"/>
              </a:solidFill>
              <a:prstDash val="solid"/>
            </a:ln>
          </c:spPr>
          <c:invertIfNegative val="0"/>
          <c:dPt>
            <c:idx val="4"/>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1-DD31-4A97-A913-B6AC8B41D5AC}"/>
              </c:ext>
            </c:extLst>
          </c:dPt>
          <c:dPt>
            <c:idx val="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3-DD31-4A97-A913-B6AC8B41D5AC}"/>
              </c:ext>
            </c:extLst>
          </c:dPt>
          <c:cat>
            <c:strRef>
              <c:f>('MKK2'!$A$12:$A$15,'MKK2'!$A$19:$A$20)</c:f>
              <c:strCache>
                <c:ptCount val="6"/>
                <c:pt idx="0">
                  <c:v>Afa</c:v>
                </c:pt>
                <c:pt idx="1">
                  <c:v>U</c:v>
                </c:pt>
                <c:pt idx="2">
                  <c:v>V</c:v>
                </c:pt>
                <c:pt idx="3">
                  <c:v>Z</c:v>
                </c:pt>
                <c:pt idx="4">
                  <c:v>E</c:v>
                </c:pt>
                <c:pt idx="5">
                  <c:v>R</c:v>
                </c:pt>
              </c:strCache>
            </c:strRef>
          </c:cat>
          <c:val>
            <c:numRef>
              <c:f>('MKK2'!$F$12:$F$15,'MKK2'!$F$19:$F$20)</c:f>
              <c:numCache>
                <c:formatCode>#\ ##0.\-\ "€"</c:formatCode>
                <c:ptCount val="6"/>
                <c:pt idx="0">
                  <c:v>0</c:v>
                </c:pt>
                <c:pt idx="1">
                  <c:v>7</c:v>
                </c:pt>
                <c:pt idx="2">
                  <c:v>7</c:v>
                </c:pt>
                <c:pt idx="3">
                  <c:v>21</c:v>
                </c:pt>
                <c:pt idx="4">
                  <c:v>59.5</c:v>
                </c:pt>
                <c:pt idx="5">
                  <c:v>17.5</c:v>
                </c:pt>
              </c:numCache>
            </c:numRef>
          </c:val>
          <c:extLst>
            <c:ext xmlns:c16="http://schemas.microsoft.com/office/drawing/2014/chart" uri="{C3380CC4-5D6E-409C-BE32-E72D297353CC}">
              <c16:uniqueId val="{00000004-DD31-4A97-A913-B6AC8B41D5AC}"/>
            </c:ext>
          </c:extLst>
        </c:ser>
        <c:dLbls>
          <c:showLegendKey val="0"/>
          <c:showVal val="0"/>
          <c:showCatName val="0"/>
          <c:showSerName val="0"/>
          <c:showPercent val="0"/>
          <c:showBubbleSize val="0"/>
        </c:dLbls>
        <c:gapWidth val="150"/>
        <c:axId val="384734096"/>
        <c:axId val="384734488"/>
      </c:barChart>
      <c:catAx>
        <c:axId val="38473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de-DE"/>
          </a:p>
        </c:txPr>
        <c:crossAx val="384734488"/>
        <c:crosses val="autoZero"/>
        <c:auto val="1"/>
        <c:lblAlgn val="ctr"/>
        <c:lblOffset val="100"/>
        <c:tickLblSkip val="1"/>
        <c:tickMarkSkip val="1"/>
        <c:noMultiLvlLbl val="0"/>
      </c:catAx>
      <c:valAx>
        <c:axId val="384734488"/>
        <c:scaling>
          <c:orientation val="minMax"/>
        </c:scaling>
        <c:delete val="0"/>
        <c:axPos val="l"/>
        <c:majorGridlines>
          <c:spPr>
            <a:ln w="3175">
              <a:solidFill>
                <a:srgbClr val="000000"/>
              </a:solidFill>
              <a:prstDash val="solid"/>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de-DE"/>
          </a:p>
        </c:txPr>
        <c:crossAx val="384734096"/>
        <c:crosses val="autoZero"/>
        <c:crossBetween val="between"/>
      </c:valAx>
      <c:spPr>
        <a:solidFill>
          <a:srgbClr val="FFFFFF"/>
        </a:solidFill>
        <a:ln w="25400">
          <a:noFill/>
        </a:ln>
      </c:spPr>
    </c:plotArea>
    <c:plotVisOnly val="1"/>
    <c:dispBlanksAs val="gap"/>
    <c:showDLblsOverMax val="0"/>
  </c:chart>
  <c:spPr>
    <a:solidFill>
      <a:srgbClr val="EBF1F3"/>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Berechnung!E6"/></Relationships>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253</xdr:col>
      <xdr:colOff>0</xdr:colOff>
      <xdr:row>13</xdr:row>
      <xdr:rowOff>19050</xdr:rowOff>
    </xdr:from>
    <xdr:to>
      <xdr:col>253</xdr:col>
      <xdr:colOff>0</xdr:colOff>
      <xdr:row>14</xdr:row>
      <xdr:rowOff>76200</xdr:rowOff>
    </xdr:to>
    <xdr:grpSp>
      <xdr:nvGrpSpPr>
        <xdr:cNvPr id="468231" name="Group 1">
          <a:hlinkClick xmlns:r="http://schemas.openxmlformats.org/officeDocument/2006/relationships" r:id="rId1" tooltip="Zurück zur Berechnung!"/>
          <a:extLst>
            <a:ext uri="{FF2B5EF4-FFF2-40B4-BE49-F238E27FC236}">
              <a16:creationId xmlns:a16="http://schemas.microsoft.com/office/drawing/2014/main" id="{00000000-0008-0000-0000-000007250700}"/>
            </a:ext>
          </a:extLst>
        </xdr:cNvPr>
        <xdr:cNvGrpSpPr>
          <a:grpSpLocks/>
        </xdr:cNvGrpSpPr>
      </xdr:nvGrpSpPr>
      <xdr:grpSpPr bwMode="auto">
        <a:xfrm>
          <a:off x="187899675" y="1962150"/>
          <a:ext cx="0" cy="0"/>
          <a:chOff x="690" y="221"/>
          <a:chExt cx="94" cy="19"/>
        </a:xfrm>
      </xdr:grpSpPr>
      <xdr:sp macro="" textlink="">
        <xdr:nvSpPr>
          <xdr:cNvPr id="468236" name="Rectangle 2">
            <a:extLst>
              <a:ext uri="{FF2B5EF4-FFF2-40B4-BE49-F238E27FC236}">
                <a16:creationId xmlns:a16="http://schemas.microsoft.com/office/drawing/2014/main" id="{00000000-0008-0000-0000-00000C250700}"/>
              </a:ext>
            </a:extLst>
          </xdr:cNvPr>
          <xdr:cNvSpPr>
            <a:spLocks noChangeArrowheads="1"/>
          </xdr:cNvSpPr>
        </xdr:nvSpPr>
        <xdr:spPr bwMode="auto">
          <a:xfrm>
            <a:off x="690" y="221"/>
            <a:ext cx="94" cy="19"/>
          </a:xfrm>
          <a:prstGeom prst="rect">
            <a:avLst/>
          </a:prstGeom>
          <a:solidFill>
            <a:srgbClr val="FF0000"/>
          </a:solidFill>
          <a:ln w="6350" algn="ctr">
            <a:solidFill>
              <a:srgbClr val="333333"/>
            </a:solidFill>
            <a:miter lim="800000"/>
            <a:headEnd/>
            <a:tailEnd/>
          </a:ln>
        </xdr:spPr>
      </xdr:sp>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296150" y="1962150"/>
            <a:ext cx="0" cy="0"/>
          </a:xfrm>
          <a:prstGeom prst="rect">
            <a:avLst/>
          </a:prstGeom>
          <a:noFill/>
          <a:ln w="6350" algn="ctr">
            <a:noFill/>
            <a:miter lim="800000"/>
            <a:headEnd/>
            <a:tailEnd/>
          </a:ln>
          <a:effectLst>
            <a:outerShdw dist="35921" dir="2700000" algn="ctr" rotWithShape="0">
              <a:srgbClr val="000000"/>
            </a:outerShdw>
          </a:effectLst>
        </xdr:spPr>
        <xdr:txBody>
          <a:bodyPr vertOverflow="clip" wrap="square" lIns="0" tIns="0" rIns="0" bIns="0" anchor="ctr" upright="1"/>
          <a:lstStyle/>
          <a:p>
            <a:pPr algn="ctr" rtl="0">
              <a:defRPr sz="1000"/>
            </a:pPr>
            <a:r>
              <a:rPr lang="de-AT" sz="800" b="1" i="0" u="none" strike="noStrike" baseline="0">
                <a:solidFill>
                  <a:srgbClr val="FFFFFF"/>
                </a:solidFill>
                <a:latin typeface="Wingdings 3"/>
              </a:rPr>
              <a:t>t</a:t>
            </a:r>
            <a:r>
              <a:rPr lang="de-AT" sz="800" b="1" i="0" u="none" strike="noStrike" baseline="0">
                <a:solidFill>
                  <a:srgbClr val="FFFFFF"/>
                </a:solidFill>
                <a:latin typeface="Arial"/>
                <a:cs typeface="Arial"/>
              </a:rPr>
              <a:t> DB/VK ges.</a:t>
            </a:r>
          </a:p>
        </xdr:txBody>
      </xdr:sp>
      <xdr:sp macro="" textlink="">
        <xdr:nvSpPr>
          <xdr:cNvPr id="468238" name="Freeform 4">
            <a:extLst>
              <a:ext uri="{FF2B5EF4-FFF2-40B4-BE49-F238E27FC236}">
                <a16:creationId xmlns:a16="http://schemas.microsoft.com/office/drawing/2014/main" id="{00000000-0008-0000-0000-00000E250700}"/>
              </a:ext>
            </a:extLst>
          </xdr:cNvPr>
          <xdr:cNvSpPr>
            <a:spLocks/>
          </xdr:cNvSpPr>
        </xdr:nvSpPr>
        <xdr:spPr bwMode="auto">
          <a:xfrm>
            <a:off x="690" y="221"/>
            <a:ext cx="94" cy="19"/>
          </a:xfrm>
          <a:custGeom>
            <a:avLst/>
            <a:gdLst>
              <a:gd name="T0" fmla="*/ 0 w 62"/>
              <a:gd name="T1" fmla="*/ 1 h 28"/>
              <a:gd name="T2" fmla="*/ 0 w 62"/>
              <a:gd name="T3" fmla="*/ 0 h 28"/>
              <a:gd name="T4" fmla="*/ 2147483646 w 62"/>
              <a:gd name="T5" fmla="*/ 0 h 28"/>
              <a:gd name="T6" fmla="*/ 0 60000 65536"/>
              <a:gd name="T7" fmla="*/ 0 60000 65536"/>
              <a:gd name="T8" fmla="*/ 0 60000 65536"/>
              <a:gd name="T9" fmla="*/ 0 w 62"/>
              <a:gd name="T10" fmla="*/ 0 h 28"/>
              <a:gd name="T11" fmla="*/ 62 w 62"/>
              <a:gd name="T12" fmla="*/ 28 h 28"/>
            </a:gdLst>
            <a:ahLst/>
            <a:cxnLst>
              <a:cxn ang="T6">
                <a:pos x="T0" y="T1"/>
              </a:cxn>
              <a:cxn ang="T7">
                <a:pos x="T2" y="T3"/>
              </a:cxn>
              <a:cxn ang="T8">
                <a:pos x="T4" y="T5"/>
              </a:cxn>
            </a:cxnLst>
            <a:rect l="T9" t="T10" r="T11" b="T12"/>
            <a:pathLst>
              <a:path w="62" h="28">
                <a:moveTo>
                  <a:pt x="0" y="28"/>
                </a:moveTo>
                <a:lnTo>
                  <a:pt x="0" y="0"/>
                </a:lnTo>
                <a:lnTo>
                  <a:pt x="62" y="0"/>
                </a:lnTo>
              </a:path>
            </a:pathLst>
          </a:custGeom>
          <a:noFill/>
          <a:ln w="6350" cap="flat" cmpd="sng">
            <a:solidFill>
              <a:srgbClr val="EAEAEA"/>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253</xdr:col>
      <xdr:colOff>0</xdr:colOff>
      <xdr:row>901</xdr:row>
      <xdr:rowOff>19050</xdr:rowOff>
    </xdr:from>
    <xdr:to>
      <xdr:col>253</xdr:col>
      <xdr:colOff>0</xdr:colOff>
      <xdr:row>902</xdr:row>
      <xdr:rowOff>76200</xdr:rowOff>
    </xdr:to>
    <xdr:grpSp>
      <xdr:nvGrpSpPr>
        <xdr:cNvPr id="468232" name="Group 5">
          <a:hlinkClick xmlns:r="http://schemas.openxmlformats.org/officeDocument/2006/relationships" r:id="rId1" tooltip="Zurück zur Berechnung!"/>
          <a:extLst>
            <a:ext uri="{FF2B5EF4-FFF2-40B4-BE49-F238E27FC236}">
              <a16:creationId xmlns:a16="http://schemas.microsoft.com/office/drawing/2014/main" id="{00000000-0008-0000-0000-000008250700}"/>
            </a:ext>
          </a:extLst>
        </xdr:cNvPr>
        <xdr:cNvGrpSpPr>
          <a:grpSpLocks/>
        </xdr:cNvGrpSpPr>
      </xdr:nvGrpSpPr>
      <xdr:grpSpPr bwMode="auto">
        <a:xfrm>
          <a:off x="187899675" y="84896325"/>
          <a:ext cx="0" cy="219075"/>
          <a:chOff x="690" y="221"/>
          <a:chExt cx="94" cy="19"/>
        </a:xfrm>
      </xdr:grpSpPr>
      <xdr:sp macro="" textlink="">
        <xdr:nvSpPr>
          <xdr:cNvPr id="468233" name="Rectangle 6">
            <a:extLst>
              <a:ext uri="{FF2B5EF4-FFF2-40B4-BE49-F238E27FC236}">
                <a16:creationId xmlns:a16="http://schemas.microsoft.com/office/drawing/2014/main" id="{00000000-0008-0000-0000-000009250700}"/>
              </a:ext>
            </a:extLst>
          </xdr:cNvPr>
          <xdr:cNvSpPr>
            <a:spLocks noChangeArrowheads="1"/>
          </xdr:cNvSpPr>
        </xdr:nvSpPr>
        <xdr:spPr bwMode="auto">
          <a:xfrm>
            <a:off x="690" y="221"/>
            <a:ext cx="94" cy="19"/>
          </a:xfrm>
          <a:prstGeom prst="rect">
            <a:avLst/>
          </a:prstGeom>
          <a:solidFill>
            <a:srgbClr val="FF0000"/>
          </a:solidFill>
          <a:ln w="6350" algn="ctr">
            <a:solidFill>
              <a:srgbClr val="333333"/>
            </a:solidFill>
            <a:miter lim="800000"/>
            <a:headEnd/>
            <a:tailEnd/>
          </a:ln>
        </xdr:spPr>
      </xdr:sp>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7296150" y="83267550"/>
            <a:ext cx="0" cy="0"/>
          </a:xfrm>
          <a:prstGeom prst="rect">
            <a:avLst/>
          </a:prstGeom>
          <a:noFill/>
          <a:ln w="6350" algn="ctr">
            <a:noFill/>
            <a:miter lim="800000"/>
            <a:headEnd/>
            <a:tailEnd/>
          </a:ln>
          <a:effectLst>
            <a:outerShdw dist="35921" dir="2700000" algn="ctr" rotWithShape="0">
              <a:srgbClr val="000000"/>
            </a:outerShdw>
          </a:effectLst>
        </xdr:spPr>
        <xdr:txBody>
          <a:bodyPr vertOverflow="clip" wrap="square" lIns="0" tIns="0" rIns="0" bIns="0" anchor="ctr" upright="1"/>
          <a:lstStyle/>
          <a:p>
            <a:pPr algn="ctr" rtl="0">
              <a:defRPr sz="1000"/>
            </a:pPr>
            <a:r>
              <a:rPr lang="de-AT" sz="800" b="1" i="0" u="none" strike="noStrike" baseline="0">
                <a:solidFill>
                  <a:srgbClr val="FFFFFF"/>
                </a:solidFill>
                <a:latin typeface="Wingdings 3"/>
              </a:rPr>
              <a:t>t</a:t>
            </a:r>
            <a:r>
              <a:rPr lang="de-AT" sz="800" b="1" i="0" u="none" strike="noStrike" baseline="0">
                <a:solidFill>
                  <a:srgbClr val="FFFFFF"/>
                </a:solidFill>
                <a:latin typeface="Arial"/>
                <a:cs typeface="Arial"/>
              </a:rPr>
              <a:t> DB/VK ges.</a:t>
            </a:r>
          </a:p>
        </xdr:txBody>
      </xdr:sp>
      <xdr:sp macro="" textlink="">
        <xdr:nvSpPr>
          <xdr:cNvPr id="468235" name="Freeform 8">
            <a:extLst>
              <a:ext uri="{FF2B5EF4-FFF2-40B4-BE49-F238E27FC236}">
                <a16:creationId xmlns:a16="http://schemas.microsoft.com/office/drawing/2014/main" id="{00000000-0008-0000-0000-00000B250700}"/>
              </a:ext>
            </a:extLst>
          </xdr:cNvPr>
          <xdr:cNvSpPr>
            <a:spLocks/>
          </xdr:cNvSpPr>
        </xdr:nvSpPr>
        <xdr:spPr bwMode="auto">
          <a:xfrm>
            <a:off x="690" y="221"/>
            <a:ext cx="94" cy="19"/>
          </a:xfrm>
          <a:custGeom>
            <a:avLst/>
            <a:gdLst>
              <a:gd name="T0" fmla="*/ 0 w 62"/>
              <a:gd name="T1" fmla="*/ 1 h 28"/>
              <a:gd name="T2" fmla="*/ 0 w 62"/>
              <a:gd name="T3" fmla="*/ 0 h 28"/>
              <a:gd name="T4" fmla="*/ 2147483646 w 62"/>
              <a:gd name="T5" fmla="*/ 0 h 28"/>
              <a:gd name="T6" fmla="*/ 0 60000 65536"/>
              <a:gd name="T7" fmla="*/ 0 60000 65536"/>
              <a:gd name="T8" fmla="*/ 0 60000 65536"/>
              <a:gd name="T9" fmla="*/ 0 w 62"/>
              <a:gd name="T10" fmla="*/ 0 h 28"/>
              <a:gd name="T11" fmla="*/ 62 w 62"/>
              <a:gd name="T12" fmla="*/ 28 h 28"/>
            </a:gdLst>
            <a:ahLst/>
            <a:cxnLst>
              <a:cxn ang="T6">
                <a:pos x="T0" y="T1"/>
              </a:cxn>
              <a:cxn ang="T7">
                <a:pos x="T2" y="T3"/>
              </a:cxn>
              <a:cxn ang="T8">
                <a:pos x="T4" y="T5"/>
              </a:cxn>
            </a:cxnLst>
            <a:rect l="T9" t="T10" r="T11" b="T12"/>
            <a:pathLst>
              <a:path w="62" h="28">
                <a:moveTo>
                  <a:pt x="0" y="28"/>
                </a:moveTo>
                <a:lnTo>
                  <a:pt x="0" y="0"/>
                </a:lnTo>
                <a:lnTo>
                  <a:pt x="62" y="0"/>
                </a:lnTo>
              </a:path>
            </a:pathLst>
          </a:custGeom>
          <a:noFill/>
          <a:ln w="6350" cap="flat" cmpd="sng">
            <a:solidFill>
              <a:srgbClr val="EAEAEA"/>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9525</xdr:rowOff>
    </xdr:from>
    <xdr:to>
      <xdr:col>1</xdr:col>
      <xdr:colOff>9525</xdr:colOff>
      <xdr:row>0</xdr:row>
      <xdr:rowOff>95250</xdr:rowOff>
    </xdr:to>
    <xdr:sp macro="" textlink="">
      <xdr:nvSpPr>
        <xdr:cNvPr id="12535" name="AutoShape 2">
          <a:extLst>
            <a:ext uri="{FF2B5EF4-FFF2-40B4-BE49-F238E27FC236}">
              <a16:creationId xmlns:a16="http://schemas.microsoft.com/office/drawing/2014/main" id="{00000000-0008-0000-0B00-0000F7300000}"/>
            </a:ext>
          </a:extLst>
        </xdr:cNvPr>
        <xdr:cNvSpPr>
          <a:spLocks noChangeArrowheads="1"/>
        </xdr:cNvSpPr>
      </xdr:nvSpPr>
      <xdr:spPr bwMode="auto">
        <a:xfrm rot="10800000">
          <a:off x="85725" y="9525"/>
          <a:ext cx="76200" cy="85725"/>
        </a:xfrm>
        <a:prstGeom prst="rtTriangle">
          <a:avLst/>
        </a:prstGeom>
        <a:solidFill>
          <a:srgbClr val="000000"/>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3559" name="AutoShape 2">
          <a:extLst>
            <a:ext uri="{FF2B5EF4-FFF2-40B4-BE49-F238E27FC236}">
              <a16:creationId xmlns:a16="http://schemas.microsoft.com/office/drawing/2014/main" id="{00000000-0008-0000-0C00-0000F73400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4583" name="AutoShape 1">
          <a:extLst>
            <a:ext uri="{FF2B5EF4-FFF2-40B4-BE49-F238E27FC236}">
              <a16:creationId xmlns:a16="http://schemas.microsoft.com/office/drawing/2014/main" id="{00000000-0008-0000-0D00-0000F73800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5607" name="AutoShape 1">
          <a:extLst>
            <a:ext uri="{FF2B5EF4-FFF2-40B4-BE49-F238E27FC236}">
              <a16:creationId xmlns:a16="http://schemas.microsoft.com/office/drawing/2014/main" id="{00000000-0008-0000-0E00-0000F73C00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114300</xdr:colOff>
      <xdr:row>0</xdr:row>
      <xdr:rowOff>85725</xdr:rowOff>
    </xdr:to>
    <xdr:sp macro="" textlink="">
      <xdr:nvSpPr>
        <xdr:cNvPr id="10734" name="AutoShape 4">
          <a:extLst>
            <a:ext uri="{FF2B5EF4-FFF2-40B4-BE49-F238E27FC236}">
              <a16:creationId xmlns:a16="http://schemas.microsoft.com/office/drawing/2014/main" id="{00000000-0008-0000-0F00-0000EE290000}"/>
            </a:ext>
          </a:extLst>
        </xdr:cNvPr>
        <xdr:cNvSpPr>
          <a:spLocks noChangeArrowheads="1"/>
        </xdr:cNvSpPr>
      </xdr:nvSpPr>
      <xdr:spPr bwMode="auto">
        <a:xfrm rot="10800000">
          <a:off x="142875" y="0"/>
          <a:ext cx="0" cy="85725"/>
        </a:xfrm>
        <a:prstGeom prst="rtTriangle">
          <a:avLst/>
        </a:prstGeom>
        <a:solidFill>
          <a:srgbClr val="000000"/>
        </a:solidFill>
        <a:ln w="9525">
          <a:solidFill>
            <a:srgbClr val="000000"/>
          </a:solidFill>
          <a:miter lim="800000"/>
          <a:headEnd/>
          <a:tailEnd/>
        </a:ln>
      </xdr:spPr>
    </xdr:sp>
    <xdr:clientData/>
  </xdr:twoCellAnchor>
  <xdr:twoCellAnchor>
    <xdr:from>
      <xdr:col>4</xdr:col>
      <xdr:colOff>0</xdr:colOff>
      <xdr:row>3</xdr:row>
      <xdr:rowOff>0</xdr:rowOff>
    </xdr:from>
    <xdr:to>
      <xdr:col>6</xdr:col>
      <xdr:colOff>0</xdr:colOff>
      <xdr:row>9</xdr:row>
      <xdr:rowOff>0</xdr:rowOff>
    </xdr:to>
    <xdr:graphicFrame macro="">
      <xdr:nvGraphicFramePr>
        <xdr:cNvPr id="10735" name="Chart 5">
          <a:extLst>
            <a:ext uri="{FF2B5EF4-FFF2-40B4-BE49-F238E27FC236}">
              <a16:creationId xmlns:a16="http://schemas.microsoft.com/office/drawing/2014/main" id="{00000000-0008-0000-0F00-0000EF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114300</xdr:colOff>
      <xdr:row>0</xdr:row>
      <xdr:rowOff>85725</xdr:rowOff>
    </xdr:to>
    <xdr:sp macro="" textlink="">
      <xdr:nvSpPr>
        <xdr:cNvPr id="12004" name="AutoShape 4">
          <a:extLst>
            <a:ext uri="{FF2B5EF4-FFF2-40B4-BE49-F238E27FC236}">
              <a16:creationId xmlns:a16="http://schemas.microsoft.com/office/drawing/2014/main" id="{00000000-0008-0000-1000-0000E42E0000}"/>
            </a:ext>
          </a:extLst>
        </xdr:cNvPr>
        <xdr:cNvSpPr>
          <a:spLocks noChangeArrowheads="1"/>
        </xdr:cNvSpPr>
      </xdr:nvSpPr>
      <xdr:spPr bwMode="auto">
        <a:xfrm rot="10800000">
          <a:off x="142875" y="0"/>
          <a:ext cx="0" cy="85725"/>
        </a:xfrm>
        <a:prstGeom prst="rtTriangle">
          <a:avLst/>
        </a:prstGeom>
        <a:solidFill>
          <a:srgbClr val="000000"/>
        </a:solidFill>
        <a:ln w="9525">
          <a:solidFill>
            <a:srgbClr val="000000"/>
          </a:solidFill>
          <a:miter lim="800000"/>
          <a:headEnd/>
          <a:tailEnd/>
        </a:ln>
      </xdr:spPr>
    </xdr:sp>
    <xdr:clientData/>
  </xdr:twoCellAnchor>
  <xdr:twoCellAnchor>
    <xdr:from>
      <xdr:col>0</xdr:col>
      <xdr:colOff>142875</xdr:colOff>
      <xdr:row>0</xdr:row>
      <xdr:rowOff>0</xdr:rowOff>
    </xdr:from>
    <xdr:to>
      <xdr:col>0</xdr:col>
      <xdr:colOff>114300</xdr:colOff>
      <xdr:row>0</xdr:row>
      <xdr:rowOff>85725</xdr:rowOff>
    </xdr:to>
    <xdr:sp macro="" textlink="">
      <xdr:nvSpPr>
        <xdr:cNvPr id="12005" name="AutoShape 5">
          <a:extLst>
            <a:ext uri="{FF2B5EF4-FFF2-40B4-BE49-F238E27FC236}">
              <a16:creationId xmlns:a16="http://schemas.microsoft.com/office/drawing/2014/main" id="{00000000-0008-0000-1000-0000E52E0000}"/>
            </a:ext>
          </a:extLst>
        </xdr:cNvPr>
        <xdr:cNvSpPr>
          <a:spLocks noChangeArrowheads="1"/>
        </xdr:cNvSpPr>
      </xdr:nvSpPr>
      <xdr:spPr bwMode="auto">
        <a:xfrm rot="10800000">
          <a:off x="142875" y="0"/>
          <a:ext cx="0" cy="85725"/>
        </a:xfrm>
        <a:prstGeom prst="rtTriangle">
          <a:avLst/>
        </a:prstGeom>
        <a:solidFill>
          <a:srgbClr val="000000"/>
        </a:solidFill>
        <a:ln w="9525">
          <a:solidFill>
            <a:srgbClr val="000000"/>
          </a:solidFill>
          <a:miter lim="800000"/>
          <a:headEnd/>
          <a:tailEnd/>
        </a:ln>
      </xdr:spPr>
    </xdr:sp>
    <xdr:clientData/>
  </xdr:twoCellAnchor>
  <xdr:twoCellAnchor>
    <xdr:from>
      <xdr:col>4</xdr:col>
      <xdr:colOff>0</xdr:colOff>
      <xdr:row>3</xdr:row>
      <xdr:rowOff>0</xdr:rowOff>
    </xdr:from>
    <xdr:to>
      <xdr:col>6</xdr:col>
      <xdr:colOff>0</xdr:colOff>
      <xdr:row>9</xdr:row>
      <xdr:rowOff>0</xdr:rowOff>
    </xdr:to>
    <xdr:graphicFrame macro="">
      <xdr:nvGraphicFramePr>
        <xdr:cNvPr id="12006" name="Chart 7">
          <a:extLst>
            <a:ext uri="{FF2B5EF4-FFF2-40B4-BE49-F238E27FC236}">
              <a16:creationId xmlns:a16="http://schemas.microsoft.com/office/drawing/2014/main" id="{00000000-0008-0000-1000-0000E62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203938" name="AutoShape 1">
          <a:extLst>
            <a:ext uri="{FF2B5EF4-FFF2-40B4-BE49-F238E27FC236}">
              <a16:creationId xmlns:a16="http://schemas.microsoft.com/office/drawing/2014/main" id="{00000000-0008-0000-0200-0000A21C03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204962" name="AutoShape 2">
          <a:extLst>
            <a:ext uri="{FF2B5EF4-FFF2-40B4-BE49-F238E27FC236}">
              <a16:creationId xmlns:a16="http://schemas.microsoft.com/office/drawing/2014/main" id="{00000000-0008-0000-0300-0000A22003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205986" name="AutoShape 1">
          <a:extLst>
            <a:ext uri="{FF2B5EF4-FFF2-40B4-BE49-F238E27FC236}">
              <a16:creationId xmlns:a16="http://schemas.microsoft.com/office/drawing/2014/main" id="{00000000-0008-0000-0400-0000A22403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207010" name="AutoShape 2">
          <a:extLst>
            <a:ext uri="{FF2B5EF4-FFF2-40B4-BE49-F238E27FC236}">
              <a16:creationId xmlns:a16="http://schemas.microsoft.com/office/drawing/2014/main" id="{00000000-0008-0000-0500-0000A2280300}"/>
            </a:ext>
          </a:extLst>
        </xdr:cNvPr>
        <xdr:cNvSpPr>
          <a:spLocks noChangeArrowheads="1"/>
        </xdr:cNvSpPr>
      </xdr:nvSpPr>
      <xdr:spPr bwMode="auto">
        <a:xfrm rot="10800000">
          <a:off x="38100" y="9525"/>
          <a:ext cx="142875"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3319" name="AutoShape 2">
          <a:extLst>
            <a:ext uri="{FF2B5EF4-FFF2-40B4-BE49-F238E27FC236}">
              <a16:creationId xmlns:a16="http://schemas.microsoft.com/office/drawing/2014/main" id="{00000000-0008-0000-0600-0000F70C0000}"/>
            </a:ext>
          </a:extLst>
        </xdr:cNvPr>
        <xdr:cNvSpPr>
          <a:spLocks noChangeArrowheads="1"/>
        </xdr:cNvSpPr>
      </xdr:nvSpPr>
      <xdr:spPr bwMode="auto">
        <a:xfrm rot="10800000">
          <a:off x="38100" y="9525"/>
          <a:ext cx="76200"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332469" name="Rectangle 1">
          <a:extLst>
            <a:ext uri="{FF2B5EF4-FFF2-40B4-BE49-F238E27FC236}">
              <a16:creationId xmlns:a16="http://schemas.microsoft.com/office/drawing/2014/main" id="{00000000-0008-0000-0700-0000B5120500}"/>
            </a:ext>
          </a:extLst>
        </xdr:cNvPr>
        <xdr:cNvSpPr>
          <a:spLocks noChangeArrowheads="1"/>
        </xdr:cNvSpPr>
      </xdr:nvSpPr>
      <xdr:spPr bwMode="auto">
        <a:xfrm>
          <a:off x="0" y="169545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180975</xdr:rowOff>
    </xdr:from>
    <xdr:to>
      <xdr:col>0</xdr:col>
      <xdr:colOff>0</xdr:colOff>
      <xdr:row>8</xdr:row>
      <xdr:rowOff>180975</xdr:rowOff>
    </xdr:to>
    <xdr:sp macro="" textlink="">
      <xdr:nvSpPr>
        <xdr:cNvPr id="332470" name="Rectangle 2">
          <a:extLst>
            <a:ext uri="{FF2B5EF4-FFF2-40B4-BE49-F238E27FC236}">
              <a16:creationId xmlns:a16="http://schemas.microsoft.com/office/drawing/2014/main" id="{00000000-0008-0000-0700-0000B6120500}"/>
            </a:ext>
          </a:extLst>
        </xdr:cNvPr>
        <xdr:cNvSpPr>
          <a:spLocks noChangeArrowheads="1"/>
        </xdr:cNvSpPr>
      </xdr:nvSpPr>
      <xdr:spPr bwMode="auto">
        <a:xfrm>
          <a:off x="0" y="169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332471" name="Rectangle 3">
          <a:extLst>
            <a:ext uri="{FF2B5EF4-FFF2-40B4-BE49-F238E27FC236}">
              <a16:creationId xmlns:a16="http://schemas.microsoft.com/office/drawing/2014/main" id="{00000000-0008-0000-0700-0000B7120500}"/>
            </a:ext>
          </a:extLst>
        </xdr:cNvPr>
        <xdr:cNvSpPr>
          <a:spLocks noChangeArrowheads="1"/>
        </xdr:cNvSpPr>
      </xdr:nvSpPr>
      <xdr:spPr bwMode="auto">
        <a:xfrm>
          <a:off x="0" y="169545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180975</xdr:rowOff>
    </xdr:from>
    <xdr:to>
      <xdr:col>0</xdr:col>
      <xdr:colOff>0</xdr:colOff>
      <xdr:row>8</xdr:row>
      <xdr:rowOff>180975</xdr:rowOff>
    </xdr:to>
    <xdr:sp macro="" textlink="">
      <xdr:nvSpPr>
        <xdr:cNvPr id="332472" name="Rectangle 4">
          <a:extLst>
            <a:ext uri="{FF2B5EF4-FFF2-40B4-BE49-F238E27FC236}">
              <a16:creationId xmlns:a16="http://schemas.microsoft.com/office/drawing/2014/main" id="{00000000-0008-0000-0700-0000B8120500}"/>
            </a:ext>
          </a:extLst>
        </xdr:cNvPr>
        <xdr:cNvSpPr>
          <a:spLocks noChangeArrowheads="1"/>
        </xdr:cNvSpPr>
      </xdr:nvSpPr>
      <xdr:spPr bwMode="auto">
        <a:xfrm>
          <a:off x="0" y="169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xdr:row>
      <xdr:rowOff>180975</xdr:rowOff>
    </xdr:from>
    <xdr:to>
      <xdr:col>8</xdr:col>
      <xdr:colOff>0</xdr:colOff>
      <xdr:row>6</xdr:row>
      <xdr:rowOff>180975</xdr:rowOff>
    </xdr:to>
    <xdr:sp macro="" textlink="">
      <xdr:nvSpPr>
        <xdr:cNvPr id="332473" name="Rectangle 5">
          <a:extLst>
            <a:ext uri="{FF2B5EF4-FFF2-40B4-BE49-F238E27FC236}">
              <a16:creationId xmlns:a16="http://schemas.microsoft.com/office/drawing/2014/main" id="{00000000-0008-0000-0700-0000B9120500}"/>
            </a:ext>
          </a:extLst>
        </xdr:cNvPr>
        <xdr:cNvSpPr>
          <a:spLocks noChangeArrowheads="1"/>
        </xdr:cNvSpPr>
      </xdr:nvSpPr>
      <xdr:spPr bwMode="auto">
        <a:xfrm>
          <a:off x="3124200" y="1371600"/>
          <a:ext cx="2657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xdr:row>
      <xdr:rowOff>180975</xdr:rowOff>
    </xdr:from>
    <xdr:to>
      <xdr:col>8</xdr:col>
      <xdr:colOff>0</xdr:colOff>
      <xdr:row>6</xdr:row>
      <xdr:rowOff>180975</xdr:rowOff>
    </xdr:to>
    <xdr:sp macro="" textlink="">
      <xdr:nvSpPr>
        <xdr:cNvPr id="332474" name="Rectangle 6">
          <a:extLst>
            <a:ext uri="{FF2B5EF4-FFF2-40B4-BE49-F238E27FC236}">
              <a16:creationId xmlns:a16="http://schemas.microsoft.com/office/drawing/2014/main" id="{00000000-0008-0000-0700-0000BA120500}"/>
            </a:ext>
          </a:extLst>
        </xdr:cNvPr>
        <xdr:cNvSpPr>
          <a:spLocks noChangeArrowheads="1"/>
        </xdr:cNvSpPr>
      </xdr:nvSpPr>
      <xdr:spPr bwMode="auto">
        <a:xfrm>
          <a:off x="3124200" y="1371600"/>
          <a:ext cx="2657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0</xdr:row>
      <xdr:rowOff>9525</xdr:rowOff>
    </xdr:from>
    <xdr:to>
      <xdr:col>1</xdr:col>
      <xdr:colOff>9525</xdr:colOff>
      <xdr:row>0</xdr:row>
      <xdr:rowOff>95250</xdr:rowOff>
    </xdr:to>
    <xdr:sp macro="" textlink="">
      <xdr:nvSpPr>
        <xdr:cNvPr id="332475" name="AutoShape 8">
          <a:extLst>
            <a:ext uri="{FF2B5EF4-FFF2-40B4-BE49-F238E27FC236}">
              <a16:creationId xmlns:a16="http://schemas.microsoft.com/office/drawing/2014/main" id="{00000000-0008-0000-0700-0000BB120500}"/>
            </a:ext>
          </a:extLst>
        </xdr:cNvPr>
        <xdr:cNvSpPr>
          <a:spLocks noChangeArrowheads="1"/>
        </xdr:cNvSpPr>
      </xdr:nvSpPr>
      <xdr:spPr bwMode="auto">
        <a:xfrm rot="10800000">
          <a:off x="114300" y="9525"/>
          <a:ext cx="76200"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0</xdr:colOff>
      <xdr:row>0</xdr:row>
      <xdr:rowOff>95250</xdr:rowOff>
    </xdr:to>
    <xdr:sp macro="" textlink="">
      <xdr:nvSpPr>
        <xdr:cNvPr id="7415" name="AutoShape 1">
          <a:extLst>
            <a:ext uri="{FF2B5EF4-FFF2-40B4-BE49-F238E27FC236}">
              <a16:creationId xmlns:a16="http://schemas.microsoft.com/office/drawing/2014/main" id="{00000000-0008-0000-0800-0000F71C0000}"/>
            </a:ext>
          </a:extLst>
        </xdr:cNvPr>
        <xdr:cNvSpPr>
          <a:spLocks noChangeArrowheads="1"/>
        </xdr:cNvSpPr>
      </xdr:nvSpPr>
      <xdr:spPr bwMode="auto">
        <a:xfrm rot="10800000">
          <a:off x="28575" y="9525"/>
          <a:ext cx="152400" cy="85725"/>
        </a:xfrm>
        <a:prstGeom prst="rtTriangle">
          <a:avLst/>
        </a:prstGeom>
        <a:solidFill>
          <a:srgbClr val="000000"/>
        </a:solidFill>
        <a:ln w="9525">
          <a:solidFill>
            <a:srgbClr val="000000"/>
          </a:solidFill>
          <a:miter lim="800000"/>
          <a:headEnd/>
          <a:tailEnd/>
        </a:ln>
      </xdr:spPr>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0</xdr:colOff>
      <xdr:row>0</xdr:row>
      <xdr:rowOff>95250</xdr:rowOff>
    </xdr:to>
    <xdr:sp macro="" textlink="">
      <xdr:nvSpPr>
        <xdr:cNvPr id="9464" name="AutoShape 1">
          <a:extLst>
            <a:ext uri="{FF2B5EF4-FFF2-40B4-BE49-F238E27FC236}">
              <a16:creationId xmlns:a16="http://schemas.microsoft.com/office/drawing/2014/main" id="{00000000-0008-0000-0900-0000F8240000}"/>
            </a:ext>
          </a:extLst>
        </xdr:cNvPr>
        <xdr:cNvSpPr>
          <a:spLocks noChangeArrowheads="1"/>
        </xdr:cNvSpPr>
      </xdr:nvSpPr>
      <xdr:spPr bwMode="auto">
        <a:xfrm rot="10800000">
          <a:off x="28575" y="9525"/>
          <a:ext cx="123825" cy="85725"/>
        </a:xfrm>
        <a:prstGeom prst="rtTriangle">
          <a:avLst/>
        </a:prstGeom>
        <a:solidFill>
          <a:srgbClr val="000000"/>
        </a:solidFill>
        <a:ln w="9525">
          <a:solidFill>
            <a:srgbClr val="000000"/>
          </a:solidFill>
          <a:miter lim="800000"/>
          <a:headEnd/>
          <a:tailEnd/>
        </a:ln>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sp%208%20Lehr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l-z105-lb-1\hd-lladaten\02%20Betriebslehre%20-%20FSL\02%20Betriebslehre%20-%203FSL\55%20excel-rechenmodelle\04%20investition%20und%20finanzierung\tilgungsplan\tilgungsmethoden%20v.28.04.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z005-lb\hd1-lla-imst\13%20FSE\02%20MEI%20Kurs\abschlusspr&#252;fung\uebsp%202006%20---%20le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HARAS~1\AppData\Local\Temp\meiprfg%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
      <sheetName val="Angaben"/>
      <sheetName val="GB"/>
      <sheetName val="Ist"/>
      <sheetName val="PlanI"/>
      <sheetName val="PlanII"/>
      <sheetName val="Milch"/>
      <sheetName val="MuKu"/>
      <sheetName val="WD.ILeist"/>
      <sheetName val="ILeist"/>
      <sheetName val="Jog"/>
      <sheetName val="MKK1"/>
      <sheetName val="MKK2"/>
      <sheetName val="FK"/>
      <sheetName val="UV"/>
      <sheetName val="AV"/>
      <sheetName val="2NGeb"/>
      <sheetName val="Geb"/>
      <sheetName val="A-Text"/>
      <sheetName val="GBA"/>
      <sheetName val="Annuitätentabelle"/>
      <sheetName val="E-ErgInt"/>
      <sheetName val="E-Plan II"/>
      <sheetName val="E-Fin II"/>
      <sheetName val="E-Plan I"/>
      <sheetName val="E-Fin I"/>
      <sheetName val="E-Plan I (Vers)"/>
      <sheetName val="E-Fin I (Vers)"/>
      <sheetName val="E-Ist"/>
      <sheetName val="E-Milch"/>
      <sheetName val="E-MuKu"/>
      <sheetName val="E-ILeist"/>
      <sheetName val="E-WD.ILeist"/>
      <sheetName val="E-MKK1"/>
      <sheetName val="E-MKK2"/>
      <sheetName val="E-Jog"/>
      <sheetName val="E-FK"/>
      <sheetName val="E-UV"/>
      <sheetName val="E-AV"/>
      <sheetName val="E-2NGeb"/>
      <sheetName val="E-Geb"/>
    </sheetNames>
    <sheetDataSet>
      <sheetData sheetId="0">
        <row r="12">
          <cell r="E12">
            <v>2020</v>
          </cell>
        </row>
        <row r="113">
          <cell r="G113" t="str">
            <v>3.</v>
          </cell>
          <cell r="I113" t="str">
            <v>Wegerecht</v>
          </cell>
          <cell r="J113" t="str">
            <v>Weiderecht</v>
          </cell>
          <cell r="K113" t="str">
            <v>Weiderecht</v>
          </cell>
          <cell r="L113" t="str">
            <v>Weiderecht</v>
          </cell>
        </row>
        <row r="115">
          <cell r="G115" t="str">
            <v>4.</v>
          </cell>
          <cell r="I115" t="str">
            <v>Fischereirecht</v>
          </cell>
          <cell r="J115" t="str">
            <v>Fischereirecht</v>
          </cell>
          <cell r="K115" t="str">
            <v>Fischereirecht</v>
          </cell>
          <cell r="L115" t="str">
            <v>Fischereirecht</v>
          </cell>
        </row>
        <row r="117">
          <cell r="G117" t="str">
            <v>2.</v>
          </cell>
          <cell r="I117" t="str">
            <v>Holzbringungsrecht</v>
          </cell>
          <cell r="J117" t="str">
            <v>Wasserrecht</v>
          </cell>
          <cell r="K117" t="str">
            <v>Wasserrecht</v>
          </cell>
          <cell r="L117" t="str">
            <v>Wasserrecht</v>
          </cell>
        </row>
        <row r="119">
          <cell r="G119" t="str">
            <v>1.</v>
          </cell>
          <cell r="I119" t="str">
            <v>Weiderecht</v>
          </cell>
          <cell r="J119" t="str">
            <v>Wegerecht</v>
          </cell>
          <cell r="K119" t="str">
            <v>Wegerecht</v>
          </cell>
          <cell r="L119" t="str">
            <v>Wegerecht</v>
          </cell>
        </row>
        <row r="121">
          <cell r="G121" t="str">
            <v>5.</v>
          </cell>
          <cell r="I121" t="str">
            <v>Feuerwehrzone</v>
          </cell>
          <cell r="J121" t="str">
            <v>Holzbringungsrecht</v>
          </cell>
          <cell r="K121" t="str">
            <v>Holzbringungsrecht</v>
          </cell>
          <cell r="L121" t="str">
            <v>Holzbringungsrecht</v>
          </cell>
        </row>
        <row r="123">
          <cell r="G123" t="str">
            <v>6.</v>
          </cell>
          <cell r="I123" t="str">
            <v>Nutzungsrecht</v>
          </cell>
          <cell r="J123" t="str">
            <v>Fruchtgenussrecht</v>
          </cell>
          <cell r="K123" t="str">
            <v>Fruchtgenussrecht</v>
          </cell>
          <cell r="L123" t="str">
            <v>Fruchtgenussrecht</v>
          </cell>
        </row>
        <row r="128">
          <cell r="B128" t="str">
            <v>5.</v>
          </cell>
          <cell r="C128" t="str">
            <v>Nutzungsrecht</v>
          </cell>
        </row>
        <row r="130">
          <cell r="B130" t="str">
            <v>8.</v>
          </cell>
          <cell r="C130" t="str">
            <v>Weiderecht</v>
          </cell>
        </row>
        <row r="132">
          <cell r="B132" t="str">
            <v>11.</v>
          </cell>
          <cell r="C132" t="str">
            <v>Immissionsverbot</v>
          </cell>
        </row>
        <row r="134">
          <cell r="B134" t="str">
            <v>15.</v>
          </cell>
          <cell r="C134" t="str">
            <v>Fischereirecht</v>
          </cell>
        </row>
        <row r="136">
          <cell r="B136" t="str">
            <v>1.</v>
          </cell>
          <cell r="C136" t="str">
            <v>Pfandrecht</v>
          </cell>
        </row>
        <row r="138">
          <cell r="B138" t="str">
            <v>6.</v>
          </cell>
          <cell r="C138" t="str">
            <v>Wiederkaufsrecht</v>
          </cell>
        </row>
        <row r="140">
          <cell r="B140" t="str">
            <v>7.</v>
          </cell>
          <cell r="C140" t="str">
            <v>Belastungsverbot</v>
          </cell>
        </row>
        <row r="142">
          <cell r="B142" t="str">
            <v>2.</v>
          </cell>
          <cell r="C142" t="str">
            <v>Wohnungsrecht</v>
          </cell>
        </row>
        <row r="144">
          <cell r="B144" t="str">
            <v>9.</v>
          </cell>
          <cell r="C144" t="str">
            <v>Veräußerungsverbot</v>
          </cell>
        </row>
        <row r="146">
          <cell r="B146" t="str">
            <v>10.</v>
          </cell>
          <cell r="C146" t="str">
            <v>Wegerecht</v>
          </cell>
        </row>
        <row r="148">
          <cell r="B148" t="str">
            <v>4.</v>
          </cell>
          <cell r="C148" t="str">
            <v>Fruchtgenussrecht</v>
          </cell>
        </row>
        <row r="150">
          <cell r="B150" t="str">
            <v>12.</v>
          </cell>
          <cell r="C150" t="str">
            <v>Holzbringungsrecht</v>
          </cell>
        </row>
        <row r="152">
          <cell r="B152" t="str">
            <v>13.</v>
          </cell>
          <cell r="C152" t="str">
            <v>Duldung eines Handymasten</v>
          </cell>
        </row>
        <row r="154">
          <cell r="B154" t="str">
            <v>14.</v>
          </cell>
          <cell r="C154" t="str">
            <v>Belastungs- und Veräußerungsverbot</v>
          </cell>
        </row>
        <row r="156">
          <cell r="B156" t="str">
            <v>3.</v>
          </cell>
          <cell r="C156" t="str">
            <v>Vorkaufsrecht</v>
          </cell>
        </row>
        <row r="158">
          <cell r="B158" t="str">
            <v>16.</v>
          </cell>
          <cell r="C158" t="str">
            <v>Anschlusspflicht</v>
          </cell>
        </row>
        <row r="160">
          <cell r="B160" t="str">
            <v>17.</v>
          </cell>
          <cell r="C160" t="str">
            <v>Wasserrecht</v>
          </cell>
        </row>
        <row r="181">
          <cell r="E181">
            <v>2017</v>
          </cell>
        </row>
        <row r="182">
          <cell r="E182">
            <v>2018</v>
          </cell>
        </row>
        <row r="183">
          <cell r="E183">
            <v>2019</v>
          </cell>
        </row>
        <row r="184">
          <cell r="E184">
            <v>2020</v>
          </cell>
        </row>
        <row r="185">
          <cell r="E185">
            <v>2021</v>
          </cell>
        </row>
        <row r="186">
          <cell r="E186">
            <v>2022</v>
          </cell>
        </row>
        <row r="187">
          <cell r="E187">
            <v>2023</v>
          </cell>
        </row>
      </sheetData>
      <sheetData sheetId="1"/>
      <sheetData sheetId="2">
        <row r="198">
          <cell r="C198">
            <v>1</v>
          </cell>
          <cell r="G198" t="str">
            <v>Baufl. (Gebäude)</v>
          </cell>
          <cell r="I198" t="str">
            <v>a</v>
          </cell>
          <cell r="M198" t="str">
            <v>Anschlusspflicht</v>
          </cell>
        </row>
        <row r="199">
          <cell r="C199">
            <v>2</v>
          </cell>
          <cell r="G199" t="str">
            <v>Baufl. (unbebaut)</v>
          </cell>
          <cell r="I199" t="str">
            <v>b</v>
          </cell>
          <cell r="M199" t="str">
            <v>Belastungs- und Veräußerungsverbot</v>
          </cell>
          <cell r="U199" t="str">
            <v>KG – Arzl im Pitztal</v>
          </cell>
          <cell r="V199">
            <v>80001</v>
          </cell>
          <cell r="W199" t="str">
            <v>BEZIRKSGERICHT Imst</v>
          </cell>
          <cell r="Y199" t="str">
            <v>Ab- und Zuschreibung</v>
          </cell>
          <cell r="Z199" t="str">
            <v>Ab- und Zuschreibung gem. Grundzusammenlegungsverfahren der KG – Pians</v>
          </cell>
        </row>
        <row r="200">
          <cell r="C200">
            <v>3</v>
          </cell>
          <cell r="G200" t="str">
            <v>Baufl. (begrünt)</v>
          </cell>
          <cell r="I200" t="str">
            <v>c</v>
          </cell>
          <cell r="M200" t="str">
            <v>Belastungsverbot</v>
          </cell>
          <cell r="U200" t="str">
            <v>KG – Imst</v>
          </cell>
          <cell r="V200">
            <v>80002</v>
          </cell>
          <cell r="W200" t="str">
            <v>BEZIRKSGERICHT Imst</v>
          </cell>
          <cell r="Y200" t="str">
            <v>Feuerwehrzone</v>
          </cell>
          <cell r="Z200" t="str">
            <v>Feuerwehrzone Volksschule Pians</v>
          </cell>
        </row>
        <row r="201">
          <cell r="C201">
            <v>4</v>
          </cell>
          <cell r="G201" t="str">
            <v>Garten</v>
          </cell>
          <cell r="I201" t="str">
            <v>d</v>
          </cell>
          <cell r="M201" t="str">
            <v>Dienstbarkeit Der Duldung Einer Elektrischen Hochspannungsleitung</v>
          </cell>
          <cell r="U201" t="str">
            <v>KG – Imsterberg</v>
          </cell>
          <cell r="V201">
            <v>80003</v>
          </cell>
          <cell r="W201" t="str">
            <v>BEZIRKSGERICHT Imst</v>
          </cell>
          <cell r="Y201" t="str">
            <v>Fischereirecht</v>
          </cell>
          <cell r="Z201" t="str">
            <v>Grunddienstbarkeit des Rechtes der FISCHEREI und des FISCHFANGS</v>
          </cell>
          <cell r="AB201" t="str">
            <v>an</v>
          </cell>
        </row>
        <row r="202">
          <cell r="C202">
            <v>5</v>
          </cell>
          <cell r="G202" t="str">
            <v>Gewässer (Bach)</v>
          </cell>
          <cell r="I202" t="str">
            <v>e</v>
          </cell>
          <cell r="M202" t="str">
            <v>Duldung eines Handymasten</v>
          </cell>
          <cell r="U202" t="str">
            <v>KG – Jerzens</v>
          </cell>
          <cell r="V202">
            <v>80004</v>
          </cell>
          <cell r="W202" t="str">
            <v>BEZIRKSGERICHT Imst</v>
          </cell>
          <cell r="Y202" t="str">
            <v>Fruchtgenussrecht</v>
          </cell>
        </row>
        <row r="203">
          <cell r="C203">
            <v>6</v>
          </cell>
          <cell r="G203" t="str">
            <v>Gewässer (Fluss)</v>
          </cell>
          <cell r="I203" t="str">
            <v>f</v>
          </cell>
          <cell r="M203" t="str">
            <v>Fischereirecht</v>
          </cell>
          <cell r="U203" t="str">
            <v>KG – Karres</v>
          </cell>
          <cell r="V203">
            <v>80005</v>
          </cell>
          <cell r="W203" t="str">
            <v>BEZIRKSGERICHT Imst</v>
          </cell>
          <cell r="Y203" t="str">
            <v>Gendarmeriezone</v>
          </cell>
        </row>
        <row r="204">
          <cell r="C204">
            <v>7</v>
          </cell>
          <cell r="G204" t="str">
            <v>Gewässer (See)</v>
          </cell>
          <cell r="I204" t="str">
            <v>g</v>
          </cell>
          <cell r="M204" t="str">
            <v>Fruchtgenussrecht</v>
          </cell>
          <cell r="U204" t="str">
            <v>KG – Karrösten</v>
          </cell>
          <cell r="V204">
            <v>80006</v>
          </cell>
          <cell r="W204" t="str">
            <v>BEZIRKSGERICHT Imst</v>
          </cell>
          <cell r="Y204" t="str">
            <v>Holzbringungsrecht</v>
          </cell>
        </row>
        <row r="205">
          <cell r="C205">
            <v>8</v>
          </cell>
          <cell r="G205" t="str">
            <v>Gewässer (Teich)</v>
          </cell>
          <cell r="I205" t="str">
            <v>h</v>
          </cell>
          <cell r="M205" t="str">
            <v>Holzbringungsrecht</v>
          </cell>
          <cell r="U205" t="str">
            <v>KG – Mils bei Imst</v>
          </cell>
          <cell r="V205">
            <v>80007</v>
          </cell>
          <cell r="W205" t="str">
            <v>BEZIRKSGERICHT Imst</v>
          </cell>
          <cell r="Y205" t="str">
            <v>Löschung von Grundstücken</v>
          </cell>
        </row>
        <row r="206">
          <cell r="C206">
            <v>9</v>
          </cell>
          <cell r="G206" t="str">
            <v>GST-Fläche</v>
          </cell>
          <cell r="I206" t="str">
            <v>i</v>
          </cell>
          <cell r="M206" t="str">
            <v>Immissionsverbot</v>
          </cell>
          <cell r="U206" t="str">
            <v>KG – Nassereith</v>
          </cell>
          <cell r="V206">
            <v>80008</v>
          </cell>
          <cell r="W206" t="str">
            <v>BEZIRKSGERICHT Imst</v>
          </cell>
          <cell r="Y206" t="str">
            <v>Notarztzone</v>
          </cell>
        </row>
        <row r="207">
          <cell r="C207">
            <v>10</v>
          </cell>
          <cell r="G207" t="str">
            <v>Landw. Genutzt</v>
          </cell>
          <cell r="I207" t="str">
            <v>j</v>
          </cell>
          <cell r="M207" t="str">
            <v>Pfandrecht</v>
          </cell>
          <cell r="U207" t="str">
            <v>KG – Pitztal</v>
          </cell>
          <cell r="V207">
            <v>80009</v>
          </cell>
          <cell r="W207" t="str">
            <v>BEZIRKSGERICHT Imst</v>
          </cell>
          <cell r="Y207" t="str">
            <v>Nutzungsrecht</v>
          </cell>
        </row>
        <row r="208">
          <cell r="C208">
            <v>11</v>
          </cell>
          <cell r="G208" t="str">
            <v>Obstanlage</v>
          </cell>
          <cell r="I208" t="str">
            <v>k</v>
          </cell>
          <cell r="M208" t="str">
            <v>Veräußerungsverbot</v>
          </cell>
          <cell r="U208" t="str">
            <v>KG – Tarrenz</v>
          </cell>
          <cell r="V208">
            <v>80010</v>
          </cell>
          <cell r="W208" t="str">
            <v>BEZIRKSGERICHT Imst</v>
          </cell>
          <cell r="Y208" t="str">
            <v>Sicherheitszone</v>
          </cell>
        </row>
        <row r="209">
          <cell r="C209">
            <v>12</v>
          </cell>
          <cell r="G209" t="str">
            <v>Sonstige (Grünstreifen)</v>
          </cell>
          <cell r="I209" t="str">
            <v>l</v>
          </cell>
          <cell r="M209" t="str">
            <v>Vorkaufsrecht</v>
          </cell>
          <cell r="U209" t="str">
            <v>KG – Wenns</v>
          </cell>
          <cell r="V209">
            <v>80011</v>
          </cell>
          <cell r="W209" t="str">
            <v>BEZIRKSGERICHT Imst</v>
          </cell>
          <cell r="Y209" t="str">
            <v>Wasserecht</v>
          </cell>
        </row>
        <row r="210">
          <cell r="C210">
            <v>13</v>
          </cell>
          <cell r="G210" t="str">
            <v>Sonstige (Straße)</v>
          </cell>
          <cell r="I210" t="str">
            <v>m</v>
          </cell>
          <cell r="M210" t="str">
            <v>Wasserrecht</v>
          </cell>
          <cell r="U210" t="str">
            <v>KG – Haiming</v>
          </cell>
          <cell r="V210">
            <v>80101</v>
          </cell>
          <cell r="W210" t="str">
            <v>BEZIRKSGERICHT Imst</v>
          </cell>
          <cell r="Y210" t="str">
            <v>Wasserrecht</v>
          </cell>
        </row>
        <row r="211">
          <cell r="C211">
            <v>14</v>
          </cell>
          <cell r="G211" t="str">
            <v>Sonstige (Weg)</v>
          </cell>
          <cell r="I211" t="str">
            <v>n</v>
          </cell>
          <cell r="M211" t="str">
            <v>Wegerecht</v>
          </cell>
          <cell r="U211" t="str">
            <v>KG – Längenfeld</v>
          </cell>
          <cell r="V211">
            <v>80102</v>
          </cell>
          <cell r="W211" t="str">
            <v>BEZIRKSGERICHT Imst</v>
          </cell>
          <cell r="Y211" t="str">
            <v>Wegerecht</v>
          </cell>
        </row>
        <row r="212">
          <cell r="C212">
            <v>15</v>
          </cell>
          <cell r="G212" t="str">
            <v>Sonstige (Windschutzgürtel)</v>
          </cell>
          <cell r="I212" t="str">
            <v>o</v>
          </cell>
          <cell r="M212" t="str">
            <v>Weiderecht</v>
          </cell>
          <cell r="U212" t="str">
            <v>KG – Mieming</v>
          </cell>
          <cell r="V212">
            <v>80103</v>
          </cell>
          <cell r="W212" t="str">
            <v>BEZIRKSGERICHT Imst</v>
          </cell>
          <cell r="Y212" t="str">
            <v>Wegerecht</v>
          </cell>
        </row>
        <row r="213">
          <cell r="C213">
            <v>16</v>
          </cell>
          <cell r="G213" t="str">
            <v>Sonstige (Zufahrt)</v>
          </cell>
          <cell r="I213" t="str">
            <v>p</v>
          </cell>
          <cell r="M213" t="str">
            <v>Wiederkaufsrecht</v>
          </cell>
          <cell r="U213" t="str">
            <v>KG – Obsteig</v>
          </cell>
          <cell r="V213">
            <v>80104</v>
          </cell>
          <cell r="W213" t="str">
            <v>BEZIRKSGERICHT Imst</v>
          </cell>
          <cell r="Y213" t="str">
            <v>Wegerecht</v>
          </cell>
        </row>
        <row r="214">
          <cell r="C214">
            <v>17</v>
          </cell>
          <cell r="G214" t="str">
            <v>Weingarten</v>
          </cell>
          <cell r="I214" t="str">
            <v>q</v>
          </cell>
          <cell r="M214" t="str">
            <v>Wohnungsrecht</v>
          </cell>
          <cell r="U214" t="str">
            <v>KG – Oetz</v>
          </cell>
          <cell r="V214">
            <v>80105</v>
          </cell>
          <cell r="W214" t="str">
            <v>BEZIRKSGERICHT Imst</v>
          </cell>
          <cell r="Y214" t="str">
            <v>Weiderecht</v>
          </cell>
        </row>
        <row r="215">
          <cell r="C215">
            <v>18</v>
          </cell>
          <cell r="G215" t="str">
            <v>Wald</v>
          </cell>
          <cell r="I215" t="str">
            <v>r</v>
          </cell>
          <cell r="M215" t="str">
            <v>Nutzungsrecht</v>
          </cell>
          <cell r="U215" t="str">
            <v>KG – Rietz</v>
          </cell>
          <cell r="V215">
            <v>80106</v>
          </cell>
          <cell r="W215" t="str">
            <v>BEZIRKSGERICHT Imst</v>
          </cell>
        </row>
        <row r="216">
          <cell r="C216">
            <v>19</v>
          </cell>
          <cell r="I216" t="str">
            <v>s</v>
          </cell>
          <cell r="U216" t="str">
            <v>KG – Roppen</v>
          </cell>
          <cell r="V216">
            <v>80107</v>
          </cell>
          <cell r="W216" t="str">
            <v>BEZIRKSGERICHT Imst</v>
          </cell>
        </row>
        <row r="217">
          <cell r="C217">
            <v>20</v>
          </cell>
          <cell r="I217" t="str">
            <v>t</v>
          </cell>
          <cell r="U217" t="str">
            <v>KG – Sautens</v>
          </cell>
          <cell r="V217">
            <v>80108</v>
          </cell>
          <cell r="W217" t="str">
            <v>BEZIRKSGERICHT Imst</v>
          </cell>
        </row>
        <row r="218">
          <cell r="I218" t="str">
            <v>u</v>
          </cell>
          <cell r="U218" t="str">
            <v>KG – Silz</v>
          </cell>
          <cell r="V218">
            <v>80109</v>
          </cell>
          <cell r="W218" t="str">
            <v>BEZIRKSGERICHT Imst</v>
          </cell>
        </row>
        <row r="219">
          <cell r="I219" t="str">
            <v>v</v>
          </cell>
          <cell r="U219" t="str">
            <v>KG – Sölden</v>
          </cell>
          <cell r="V219">
            <v>80110</v>
          </cell>
          <cell r="W219" t="str">
            <v>BEZIRKSGERICHT Imst</v>
          </cell>
        </row>
        <row r="220">
          <cell r="I220" t="str">
            <v>w</v>
          </cell>
          <cell r="U220" t="str">
            <v>KG – Stams</v>
          </cell>
          <cell r="V220">
            <v>80111</v>
          </cell>
          <cell r="W220" t="str">
            <v>BEZIRKSGERICHT Imst</v>
          </cell>
        </row>
        <row r="221">
          <cell r="I221" t="str">
            <v>x</v>
          </cell>
          <cell r="U221" t="str">
            <v>KG – Umhausen</v>
          </cell>
          <cell r="V221">
            <v>80112</v>
          </cell>
          <cell r="W221" t="str">
            <v>BEZIRKSGERICHT Imst</v>
          </cell>
        </row>
        <row r="222">
          <cell r="I222" t="str">
            <v>y</v>
          </cell>
          <cell r="U222" t="str">
            <v>KG – Mötz</v>
          </cell>
          <cell r="V222">
            <v>80113</v>
          </cell>
          <cell r="W222" t="str">
            <v>BEZIRKSGERICHT Imst</v>
          </cell>
        </row>
        <row r="223">
          <cell r="I223" t="str">
            <v>z</v>
          </cell>
          <cell r="U223" t="str">
            <v>KG – Fließ</v>
          </cell>
          <cell r="V223">
            <v>84001</v>
          </cell>
          <cell r="W223" t="str">
            <v>BEZIRKSGERICHT Landeck</v>
          </cell>
        </row>
        <row r="224">
          <cell r="U224" t="str">
            <v>KG – Flirsch</v>
          </cell>
          <cell r="V224">
            <v>84002</v>
          </cell>
          <cell r="W224" t="str">
            <v>BEZIRKSGERICHT Landeck</v>
          </cell>
        </row>
        <row r="225">
          <cell r="U225" t="str">
            <v>KG – Galtür</v>
          </cell>
          <cell r="V225">
            <v>84003</v>
          </cell>
          <cell r="W225" t="str">
            <v>BEZIRKSGERICHT Landeck</v>
          </cell>
        </row>
        <row r="226">
          <cell r="U226" t="str">
            <v>KG – Grins</v>
          </cell>
          <cell r="V226">
            <v>84004</v>
          </cell>
          <cell r="W226" t="str">
            <v>BEZIRKSGERICHT Landeck</v>
          </cell>
        </row>
        <row r="227">
          <cell r="U227" t="str">
            <v>KG – Ischgl</v>
          </cell>
          <cell r="V227">
            <v>84005</v>
          </cell>
          <cell r="W227" t="str">
            <v>BEZIRKSGERICHT Landeck</v>
          </cell>
        </row>
        <row r="228">
          <cell r="U228" t="str">
            <v>KG – Kappl</v>
          </cell>
          <cell r="V228">
            <v>84006</v>
          </cell>
          <cell r="W228" t="str">
            <v>BEZIRKSGERICHT Landeck</v>
          </cell>
        </row>
        <row r="229">
          <cell r="U229" t="str">
            <v>KG – Landeck</v>
          </cell>
          <cell r="V229">
            <v>84007</v>
          </cell>
          <cell r="W229" t="str">
            <v>BEZIRKSGERICHT Landeck</v>
          </cell>
        </row>
        <row r="230">
          <cell r="U230" t="str">
            <v>KG – Pettneu</v>
          </cell>
          <cell r="V230">
            <v>84008</v>
          </cell>
          <cell r="W230" t="str">
            <v>BEZIRKSGERICHT Landeck</v>
          </cell>
        </row>
        <row r="231">
          <cell r="U231" t="str">
            <v>KG – Pians</v>
          </cell>
          <cell r="V231">
            <v>84009</v>
          </cell>
          <cell r="W231" t="str">
            <v>BEZIRKSGERICHT Landeck</v>
          </cell>
        </row>
        <row r="232">
          <cell r="U232" t="str">
            <v>KG – St. Anton</v>
          </cell>
          <cell r="V232">
            <v>84010</v>
          </cell>
          <cell r="W232" t="str">
            <v>BEZIRKSGERICHT Landeck</v>
          </cell>
        </row>
        <row r="233">
          <cell r="U233" t="str">
            <v>KG – Schönwies</v>
          </cell>
          <cell r="V233">
            <v>84011</v>
          </cell>
          <cell r="W233" t="str">
            <v>BEZIRKSGERICHT Landeck</v>
          </cell>
        </row>
        <row r="234">
          <cell r="U234" t="str">
            <v>KG – See</v>
          </cell>
          <cell r="V234">
            <v>84012</v>
          </cell>
          <cell r="W234" t="str">
            <v>BEZIRKSGERICHT Landeck</v>
          </cell>
        </row>
        <row r="235">
          <cell r="U235" t="str">
            <v>KG – Stanz</v>
          </cell>
          <cell r="V235">
            <v>84013</v>
          </cell>
          <cell r="W235" t="str">
            <v>BEZIRKSGERICHT Landeck</v>
          </cell>
        </row>
        <row r="236">
          <cell r="U236" t="str">
            <v>KG – Strengen</v>
          </cell>
          <cell r="V236">
            <v>84014</v>
          </cell>
          <cell r="W236" t="str">
            <v>BEZIRKSGERICHT Landeck</v>
          </cell>
        </row>
        <row r="237">
          <cell r="U237" t="str">
            <v>KG – Zams</v>
          </cell>
          <cell r="V237">
            <v>84015</v>
          </cell>
          <cell r="W237" t="str">
            <v>BEZIRKSGERICHT Landeck</v>
          </cell>
        </row>
        <row r="238">
          <cell r="U238" t="str">
            <v>KG – Zamserberg</v>
          </cell>
          <cell r="V238">
            <v>84016</v>
          </cell>
          <cell r="W238" t="str">
            <v>BEZIRKSGERICHT Landeck</v>
          </cell>
        </row>
        <row r="239">
          <cell r="U239" t="str">
            <v>KG – Tobadill</v>
          </cell>
          <cell r="V239">
            <v>84017</v>
          </cell>
          <cell r="W239" t="str">
            <v>BEZIRKSGERICHT Landeck</v>
          </cell>
        </row>
        <row r="240">
          <cell r="U240" t="str">
            <v>KG – Faggen</v>
          </cell>
          <cell r="V240">
            <v>84101</v>
          </cell>
          <cell r="W240" t="str">
            <v>BEZIRKSGERICHT Landeck</v>
          </cell>
        </row>
        <row r="241">
          <cell r="U241" t="str">
            <v>KG – Fendels</v>
          </cell>
          <cell r="V241">
            <v>84102</v>
          </cell>
          <cell r="W241" t="str">
            <v>BEZIRKSGERICHT Landeck</v>
          </cell>
        </row>
        <row r="242">
          <cell r="U242" t="str">
            <v>KG – Fiss</v>
          </cell>
          <cell r="V242">
            <v>84103</v>
          </cell>
          <cell r="W242" t="str">
            <v>BEZIRKSGERICHT Landeck</v>
          </cell>
        </row>
        <row r="243">
          <cell r="U243" t="str">
            <v>KG – Kauns</v>
          </cell>
          <cell r="V243">
            <v>84104</v>
          </cell>
          <cell r="W243" t="str">
            <v>BEZIRKSGERICHT Landeck</v>
          </cell>
        </row>
        <row r="244">
          <cell r="U244" t="str">
            <v>KG – Kaunerberg</v>
          </cell>
          <cell r="V244">
            <v>84105</v>
          </cell>
          <cell r="W244" t="str">
            <v>BEZIRKSGERICHT Landeck</v>
          </cell>
        </row>
        <row r="245">
          <cell r="U245" t="str">
            <v>KG – Kaunertal</v>
          </cell>
          <cell r="V245">
            <v>84106</v>
          </cell>
          <cell r="W245" t="str">
            <v>BEZIRKSGERICHT Landeck</v>
          </cell>
        </row>
        <row r="246">
          <cell r="U246" t="str">
            <v>KG – Ladis</v>
          </cell>
          <cell r="V246">
            <v>84107</v>
          </cell>
          <cell r="W246" t="str">
            <v>BEZIRKSGERICHT Landeck</v>
          </cell>
        </row>
        <row r="247">
          <cell r="U247" t="str">
            <v>KG – Nauders I</v>
          </cell>
          <cell r="V247">
            <v>84108</v>
          </cell>
          <cell r="W247" t="str">
            <v>BEZIRKSGERICHT Landeck</v>
          </cell>
        </row>
        <row r="248">
          <cell r="U248" t="str">
            <v>KG – Nauders II Noggels</v>
          </cell>
          <cell r="V248">
            <v>84109</v>
          </cell>
          <cell r="W248" t="str">
            <v>BEZIRKSGERICHT Landeck</v>
          </cell>
        </row>
        <row r="249">
          <cell r="U249" t="str">
            <v>KG – Pfunds</v>
          </cell>
          <cell r="V249">
            <v>84110</v>
          </cell>
          <cell r="W249" t="str">
            <v>BEZIRKSGERICHT Landeck</v>
          </cell>
        </row>
        <row r="250">
          <cell r="U250" t="str">
            <v>KG – Prutz</v>
          </cell>
          <cell r="V250">
            <v>84111</v>
          </cell>
          <cell r="W250" t="str">
            <v>BEZIRKSGERICHT Landeck</v>
          </cell>
        </row>
        <row r="251">
          <cell r="U251" t="str">
            <v>KG – Ried im Oberinntal</v>
          </cell>
          <cell r="V251">
            <v>84112</v>
          </cell>
          <cell r="W251" t="str">
            <v>BEZIRKSGERICHT Landeck</v>
          </cell>
        </row>
        <row r="252">
          <cell r="U252" t="str">
            <v>KG – Serfaus</v>
          </cell>
          <cell r="V252">
            <v>84113</v>
          </cell>
          <cell r="W252" t="str">
            <v>BEZIRKSGERICHT Landeck</v>
          </cell>
        </row>
        <row r="253">
          <cell r="U253" t="str">
            <v>KG – Spiss</v>
          </cell>
          <cell r="V253">
            <v>84114</v>
          </cell>
          <cell r="W253" t="str">
            <v>BEZIRKSGERICHT Landeck</v>
          </cell>
        </row>
        <row r="254">
          <cell r="U254" t="str">
            <v>KG – Tösens</v>
          </cell>
          <cell r="V254">
            <v>84115</v>
          </cell>
          <cell r="W254" t="str">
            <v>BEZIRKSGERICHT Landeck</v>
          </cell>
        </row>
      </sheetData>
      <sheetData sheetId="3">
        <row r="13">
          <cell r="B13" t="str">
            <v>DB</v>
          </cell>
          <cell r="D13" t="str">
            <v>Milchkuh</v>
          </cell>
          <cell r="G13">
            <v>6</v>
          </cell>
          <cell r="K13">
            <v>1768.4</v>
          </cell>
          <cell r="M13">
            <v>17372</v>
          </cell>
          <cell r="O13">
            <v>316.7</v>
          </cell>
        </row>
        <row r="15">
          <cell r="B15" t="str">
            <v>DB</v>
          </cell>
          <cell r="D15" t="str">
            <v>Kalbinnen</v>
          </cell>
          <cell r="G15">
            <v>3</v>
          </cell>
          <cell r="K15">
            <v>726.3</v>
          </cell>
          <cell r="M15">
            <v>26505</v>
          </cell>
          <cell r="O15">
            <v>55.8</v>
          </cell>
        </row>
        <row r="17">
          <cell r="B17" t="str">
            <v>DB</v>
          </cell>
          <cell r="D17" t="str">
            <v>Kartoffel</v>
          </cell>
          <cell r="G17">
            <v>1</v>
          </cell>
          <cell r="K17">
            <v>837</v>
          </cell>
          <cell r="M17">
            <v>0</v>
          </cell>
          <cell r="O17">
            <v>79.099999999999994</v>
          </cell>
        </row>
        <row r="19">
          <cell r="B19" t="str">
            <v>DB</v>
          </cell>
        </row>
        <row r="21">
          <cell r="B21" t="str">
            <v>DB</v>
          </cell>
        </row>
        <row r="23">
          <cell r="B23" t="str">
            <v>DB</v>
          </cell>
          <cell r="K23" t="str">
            <v/>
          </cell>
          <cell r="M23" t="str">
            <v/>
          </cell>
          <cell r="O23" t="str">
            <v/>
          </cell>
        </row>
        <row r="25">
          <cell r="B25" t="str">
            <v>DB</v>
          </cell>
          <cell r="K25" t="str">
            <v/>
          </cell>
          <cell r="M25" t="str">
            <v/>
          </cell>
          <cell r="O25" t="str">
            <v/>
          </cell>
        </row>
        <row r="27">
          <cell r="B27" t="str">
            <v>VK</v>
          </cell>
          <cell r="D27" t="str">
            <v>Feldfutter - Heu</v>
          </cell>
          <cell r="G27">
            <v>0.4</v>
          </cell>
          <cell r="K27">
            <v>831.3</v>
          </cell>
          <cell r="M27">
            <v>58242</v>
          </cell>
          <cell r="O27">
            <v>43.9</v>
          </cell>
        </row>
        <row r="29">
          <cell r="B29" t="str">
            <v>VK</v>
          </cell>
          <cell r="D29" t="str">
            <v>Dauergrünland 3-schnittig</v>
          </cell>
          <cell r="G29">
            <v>3.5</v>
          </cell>
          <cell r="K29">
            <v>1522</v>
          </cell>
          <cell r="M29">
            <v>54041</v>
          </cell>
          <cell r="O29">
            <v>91.2</v>
          </cell>
        </row>
        <row r="31">
          <cell r="B31" t="str">
            <v>VK</v>
          </cell>
          <cell r="D31" t="str">
            <v>Dauergrünland 1-schnittig</v>
          </cell>
          <cell r="G31">
            <v>2</v>
          </cell>
          <cell r="K31">
            <v>198.9</v>
          </cell>
          <cell r="M31">
            <v>16279</v>
          </cell>
          <cell r="O31">
            <v>18.399999999999999</v>
          </cell>
        </row>
        <row r="33">
          <cell r="B33" t="str">
            <v>VK</v>
          </cell>
          <cell r="K33" t="str">
            <v/>
          </cell>
          <cell r="M33" t="str">
            <v/>
          </cell>
          <cell r="O33" t="str">
            <v/>
          </cell>
        </row>
        <row r="35">
          <cell r="B35" t="str">
            <v>VK</v>
          </cell>
          <cell r="K35" t="str">
            <v/>
          </cell>
          <cell r="M35" t="str">
            <v/>
          </cell>
          <cell r="O35" t="str">
            <v/>
          </cell>
        </row>
        <row r="37">
          <cell r="B37" t="str">
            <v>VK</v>
          </cell>
          <cell r="K37" t="str">
            <v/>
          </cell>
          <cell r="M37" t="str">
            <v/>
          </cell>
          <cell r="O37" t="str">
            <v/>
          </cell>
        </row>
        <row r="39">
          <cell r="D39" t="str">
            <v>Sonstige Arbeiten</v>
          </cell>
          <cell r="G39">
            <v>1</v>
          </cell>
          <cell r="K39" t="str">
            <v/>
          </cell>
          <cell r="M39" t="str">
            <v/>
          </cell>
          <cell r="O39">
            <v>433.5</v>
          </cell>
        </row>
        <row r="43">
          <cell r="B43" t="str">
            <v>Pachteinnahmen (1,5 ha Acker verpachtet)</v>
          </cell>
          <cell r="G43">
            <v>290</v>
          </cell>
          <cell r="O43">
            <v>-19200</v>
          </cell>
        </row>
        <row r="50">
          <cell r="B50" t="str">
            <v>Ausgleichszulage</v>
          </cell>
          <cell r="G50">
            <v>2310</v>
          </cell>
          <cell r="O50">
            <v>-2436</v>
          </cell>
        </row>
        <row r="52">
          <cell r="B52" t="str">
            <v>EBP</v>
          </cell>
          <cell r="G52">
            <v>1430</v>
          </cell>
        </row>
        <row r="54">
          <cell r="B54" t="str">
            <v>Tierprämien</v>
          </cell>
          <cell r="G54">
            <v>990</v>
          </cell>
        </row>
        <row r="56">
          <cell r="B56" t="str">
            <v>ÖPUL</v>
          </cell>
          <cell r="G56">
            <v>829</v>
          </cell>
        </row>
        <row r="66">
          <cell r="G66">
            <v>1960</v>
          </cell>
          <cell r="O66">
            <v>3408.2027962347738</v>
          </cell>
        </row>
        <row r="68">
          <cell r="G68">
            <v>30800</v>
          </cell>
        </row>
        <row r="73">
          <cell r="V73">
            <v>1</v>
          </cell>
          <cell r="W73">
            <v>2</v>
          </cell>
          <cell r="X73">
            <v>3</v>
          </cell>
          <cell r="Y73">
            <v>4</v>
          </cell>
          <cell r="Z73">
            <v>5</v>
          </cell>
          <cell r="AA73">
            <v>6</v>
          </cell>
          <cell r="AB73">
            <v>7</v>
          </cell>
          <cell r="AC73">
            <v>8</v>
          </cell>
          <cell r="AD73">
            <v>9</v>
          </cell>
          <cell r="AE73">
            <v>10</v>
          </cell>
        </row>
        <row r="77">
          <cell r="S77" t="str">
            <v>Milchkuh</v>
          </cell>
        </row>
        <row r="78">
          <cell r="S78" t="str">
            <v>Mutterkuh</v>
          </cell>
        </row>
        <row r="79">
          <cell r="S79" t="str">
            <v>Kalbinnen</v>
          </cell>
        </row>
        <row r="80">
          <cell r="S80" t="str">
            <v>Einstellermast</v>
          </cell>
        </row>
        <row r="81">
          <cell r="S81" t="str">
            <v>Milchkälber</v>
          </cell>
        </row>
        <row r="82">
          <cell r="S82" t="str">
            <v>Maststiere</v>
          </cell>
        </row>
        <row r="83">
          <cell r="S83" t="str">
            <v>Mastochsen</v>
          </cell>
        </row>
        <row r="84">
          <cell r="S84" t="str">
            <v>Mastschweine</v>
          </cell>
        </row>
        <row r="85">
          <cell r="S85" t="str">
            <v>Ferkel</v>
          </cell>
        </row>
        <row r="86">
          <cell r="S86" t="str">
            <v>Lämmer</v>
          </cell>
        </row>
        <row r="87">
          <cell r="S87" t="str">
            <v>Milchschafe</v>
          </cell>
        </row>
        <row r="88">
          <cell r="S88" t="str">
            <v>Masthühner</v>
          </cell>
        </row>
        <row r="89">
          <cell r="S89" t="str">
            <v>Legehennen</v>
          </cell>
        </row>
        <row r="90">
          <cell r="S90" t="str">
            <v>Kartoffel</v>
          </cell>
        </row>
        <row r="91">
          <cell r="S91" t="str">
            <v>Getreide</v>
          </cell>
        </row>
        <row r="92">
          <cell r="S92" t="str">
            <v>Weizen</v>
          </cell>
        </row>
        <row r="93">
          <cell r="S93" t="str">
            <v>Gerste</v>
          </cell>
        </row>
        <row r="94">
          <cell r="S94" t="str">
            <v>Roggen</v>
          </cell>
        </row>
        <row r="95">
          <cell r="S95" t="str">
            <v>Hafer</v>
          </cell>
        </row>
        <row r="96">
          <cell r="S96" t="str">
            <v>Triticale</v>
          </cell>
        </row>
        <row r="107">
          <cell r="S107" t="str">
            <v>Portionsweide</v>
          </cell>
        </row>
        <row r="108">
          <cell r="S108" t="str">
            <v>Umtriebsweide</v>
          </cell>
        </row>
        <row r="109">
          <cell r="S109" t="str">
            <v>Standardweide</v>
          </cell>
        </row>
        <row r="110">
          <cell r="S110" t="str">
            <v>Grünfutter 1-schnittig</v>
          </cell>
        </row>
        <row r="111">
          <cell r="S111" t="str">
            <v>Grünfutter 2-schnittig</v>
          </cell>
        </row>
        <row r="112">
          <cell r="S112" t="str">
            <v>Grünfutter 3-schnittig</v>
          </cell>
        </row>
        <row r="113">
          <cell r="S113" t="str">
            <v>Grünfutter 4-schnittig</v>
          </cell>
        </row>
        <row r="114">
          <cell r="S114" t="str">
            <v>Dauergrünland 1-schnittig</v>
          </cell>
        </row>
        <row r="115">
          <cell r="S115" t="str">
            <v>Dauergrünland 2-schnittig</v>
          </cell>
        </row>
        <row r="116">
          <cell r="S116" t="str">
            <v>Dauergrünland 3-schnittig</v>
          </cell>
        </row>
        <row r="117">
          <cell r="S117" t="str">
            <v>Dauergrünland 4-schnittig</v>
          </cell>
        </row>
        <row r="118">
          <cell r="S118" t="str">
            <v>Grassilage 1-schnittig</v>
          </cell>
        </row>
        <row r="119">
          <cell r="S119" t="str">
            <v>Grassilage 2-schnittig</v>
          </cell>
        </row>
        <row r="120">
          <cell r="S120" t="str">
            <v>Grassilage 3-schnittig</v>
          </cell>
        </row>
        <row r="121">
          <cell r="S121" t="str">
            <v>Grassilage 4-schnittig</v>
          </cell>
        </row>
        <row r="122">
          <cell r="S122" t="str">
            <v>Feldfutter - Grünfutter</v>
          </cell>
        </row>
        <row r="123">
          <cell r="S123" t="str">
            <v>Feldfutter - Heu</v>
          </cell>
        </row>
        <row r="124">
          <cell r="S124" t="str">
            <v>Feldfutter  - Silage</v>
          </cell>
        </row>
        <row r="125">
          <cell r="S125" t="str">
            <v>Maissilage</v>
          </cell>
        </row>
        <row r="126">
          <cell r="S126" t="str">
            <v>Grünmais</v>
          </cell>
        </row>
        <row r="127">
          <cell r="S127" t="str">
            <v>Futtergertreide</v>
          </cell>
        </row>
        <row r="131">
          <cell r="S131" t="str">
            <v>Sonstige Arbeiten</v>
          </cell>
        </row>
      </sheetData>
      <sheetData sheetId="4">
        <row r="15">
          <cell r="D15" t="str">
            <v>Neubau Wirtschaftsgebäude</v>
          </cell>
          <cell r="G15">
            <v>210000</v>
          </cell>
          <cell r="I15">
            <v>40</v>
          </cell>
          <cell r="M15" t="str">
            <v>Eigenkapital</v>
          </cell>
          <cell r="P15">
            <v>75000</v>
          </cell>
          <cell r="R15">
            <v>0.03</v>
          </cell>
          <cell r="T15">
            <v>40</v>
          </cell>
        </row>
        <row r="17">
          <cell r="D17" t="str">
            <v>Ausstattung</v>
          </cell>
          <cell r="G17">
            <v>35000</v>
          </cell>
          <cell r="I17">
            <v>40</v>
          </cell>
          <cell r="M17" t="str">
            <v>AIK-Kredit</v>
          </cell>
          <cell r="P17">
            <v>40000</v>
          </cell>
          <cell r="R17">
            <v>1.4999999999999999E-2</v>
          </cell>
          <cell r="T17">
            <v>19</v>
          </cell>
        </row>
        <row r="19">
          <cell r="D19" t="str">
            <v>Tierzukauf</v>
          </cell>
          <cell r="G19">
            <v>19992</v>
          </cell>
          <cell r="I19">
            <v>6</v>
          </cell>
        </row>
        <row r="23">
          <cell r="P23">
            <v>78242</v>
          </cell>
          <cell r="R23">
            <v>4.2500000000000003E-2</v>
          </cell>
          <cell r="S23">
            <v>4.2500000000000003E-2</v>
          </cell>
          <cell r="T23">
            <v>15</v>
          </cell>
          <cell r="U23">
            <v>15</v>
          </cell>
        </row>
        <row r="25">
          <cell r="B25" t="str">
            <v>Investitionszuschuss (=verlorener Zuschuss)</v>
          </cell>
          <cell r="I25">
            <v>71750</v>
          </cell>
        </row>
        <row r="27">
          <cell r="B27" t="str">
            <v>Rationalisierungsgewinne</v>
          </cell>
        </row>
        <row r="28">
          <cell r="G28">
            <v>0.7</v>
          </cell>
          <cell r="P28">
            <v>-0.05</v>
          </cell>
        </row>
        <row r="30">
          <cell r="G30">
            <v>-0.3</v>
          </cell>
          <cell r="P30">
            <v>0.5</v>
          </cell>
        </row>
        <row r="33">
          <cell r="B33" t="str">
            <v>DB</v>
          </cell>
          <cell r="D33" t="str">
            <v>Mutterkuh</v>
          </cell>
          <cell r="G33">
            <v>20</v>
          </cell>
          <cell r="K33">
            <v>593.1</v>
          </cell>
          <cell r="M33">
            <v>23690</v>
          </cell>
          <cell r="P33">
            <v>44.6</v>
          </cell>
        </row>
        <row r="35">
          <cell r="B35" t="str">
            <v>DB</v>
          </cell>
          <cell r="D35" t="str">
            <v>Kartoffel</v>
          </cell>
          <cell r="G35">
            <v>3</v>
          </cell>
          <cell r="K35">
            <v>837</v>
          </cell>
          <cell r="M35">
            <v>0</v>
          </cell>
          <cell r="P35">
            <v>79.099999999999994</v>
          </cell>
        </row>
        <row r="37">
          <cell r="B37" t="str">
            <v>DB</v>
          </cell>
          <cell r="K37" t="str">
            <v/>
          </cell>
          <cell r="M37" t="str">
            <v/>
          </cell>
          <cell r="P37" t="str">
            <v/>
          </cell>
        </row>
        <row r="39">
          <cell r="B39" t="str">
            <v>DB</v>
          </cell>
          <cell r="K39" t="str">
            <v/>
          </cell>
          <cell r="M39" t="str">
            <v/>
          </cell>
          <cell r="P39" t="str">
            <v/>
          </cell>
        </row>
        <row r="41">
          <cell r="B41" t="str">
            <v>DB</v>
          </cell>
          <cell r="K41" t="str">
            <v/>
          </cell>
          <cell r="M41" t="str">
            <v/>
          </cell>
          <cell r="P41" t="str">
            <v/>
          </cell>
        </row>
        <row r="43">
          <cell r="B43" t="str">
            <v>DB</v>
          </cell>
          <cell r="K43" t="str">
            <v/>
          </cell>
          <cell r="M43" t="str">
            <v/>
          </cell>
          <cell r="P43" t="str">
            <v/>
          </cell>
        </row>
        <row r="45">
          <cell r="B45" t="str">
            <v>DB</v>
          </cell>
          <cell r="K45" t="str">
            <v/>
          </cell>
          <cell r="M45" t="str">
            <v/>
          </cell>
          <cell r="P45" t="str">
            <v/>
          </cell>
        </row>
        <row r="48">
          <cell r="B48" t="str">
            <v>VK</v>
          </cell>
          <cell r="D48" t="str">
            <v>Feldfutter - Heu</v>
          </cell>
          <cell r="G48">
            <v>1.6</v>
          </cell>
          <cell r="K48">
            <v>831.3</v>
          </cell>
          <cell r="M48">
            <v>58242</v>
          </cell>
          <cell r="P48">
            <v>43.9</v>
          </cell>
        </row>
        <row r="50">
          <cell r="B50" t="str">
            <v>VK</v>
          </cell>
          <cell r="D50" t="str">
            <v>Dauergrünland 3-schnittig</v>
          </cell>
          <cell r="G50">
            <v>6</v>
          </cell>
          <cell r="K50">
            <v>1522</v>
          </cell>
          <cell r="M50">
            <v>54041</v>
          </cell>
          <cell r="P50">
            <v>91.2</v>
          </cell>
        </row>
        <row r="52">
          <cell r="B52" t="str">
            <v>VK</v>
          </cell>
          <cell r="D52" t="str">
            <v>Dauergrünland 1-schnittig</v>
          </cell>
          <cell r="G52">
            <v>2.5</v>
          </cell>
          <cell r="K52">
            <v>198.9</v>
          </cell>
          <cell r="M52">
            <v>16279</v>
          </cell>
          <cell r="P52">
            <v>18.399999999999999</v>
          </cell>
        </row>
        <row r="54">
          <cell r="B54" t="str">
            <v>VK</v>
          </cell>
          <cell r="K54" t="str">
            <v/>
          </cell>
          <cell r="M54" t="str">
            <v/>
          </cell>
          <cell r="P54" t="str">
            <v/>
          </cell>
        </row>
        <row r="56">
          <cell r="B56" t="str">
            <v>VK</v>
          </cell>
          <cell r="K56" t="str">
            <v/>
          </cell>
          <cell r="M56" t="str">
            <v/>
          </cell>
          <cell r="P56" t="str">
            <v/>
          </cell>
        </row>
        <row r="58">
          <cell r="B58" t="str">
            <v>VK</v>
          </cell>
          <cell r="K58" t="str">
            <v/>
          </cell>
          <cell r="M58" t="str">
            <v/>
          </cell>
          <cell r="P58" t="str">
            <v/>
          </cell>
        </row>
        <row r="60">
          <cell r="D60" t="str">
            <v>Sonstige Arbeiten</v>
          </cell>
          <cell r="G60">
            <v>1</v>
          </cell>
          <cell r="K60" t="str">
            <v/>
          </cell>
          <cell r="M60" t="str">
            <v/>
          </cell>
          <cell r="P60">
            <v>433.5</v>
          </cell>
        </row>
        <row r="64">
          <cell r="B64" t="str">
            <v>Maschinenringtätigkeit</v>
          </cell>
          <cell r="G64">
            <v>1200</v>
          </cell>
        </row>
        <row r="66">
          <cell r="B66" t="str">
            <v/>
          </cell>
        </row>
        <row r="71">
          <cell r="B71" t="str">
            <v>Ausgleichszulage</v>
          </cell>
          <cell r="G71">
            <v>3927</v>
          </cell>
        </row>
        <row r="73">
          <cell r="B73" t="str">
            <v>EBP</v>
          </cell>
          <cell r="G73">
            <v>2574</v>
          </cell>
        </row>
        <row r="75">
          <cell r="B75" t="str">
            <v>Tierptämien - Mutterkuhhaltung</v>
          </cell>
          <cell r="G75">
            <v>1584</v>
          </cell>
        </row>
        <row r="77">
          <cell r="B77" t="str">
            <v>ÖPUL</v>
          </cell>
          <cell r="G77">
            <v>1243.5</v>
          </cell>
        </row>
        <row r="84">
          <cell r="G84">
            <v>1960</v>
          </cell>
        </row>
        <row r="86">
          <cell r="G86">
            <v>30800</v>
          </cell>
        </row>
      </sheetData>
      <sheetData sheetId="5">
        <row r="15">
          <cell r="D15" t="str">
            <v>Stallneubau</v>
          </cell>
          <cell r="G15">
            <v>158900</v>
          </cell>
          <cell r="I15">
            <v>40</v>
          </cell>
          <cell r="M15" t="str">
            <v>Eigenkapital</v>
          </cell>
          <cell r="P15">
            <v>66500</v>
          </cell>
          <cell r="R15">
            <v>0.03</v>
          </cell>
          <cell r="T15">
            <v>40</v>
          </cell>
        </row>
        <row r="17">
          <cell r="D17" t="str">
            <v>Ausstattung</v>
          </cell>
          <cell r="G17">
            <v>41100</v>
          </cell>
          <cell r="I17">
            <v>25</v>
          </cell>
          <cell r="M17" t="str">
            <v>AIK-Kredit</v>
          </cell>
          <cell r="P17">
            <v>52000</v>
          </cell>
          <cell r="R17">
            <v>2.5000000000000001E-2</v>
          </cell>
          <cell r="T17">
            <v>19</v>
          </cell>
        </row>
        <row r="19">
          <cell r="D19" t="str">
            <v>Tierzukauf</v>
          </cell>
          <cell r="G19">
            <v>4760</v>
          </cell>
          <cell r="I19">
            <v>5</v>
          </cell>
        </row>
        <row r="23">
          <cell r="R23">
            <v>0.06</v>
          </cell>
          <cell r="T23">
            <v>10</v>
          </cell>
        </row>
        <row r="25">
          <cell r="B25" t="str">
            <v>Investitionszuschuss (=verlorener Zuschuss)</v>
          </cell>
          <cell r="I25">
            <v>55890</v>
          </cell>
        </row>
        <row r="27">
          <cell r="B27" t="str">
            <v>Rationalisierungsgewinne</v>
          </cell>
        </row>
        <row r="28">
          <cell r="G28">
            <v>-0.15</v>
          </cell>
          <cell r="P28">
            <v>-0.4</v>
          </cell>
        </row>
        <row r="30">
          <cell r="G30">
            <v>-0.11</v>
          </cell>
          <cell r="P30">
            <v>-0.3</v>
          </cell>
        </row>
        <row r="33">
          <cell r="B33" t="str">
            <v>DB</v>
          </cell>
          <cell r="D33" t="str">
            <v>Milchschafe</v>
          </cell>
          <cell r="G33">
            <v>70</v>
          </cell>
          <cell r="K33">
            <v>393.3</v>
          </cell>
          <cell r="M33">
            <v>3726</v>
          </cell>
          <cell r="P33">
            <v>77.599999999999994</v>
          </cell>
        </row>
        <row r="35">
          <cell r="B35" t="str">
            <v>DB</v>
          </cell>
          <cell r="D35" t="str">
            <v>Lämmer</v>
          </cell>
          <cell r="G35">
            <v>110</v>
          </cell>
          <cell r="K35">
            <v>74.5</v>
          </cell>
          <cell r="M35">
            <v>0</v>
          </cell>
          <cell r="P35">
            <v>8.3000000000000007</v>
          </cell>
        </row>
        <row r="37">
          <cell r="B37" t="str">
            <v>DB</v>
          </cell>
          <cell r="D37" t="str">
            <v>Kartoffel</v>
          </cell>
          <cell r="G37">
            <v>3</v>
          </cell>
          <cell r="K37">
            <v>931.5</v>
          </cell>
          <cell r="M37">
            <v>0</v>
          </cell>
          <cell r="P37">
            <v>88</v>
          </cell>
        </row>
        <row r="39">
          <cell r="B39" t="str">
            <v>DB</v>
          </cell>
          <cell r="K39" t="str">
            <v/>
          </cell>
          <cell r="M39" t="str">
            <v/>
          </cell>
          <cell r="P39" t="str">
            <v/>
          </cell>
        </row>
        <row r="41">
          <cell r="B41" t="str">
            <v>DB</v>
          </cell>
          <cell r="K41" t="str">
            <v/>
          </cell>
          <cell r="M41" t="str">
            <v/>
          </cell>
          <cell r="P41" t="str">
            <v/>
          </cell>
        </row>
        <row r="43">
          <cell r="B43" t="str">
            <v>DB</v>
          </cell>
          <cell r="K43" t="str">
            <v/>
          </cell>
          <cell r="M43" t="str">
            <v/>
          </cell>
          <cell r="P43" t="str">
            <v/>
          </cell>
        </row>
        <row r="45">
          <cell r="B45" t="str">
            <v>DB</v>
          </cell>
          <cell r="K45" t="str">
            <v/>
          </cell>
          <cell r="M45" t="str">
            <v/>
          </cell>
          <cell r="P45" t="str">
            <v/>
          </cell>
        </row>
        <row r="48">
          <cell r="B48" t="str">
            <v>VK</v>
          </cell>
          <cell r="D48" t="str">
            <v>Dauergrünland 3-schnittig</v>
          </cell>
          <cell r="G48">
            <v>6</v>
          </cell>
          <cell r="K48">
            <v>1469.8</v>
          </cell>
          <cell r="M48">
            <v>52187</v>
          </cell>
          <cell r="P48">
            <v>88.1</v>
          </cell>
        </row>
        <row r="50">
          <cell r="B50" t="str">
            <v>VK</v>
          </cell>
          <cell r="D50" t="str">
            <v>Dauergrünland 1-schnittig</v>
          </cell>
          <cell r="G50">
            <v>2.5</v>
          </cell>
          <cell r="K50">
            <v>192.1</v>
          </cell>
          <cell r="M50">
            <v>15721</v>
          </cell>
          <cell r="P50">
            <v>17.7</v>
          </cell>
        </row>
        <row r="52">
          <cell r="B52" t="str">
            <v>VK</v>
          </cell>
          <cell r="D52" t="str">
            <v>Feldfutter - Heu</v>
          </cell>
          <cell r="G52">
            <v>1.6</v>
          </cell>
          <cell r="K52">
            <v>802.8</v>
          </cell>
          <cell r="M52">
            <v>56244</v>
          </cell>
          <cell r="P52">
            <v>42.4</v>
          </cell>
        </row>
        <row r="54">
          <cell r="B54" t="str">
            <v>VK</v>
          </cell>
          <cell r="K54" t="str">
            <v/>
          </cell>
          <cell r="M54" t="str">
            <v/>
          </cell>
          <cell r="P54" t="str">
            <v/>
          </cell>
        </row>
        <row r="56">
          <cell r="B56" t="str">
            <v>VK</v>
          </cell>
          <cell r="K56" t="str">
            <v/>
          </cell>
          <cell r="M56" t="str">
            <v/>
          </cell>
          <cell r="P56" t="str">
            <v/>
          </cell>
        </row>
        <row r="58">
          <cell r="B58" t="str">
            <v>VK</v>
          </cell>
          <cell r="K58" t="str">
            <v/>
          </cell>
          <cell r="M58" t="str">
            <v/>
          </cell>
          <cell r="P58" t="str">
            <v/>
          </cell>
        </row>
        <row r="60">
          <cell r="D60" t="str">
            <v>Sonstige Arbeiten</v>
          </cell>
          <cell r="G60">
            <v>1</v>
          </cell>
          <cell r="K60" t="str">
            <v/>
          </cell>
          <cell r="M60" t="str">
            <v/>
          </cell>
          <cell r="P60">
            <v>418.6</v>
          </cell>
        </row>
        <row r="64">
          <cell r="B64" t="str">
            <v>Pachteinnahmen (1,5 ha Acker verpachtet)</v>
          </cell>
          <cell r="G64">
            <v>377</v>
          </cell>
        </row>
        <row r="66">
          <cell r="B66" t="str">
            <v/>
          </cell>
          <cell r="G66">
            <v>0</v>
          </cell>
        </row>
        <row r="71">
          <cell r="B71" t="str">
            <v>Ausgleichszulage</v>
          </cell>
          <cell r="G71">
            <v>2310</v>
          </cell>
        </row>
        <row r="73">
          <cell r="B73" t="str">
            <v>EBP</v>
          </cell>
          <cell r="G73">
            <v>1430</v>
          </cell>
        </row>
        <row r="75">
          <cell r="B75" t="str">
            <v>Weideprämie</v>
          </cell>
          <cell r="G75">
            <v>1500</v>
          </cell>
        </row>
        <row r="77">
          <cell r="B77" t="str">
            <v>ÖPUL</v>
          </cell>
          <cell r="G77">
            <v>808</v>
          </cell>
        </row>
        <row r="84">
          <cell r="G84">
            <v>1960</v>
          </cell>
        </row>
        <row r="86">
          <cell r="G86">
            <v>30800</v>
          </cell>
        </row>
      </sheetData>
      <sheetData sheetId="6">
        <row r="12">
          <cell r="B12" t="str">
            <v>Durchschnittliche Anzahl der Laktationen</v>
          </cell>
          <cell r="G12" t="str">
            <v>Kraftfutterbedarf</v>
          </cell>
          <cell r="O12">
            <v>6</v>
          </cell>
          <cell r="R12">
            <v>800</v>
          </cell>
        </row>
        <row r="14">
          <cell r="B14" t="str">
            <v>Milchleistung</v>
          </cell>
          <cell r="O14">
            <v>5200</v>
          </cell>
        </row>
        <row r="16">
          <cell r="B16" t="str">
            <v>Lebendgewicht</v>
          </cell>
          <cell r="G16" t="str">
            <v>MJ NEL/kg</v>
          </cell>
          <cell r="O16">
            <v>670</v>
          </cell>
          <cell r="R16">
            <v>5</v>
          </cell>
        </row>
        <row r="18">
          <cell r="B18" t="str">
            <v>Stallhaltungstage</v>
          </cell>
          <cell r="G18" t="str">
            <v>g RP/kg</v>
          </cell>
          <cell r="O18">
            <v>270</v>
          </cell>
          <cell r="R18">
            <v>130</v>
          </cell>
        </row>
        <row r="20">
          <cell r="B20" t="str">
            <v>Molkreiliefermenge</v>
          </cell>
          <cell r="G20" t="str">
            <v>Umwandlungsschlüssel</v>
          </cell>
          <cell r="O20">
            <v>12000</v>
          </cell>
          <cell r="R20">
            <v>0.57999999999999996</v>
          </cell>
        </row>
        <row r="22">
          <cell r="B22" t="str">
            <v>Verarbeitungsmilch</v>
          </cell>
          <cell r="O22">
            <v>19200</v>
          </cell>
        </row>
        <row r="24">
          <cell r="B24" t="str">
            <v>Ø Anzahl der Kühe</v>
          </cell>
          <cell r="O24">
            <v>6</v>
          </cell>
        </row>
        <row r="26">
          <cell r="B26" t="str">
            <v>Fett</v>
          </cell>
          <cell r="O26">
            <v>0.04</v>
          </cell>
        </row>
        <row r="28">
          <cell r="B28" t="str">
            <v>Eiweiß</v>
          </cell>
          <cell r="O28">
            <v>3.4000000000000002E-2</v>
          </cell>
        </row>
        <row r="33">
          <cell r="B33" t="str">
            <v>Ab-Hof</v>
          </cell>
          <cell r="O33">
            <v>900</v>
          </cell>
        </row>
        <row r="35">
          <cell r="B35" t="str">
            <v>Eigen- u. Gästeverbrauch</v>
          </cell>
          <cell r="O35">
            <v>120</v>
          </cell>
        </row>
        <row r="39">
          <cell r="B39" t="str">
            <v>Butter</v>
          </cell>
          <cell r="K39">
            <v>23</v>
          </cell>
          <cell r="O39">
            <v>30</v>
          </cell>
          <cell r="P39" t="str">
            <v/>
          </cell>
          <cell r="Q39">
            <v>3</v>
          </cell>
        </row>
        <row r="41">
          <cell r="B41" t="str">
            <v>Jogurt</v>
          </cell>
          <cell r="K41">
            <v>1</v>
          </cell>
          <cell r="O41">
            <v>900</v>
          </cell>
          <cell r="P41" t="str">
            <v/>
          </cell>
          <cell r="Q41">
            <v>4.5</v>
          </cell>
        </row>
        <row r="43">
          <cell r="B43" t="str">
            <v>Topfen aus Vollmilch</v>
          </cell>
          <cell r="K43">
            <v>8</v>
          </cell>
          <cell r="O43" t="str">
            <v/>
          </cell>
          <cell r="P43" t="str">
            <v/>
          </cell>
          <cell r="Q43">
            <v>4.5</v>
          </cell>
        </row>
        <row r="45">
          <cell r="B45" t="str">
            <v>Käse</v>
          </cell>
          <cell r="K45">
            <v>8.5</v>
          </cell>
          <cell r="O45">
            <v>40</v>
          </cell>
          <cell r="P45" t="str">
            <v/>
          </cell>
          <cell r="Q45">
            <v>2.75</v>
          </cell>
        </row>
        <row r="47">
          <cell r="O47" t="str">
            <v/>
          </cell>
          <cell r="P47" t="str">
            <v/>
          </cell>
          <cell r="Q47" t="str">
            <v/>
          </cell>
        </row>
        <row r="49">
          <cell r="P49" t="str">
            <v/>
          </cell>
          <cell r="Q49" t="str">
            <v/>
          </cell>
        </row>
        <row r="59">
          <cell r="B59" t="str">
            <v>Altkuherlös/kg LG</v>
          </cell>
          <cell r="G59" t="str">
            <v>Kälberpreis männlich</v>
          </cell>
          <cell r="O59">
            <v>0.5</v>
          </cell>
          <cell r="R59">
            <v>140</v>
          </cell>
        </row>
        <row r="61">
          <cell r="B61" t="str">
            <v>Kälberpreis weiblich</v>
          </cell>
          <cell r="G61" t="str">
            <v>Aufzuchtkosten Rind</v>
          </cell>
          <cell r="O61">
            <v>370</v>
          </cell>
          <cell r="R61">
            <v>790</v>
          </cell>
        </row>
        <row r="63">
          <cell r="B63" t="str">
            <v>Abkalbequote</v>
          </cell>
          <cell r="E63">
            <v>0.9</v>
          </cell>
        </row>
        <row r="67">
          <cell r="B67" t="str">
            <v>Molkereigeld</v>
          </cell>
          <cell r="G67" t="str">
            <v>Topfen aus Vollmilch</v>
          </cell>
          <cell r="O67">
            <v>0.33</v>
          </cell>
          <cell r="R67">
            <v>2.4</v>
          </cell>
        </row>
        <row r="69">
          <cell r="B69" t="str">
            <v>Ab-Hof</v>
          </cell>
          <cell r="G69" t="str">
            <v>Käse</v>
          </cell>
          <cell r="O69">
            <v>0.6</v>
          </cell>
          <cell r="R69">
            <v>8</v>
          </cell>
        </row>
        <row r="71">
          <cell r="B71" t="str">
            <v>Eigen- u. Gästeverbrauch</v>
          </cell>
          <cell r="G71" t="str">
            <v/>
          </cell>
          <cell r="O71">
            <v>0.6</v>
          </cell>
          <cell r="R71" t="str">
            <v/>
          </cell>
        </row>
        <row r="73">
          <cell r="B73" t="str">
            <v>Butter</v>
          </cell>
          <cell r="G73" t="str">
            <v/>
          </cell>
          <cell r="O73">
            <v>5.9</v>
          </cell>
          <cell r="R73" t="str">
            <v/>
          </cell>
        </row>
        <row r="75">
          <cell r="B75" t="str">
            <v>Jogurt</v>
          </cell>
          <cell r="G75" t="str">
            <v>Magermilch</v>
          </cell>
          <cell r="O75">
            <v>1.6</v>
          </cell>
          <cell r="R75">
            <v>0.04</v>
          </cell>
        </row>
        <row r="81">
          <cell r="B81" t="str">
            <v>Bestandesergänzung</v>
          </cell>
          <cell r="O81" t="str">
            <v/>
          </cell>
        </row>
        <row r="83">
          <cell r="B83" t="str">
            <v>KF</v>
          </cell>
          <cell r="O83">
            <v>0.44</v>
          </cell>
          <cell r="P83">
            <v>800</v>
          </cell>
        </row>
        <row r="85">
          <cell r="B85" t="str">
            <v>Mineralstoffmischung</v>
          </cell>
          <cell r="O85">
            <v>0.7</v>
          </cell>
          <cell r="P85">
            <v>49</v>
          </cell>
        </row>
        <row r="87">
          <cell r="B87" t="str">
            <v>Tierarzt</v>
          </cell>
          <cell r="O87">
            <v>65</v>
          </cell>
        </row>
        <row r="89">
          <cell r="B89" t="str">
            <v>Deckgeld</v>
          </cell>
          <cell r="O89">
            <v>35</v>
          </cell>
        </row>
        <row r="91">
          <cell r="B91" t="str">
            <v>Kontrollgebühren</v>
          </cell>
          <cell r="O91">
            <v>9</v>
          </cell>
        </row>
        <row r="93">
          <cell r="B93" t="str">
            <v>Versicherung</v>
          </cell>
          <cell r="O93">
            <v>23</v>
          </cell>
        </row>
        <row r="95">
          <cell r="B95" t="str">
            <v>Alpung</v>
          </cell>
          <cell r="O95">
            <v>80</v>
          </cell>
        </row>
        <row r="97">
          <cell r="B97" t="str">
            <v>Energie</v>
          </cell>
          <cell r="O97">
            <v>32</v>
          </cell>
        </row>
        <row r="99">
          <cell r="B99" t="str">
            <v>Einstreu</v>
          </cell>
          <cell r="O99">
            <v>0.1</v>
          </cell>
          <cell r="P99">
            <v>500</v>
          </cell>
        </row>
        <row r="101">
          <cell r="B101" t="str">
            <v>Vermarktungs-/Verarbeitungskosten</v>
          </cell>
          <cell r="O101">
            <v>115.8</v>
          </cell>
        </row>
        <row r="103">
          <cell r="B103" t="str">
            <v>Verpackung/Etik. - in €/kg Produktion</v>
          </cell>
          <cell r="O103">
            <v>450</v>
          </cell>
        </row>
        <row r="105">
          <cell r="B105" t="str">
            <v>Reinigung und Energie</v>
          </cell>
          <cell r="O105">
            <v>71</v>
          </cell>
        </row>
        <row r="107">
          <cell r="B107" t="str">
            <v>Zuteilbare FK Butterfass, Zentrifuge</v>
          </cell>
          <cell r="O107">
            <v>168</v>
          </cell>
        </row>
        <row r="111">
          <cell r="B111" t="str">
            <v>Heu</v>
          </cell>
          <cell r="O111">
            <v>0.55000000000000004</v>
          </cell>
          <cell r="P111">
            <v>1.9E-2</v>
          </cell>
        </row>
        <row r="113">
          <cell r="B113" t="str">
            <v>Grassilage</v>
          </cell>
          <cell r="O113">
            <v>0.25</v>
          </cell>
          <cell r="P113">
            <v>1.6E-2</v>
          </cell>
        </row>
        <row r="115">
          <cell r="B115" t="str">
            <v>Maissilage</v>
          </cell>
          <cell r="O115">
            <v>0.19999999999999996</v>
          </cell>
          <cell r="P115">
            <v>1.6E-2</v>
          </cell>
        </row>
        <row r="119">
          <cell r="O119" t="str">
            <v/>
          </cell>
        </row>
        <row r="121">
          <cell r="O121" t="str">
            <v/>
          </cell>
        </row>
        <row r="123">
          <cell r="O123" t="str">
            <v/>
          </cell>
        </row>
        <row r="127">
          <cell r="O127">
            <v>60</v>
          </cell>
        </row>
      </sheetData>
      <sheetData sheetId="7">
        <row r="12">
          <cell r="B12" t="str">
            <v>Erhaltungsbedarf</v>
          </cell>
          <cell r="F12" t="str">
            <v>Leistungsbedarf</v>
          </cell>
        </row>
        <row r="14">
          <cell r="D14">
            <v>0.75</v>
          </cell>
          <cell r="I14">
            <v>3.17</v>
          </cell>
        </row>
        <row r="16">
          <cell r="D16">
            <v>0.29299999999999998</v>
          </cell>
          <cell r="I16">
            <v>360</v>
          </cell>
        </row>
        <row r="18">
          <cell r="B18" t="str">
            <v>Bedarf je Nachkomme</v>
          </cell>
          <cell r="O18">
            <v>7000</v>
          </cell>
        </row>
        <row r="21">
          <cell r="B21" t="str">
            <v>Milchleistung:</v>
          </cell>
          <cell r="F21" t="str">
            <v>Stallhaltungstage</v>
          </cell>
          <cell r="K21">
            <v>1</v>
          </cell>
          <cell r="O21">
            <v>3100</v>
          </cell>
          <cell r="Q21">
            <v>290</v>
          </cell>
          <cell r="R21">
            <v>-0.2</v>
          </cell>
        </row>
        <row r="23">
          <cell r="B23" t="str">
            <v>Fett</v>
          </cell>
          <cell r="F23" t="str">
            <v>Abkalbequote</v>
          </cell>
          <cell r="K23">
            <v>2</v>
          </cell>
          <cell r="O23">
            <v>0.04</v>
          </cell>
          <cell r="Q23">
            <v>0.9</v>
          </cell>
          <cell r="R23">
            <v>-0.1</v>
          </cell>
        </row>
        <row r="25">
          <cell r="B25" t="str">
            <v>Eiweiß</v>
          </cell>
          <cell r="K25">
            <v>4</v>
          </cell>
          <cell r="O25">
            <v>3.1E-2</v>
          </cell>
          <cell r="R25">
            <v>0.1</v>
          </cell>
        </row>
        <row r="27">
          <cell r="B27" t="str">
            <v>Mutterkuhgewicht lebend</v>
          </cell>
          <cell r="K27">
            <v>5</v>
          </cell>
          <cell r="O27">
            <v>620</v>
          </cell>
          <cell r="Q27">
            <v>0.5</v>
          </cell>
          <cell r="R27">
            <v>0.2</v>
          </cell>
        </row>
        <row r="29">
          <cell r="B29" t="str">
            <v>Nutzungsdauer</v>
          </cell>
          <cell r="O29">
            <v>7</v>
          </cell>
        </row>
        <row r="33">
          <cell r="B33" t="str">
            <v>Nutzungsform</v>
          </cell>
        </row>
        <row r="35">
          <cell r="B35" t="str">
            <v>Haltungsdauer</v>
          </cell>
          <cell r="R35">
            <v>1.19</v>
          </cell>
        </row>
        <row r="37">
          <cell r="B37" t="str">
            <v>Kalbin</v>
          </cell>
          <cell r="E37" t="str">
            <v xml:space="preserve"> Tage</v>
          </cell>
          <cell r="O37" t="str">
            <v/>
          </cell>
        </row>
        <row r="39">
          <cell r="B39" t="str">
            <v>Stier</v>
          </cell>
          <cell r="E39" t="str">
            <v xml:space="preserve"> Tage</v>
          </cell>
          <cell r="O39" t="str">
            <v/>
          </cell>
        </row>
        <row r="41">
          <cell r="R41">
            <v>6.04</v>
          </cell>
        </row>
        <row r="43">
          <cell r="R43">
            <v>6.44</v>
          </cell>
        </row>
        <row r="46">
          <cell r="D46" t="str">
            <v>Kalbin</v>
          </cell>
          <cell r="F46" t="str">
            <v>Stier</v>
          </cell>
        </row>
        <row r="47">
          <cell r="O47">
            <v>290</v>
          </cell>
          <cell r="P47">
            <v>330</v>
          </cell>
        </row>
        <row r="49">
          <cell r="O49" t="str">
            <v>mittel</v>
          </cell>
          <cell r="P49" t="str">
            <v>mittel</v>
          </cell>
        </row>
        <row r="51">
          <cell r="O51">
            <v>0.5</v>
          </cell>
          <cell r="P51">
            <v>0.55000000000000004</v>
          </cell>
        </row>
        <row r="56">
          <cell r="B56" t="str">
            <v xml:space="preserve">KF-Gaben </v>
          </cell>
          <cell r="K56" t="str">
            <v>Beiträge</v>
          </cell>
          <cell r="O56">
            <v>42</v>
          </cell>
          <cell r="P56">
            <v>0.22</v>
          </cell>
          <cell r="R56">
            <v>13.86</v>
          </cell>
        </row>
        <row r="58">
          <cell r="B58" t="str">
            <v>Mineralstoffe</v>
          </cell>
          <cell r="K58" t="str">
            <v>Sonstige Kosten</v>
          </cell>
          <cell r="O58">
            <v>11</v>
          </cell>
          <cell r="P58">
            <v>0.89</v>
          </cell>
          <cell r="R58">
            <v>47.52</v>
          </cell>
        </row>
        <row r="60">
          <cell r="B60" t="str">
            <v>Tierarzt Med.</v>
          </cell>
          <cell r="K60" t="str">
            <v>Alpung, Transportkosten....</v>
          </cell>
          <cell r="P60">
            <v>16.829999999999998</v>
          </cell>
          <cell r="R60">
            <v>31.68</v>
          </cell>
        </row>
        <row r="62">
          <cell r="B62" t="str">
            <v>Deckgeld</v>
          </cell>
          <cell r="K62" t="str">
            <v>Schlachtung</v>
          </cell>
          <cell r="P62">
            <v>29.7</v>
          </cell>
          <cell r="R62">
            <v>40.590000000000003</v>
          </cell>
        </row>
        <row r="64">
          <cell r="B64" t="str">
            <v>Versicherung</v>
          </cell>
          <cell r="K64" t="str">
            <v xml:space="preserve">Mischpakete </v>
          </cell>
          <cell r="R64">
            <v>32.67</v>
          </cell>
        </row>
        <row r="67">
          <cell r="B67" t="str">
            <v>Gesamtbedarf</v>
          </cell>
          <cell r="P67">
            <v>1.4999999999999999E-2</v>
          </cell>
        </row>
        <row r="71">
          <cell r="B71" t="str">
            <v>Gefährdete Tierrassen</v>
          </cell>
          <cell r="F71" t="str">
            <v>Stallarbeit</v>
          </cell>
          <cell r="O71">
            <v>180</v>
          </cell>
          <cell r="Q71">
            <v>30</v>
          </cell>
        </row>
        <row r="73">
          <cell r="F73" t="str">
            <v>Außenwirtschaft</v>
          </cell>
          <cell r="O73" t="str">
            <v/>
          </cell>
          <cell r="Q73">
            <v>14</v>
          </cell>
        </row>
        <row r="75">
          <cell r="F75" t="str">
            <v>Selbstvermarktung</v>
          </cell>
          <cell r="O75" t="str">
            <v/>
          </cell>
          <cell r="Q75">
            <v>4</v>
          </cell>
        </row>
      </sheetData>
      <sheetData sheetId="8">
        <row r="12">
          <cell r="D12" t="str">
            <v>Dauergrünland 3-schnittig</v>
          </cell>
        </row>
        <row r="14">
          <cell r="D14">
            <v>130</v>
          </cell>
        </row>
        <row r="16">
          <cell r="D16">
            <v>3.5</v>
          </cell>
        </row>
        <row r="18">
          <cell r="D18">
            <v>3.5</v>
          </cell>
        </row>
        <row r="20">
          <cell r="D20">
            <v>3.5</v>
          </cell>
        </row>
        <row r="22">
          <cell r="D22" t="str">
            <v>Festmist</v>
          </cell>
        </row>
        <row r="24">
          <cell r="D24">
            <v>0.2</v>
          </cell>
        </row>
        <row r="41">
          <cell r="R41">
            <v>12</v>
          </cell>
        </row>
        <row r="43">
          <cell r="R43">
            <v>61</v>
          </cell>
        </row>
        <row r="45">
          <cell r="R45">
            <v>24</v>
          </cell>
        </row>
        <row r="47">
          <cell r="S47">
            <v>0.14000000000000001</v>
          </cell>
        </row>
        <row r="49">
          <cell r="F49">
            <v>140</v>
          </cell>
          <cell r="I49" t="str">
            <v>dt</v>
          </cell>
          <cell r="S49">
            <v>189</v>
          </cell>
        </row>
        <row r="52">
          <cell r="D52" t="str">
            <v>Jauche</v>
          </cell>
        </row>
        <row r="69">
          <cell r="R69">
            <v>11</v>
          </cell>
        </row>
        <row r="71">
          <cell r="R71">
            <v>61</v>
          </cell>
        </row>
        <row r="73">
          <cell r="R73">
            <v>22</v>
          </cell>
        </row>
        <row r="75">
          <cell r="S75">
            <v>0.11</v>
          </cell>
        </row>
        <row r="77">
          <cell r="F77">
            <v>13</v>
          </cell>
          <cell r="I77" t="str">
            <v>m³</v>
          </cell>
          <cell r="S77">
            <v>18</v>
          </cell>
        </row>
        <row r="84">
          <cell r="W84" t="str">
            <v>x</v>
          </cell>
          <cell r="Y84" t="str">
            <v>Festmist</v>
          </cell>
        </row>
        <row r="85">
          <cell r="Y85" t="str">
            <v>Jauche</v>
          </cell>
        </row>
        <row r="86">
          <cell r="Y86" t="str">
            <v>Gülle</v>
          </cell>
        </row>
        <row r="94">
          <cell r="U94" t="str">
            <v>L1</v>
          </cell>
          <cell r="V94" t="str">
            <v>x</v>
          </cell>
          <cell r="W94" t="str">
            <v>KW</v>
          </cell>
          <cell r="X94" t="str">
            <v>Allradtraktor</v>
          </cell>
          <cell r="Y94">
            <v>75</v>
          </cell>
          <cell r="Z94" t="str">
            <v>75 KW</v>
          </cell>
          <cell r="AA94">
            <v>11.162000000000001</v>
          </cell>
        </row>
        <row r="95">
          <cell r="U95" t="str">
            <v>L2</v>
          </cell>
          <cell r="V95" t="str">
            <v>x</v>
          </cell>
          <cell r="W95" t="str">
            <v>m</v>
          </cell>
          <cell r="X95" t="str">
            <v>Frontlader</v>
          </cell>
          <cell r="Y95">
            <v>1.4</v>
          </cell>
          <cell r="Z95" t="str">
            <v>1,4 m</v>
          </cell>
          <cell r="AA95">
            <v>0.5</v>
          </cell>
        </row>
        <row r="96">
          <cell r="U96" t="str">
            <v/>
          </cell>
          <cell r="V96" t="str">
            <v/>
          </cell>
          <cell r="W96" t="str">
            <v>KW</v>
          </cell>
          <cell r="X96" t="str">
            <v>Allradtraktor</v>
          </cell>
          <cell r="Y96">
            <v>75</v>
          </cell>
          <cell r="Z96" t="str">
            <v>75 KW</v>
          </cell>
          <cell r="AA96">
            <v>11.162000000000001</v>
          </cell>
        </row>
        <row r="97">
          <cell r="U97" t="str">
            <v/>
          </cell>
          <cell r="V97" t="str">
            <v/>
          </cell>
          <cell r="W97" t="str">
            <v>t</v>
          </cell>
          <cell r="X97" t="str">
            <v>Miststreuer</v>
          </cell>
          <cell r="Y97">
            <v>2.5</v>
          </cell>
          <cell r="Z97" t="str">
            <v>2,5 t</v>
          </cell>
          <cell r="AA97">
            <v>2.16</v>
          </cell>
        </row>
        <row r="98">
          <cell r="U98" t="str">
            <v/>
          </cell>
          <cell r="V98" t="str">
            <v/>
          </cell>
          <cell r="W98" t="str">
            <v/>
          </cell>
          <cell r="X98" t="str">
            <v/>
          </cell>
          <cell r="Y98" t="str">
            <v/>
          </cell>
          <cell r="Z98" t="str">
            <v xml:space="preserve"> </v>
          </cell>
          <cell r="AA98" t="str">
            <v/>
          </cell>
        </row>
        <row r="99">
          <cell r="U99" t="str">
            <v/>
          </cell>
          <cell r="V99" t="str">
            <v/>
          </cell>
          <cell r="W99" t="str">
            <v/>
          </cell>
          <cell r="X99" t="str">
            <v/>
          </cell>
          <cell r="Y99" t="str">
            <v/>
          </cell>
          <cell r="Z99" t="str">
            <v xml:space="preserve"> </v>
          </cell>
          <cell r="AA99" t="str">
            <v/>
          </cell>
        </row>
        <row r="101">
          <cell r="AB101">
            <v>2</v>
          </cell>
        </row>
        <row r="102">
          <cell r="U102" t="str">
            <v/>
          </cell>
          <cell r="V102" t="str">
            <v/>
          </cell>
          <cell r="W102" t="str">
            <v>KW</v>
          </cell>
          <cell r="X102" t="str">
            <v>Allradtraktor</v>
          </cell>
          <cell r="Y102">
            <v>75</v>
          </cell>
          <cell r="Z102" t="str">
            <v>75 KW</v>
          </cell>
          <cell r="AA102">
            <v>11.162000000000001</v>
          </cell>
        </row>
        <row r="103">
          <cell r="U103" t="str">
            <v/>
          </cell>
          <cell r="V103" t="str">
            <v/>
          </cell>
          <cell r="W103" t="str">
            <v>m</v>
          </cell>
          <cell r="X103" t="str">
            <v>Frontlader</v>
          </cell>
          <cell r="Y103">
            <v>1.4</v>
          </cell>
          <cell r="Z103" t="str">
            <v>1,4 m</v>
          </cell>
          <cell r="AA103">
            <v>0.5</v>
          </cell>
        </row>
        <row r="104">
          <cell r="U104" t="str">
            <v>T1</v>
          </cell>
          <cell r="V104" t="str">
            <v>x</v>
          </cell>
          <cell r="W104" t="str">
            <v>KW</v>
          </cell>
          <cell r="X104" t="str">
            <v>Allradtraktor</v>
          </cell>
          <cell r="Y104">
            <v>75</v>
          </cell>
          <cell r="Z104" t="str">
            <v>75 KW</v>
          </cell>
          <cell r="AA104">
            <v>11.162000000000001</v>
          </cell>
        </row>
        <row r="105">
          <cell r="U105" t="str">
            <v>T2</v>
          </cell>
          <cell r="V105" t="str">
            <v>x</v>
          </cell>
          <cell r="W105" t="str">
            <v>t</v>
          </cell>
          <cell r="X105" t="str">
            <v>Miststreuer</v>
          </cell>
          <cell r="Y105">
            <v>2.5</v>
          </cell>
          <cell r="Z105" t="str">
            <v>2,5 t</v>
          </cell>
          <cell r="AA105">
            <v>2.16</v>
          </cell>
        </row>
        <row r="106">
          <cell r="U106" t="str">
            <v/>
          </cell>
          <cell r="V106" t="str">
            <v/>
          </cell>
          <cell r="W106" t="str">
            <v/>
          </cell>
          <cell r="X106" t="str">
            <v/>
          </cell>
          <cell r="Y106" t="str">
            <v/>
          </cell>
          <cell r="Z106" t="str">
            <v xml:space="preserve"> </v>
          </cell>
          <cell r="AA106" t="str">
            <v/>
          </cell>
        </row>
        <row r="107">
          <cell r="U107" t="str">
            <v/>
          </cell>
          <cell r="V107" t="str">
            <v/>
          </cell>
          <cell r="W107" t="str">
            <v/>
          </cell>
          <cell r="X107" t="str">
            <v/>
          </cell>
          <cell r="Y107" t="str">
            <v/>
          </cell>
          <cell r="Z107" t="str">
            <v xml:space="preserve"> </v>
          </cell>
          <cell r="AA107" t="str">
            <v/>
          </cell>
        </row>
        <row r="109">
          <cell r="AB109">
            <v>2</v>
          </cell>
        </row>
        <row r="110">
          <cell r="U110" t="str">
            <v/>
          </cell>
          <cell r="V110" t="str">
            <v/>
          </cell>
          <cell r="W110" t="str">
            <v>KW</v>
          </cell>
          <cell r="X110" t="str">
            <v>Allradtraktor</v>
          </cell>
          <cell r="Y110">
            <v>75</v>
          </cell>
          <cell r="Z110" t="str">
            <v>75 KW</v>
          </cell>
          <cell r="AA110">
            <v>11.162000000000001</v>
          </cell>
        </row>
        <row r="111">
          <cell r="U111" t="str">
            <v/>
          </cell>
          <cell r="V111" t="str">
            <v/>
          </cell>
          <cell r="W111" t="str">
            <v>m</v>
          </cell>
          <cell r="X111" t="str">
            <v>Frontlader</v>
          </cell>
          <cell r="Y111">
            <v>1.4</v>
          </cell>
          <cell r="Z111" t="str">
            <v>1,4 m</v>
          </cell>
          <cell r="AA111">
            <v>0.5</v>
          </cell>
        </row>
        <row r="112">
          <cell r="U112" t="str">
            <v>A1</v>
          </cell>
          <cell r="V112" t="str">
            <v>x</v>
          </cell>
          <cell r="W112" t="str">
            <v>KW</v>
          </cell>
          <cell r="X112" t="str">
            <v>Allradtraktor</v>
          </cell>
          <cell r="Y112">
            <v>75</v>
          </cell>
          <cell r="Z112" t="str">
            <v>75 KW</v>
          </cell>
          <cell r="AA112">
            <v>11.162000000000001</v>
          </cell>
        </row>
        <row r="113">
          <cell r="U113" t="str">
            <v>A2</v>
          </cell>
          <cell r="V113" t="str">
            <v>x</v>
          </cell>
          <cell r="W113" t="str">
            <v>t</v>
          </cell>
          <cell r="X113" t="str">
            <v>Miststreuer</v>
          </cell>
          <cell r="Y113">
            <v>2.5</v>
          </cell>
          <cell r="Z113" t="str">
            <v>2,5 t</v>
          </cell>
          <cell r="AA113">
            <v>2.16</v>
          </cell>
        </row>
        <row r="114">
          <cell r="U114" t="str">
            <v/>
          </cell>
          <cell r="V114" t="str">
            <v/>
          </cell>
          <cell r="W114" t="str">
            <v/>
          </cell>
          <cell r="X114" t="str">
            <v/>
          </cell>
          <cell r="Y114" t="str">
            <v/>
          </cell>
          <cell r="Z114" t="str">
            <v xml:space="preserve"> </v>
          </cell>
          <cell r="AA114" t="str">
            <v/>
          </cell>
        </row>
        <row r="115">
          <cell r="U115" t="str">
            <v/>
          </cell>
          <cell r="V115" t="str">
            <v/>
          </cell>
          <cell r="W115" t="str">
            <v/>
          </cell>
          <cell r="X115" t="str">
            <v/>
          </cell>
          <cell r="Y115" t="str">
            <v/>
          </cell>
          <cell r="Z115" t="str">
            <v xml:space="preserve"> </v>
          </cell>
          <cell r="AA115" t="str">
            <v/>
          </cell>
        </row>
        <row r="117">
          <cell r="AB117">
            <v>2</v>
          </cell>
        </row>
        <row r="119">
          <cell r="X119">
            <v>2.5</v>
          </cell>
          <cell r="Y119" t="str">
            <v xml:space="preserve"> t</v>
          </cell>
        </row>
        <row r="127">
          <cell r="U127" t="str">
            <v>L1</v>
          </cell>
          <cell r="V127" t="str">
            <v>x</v>
          </cell>
          <cell r="W127" t="str">
            <v>KW</v>
          </cell>
          <cell r="X127" t="str">
            <v>Allradtraktor</v>
          </cell>
          <cell r="Y127">
            <v>75</v>
          </cell>
          <cell r="Z127" t="str">
            <v>75 KW</v>
          </cell>
          <cell r="AA127">
            <v>11.162000000000001</v>
          </cell>
        </row>
        <row r="128">
          <cell r="U128" t="str">
            <v>L2</v>
          </cell>
          <cell r="V128" t="str">
            <v>x</v>
          </cell>
          <cell r="W128" t="str">
            <v>lt</v>
          </cell>
          <cell r="X128" t="str">
            <v>Vakuumfass</v>
          </cell>
          <cell r="Y128">
            <v>3000</v>
          </cell>
          <cell r="Z128" t="str">
            <v>3000 lt</v>
          </cell>
          <cell r="AA128">
            <v>1.3</v>
          </cell>
        </row>
        <row r="129">
          <cell r="U129" t="str">
            <v/>
          </cell>
          <cell r="V129" t="str">
            <v/>
          </cell>
          <cell r="W129" t="str">
            <v/>
          </cell>
          <cell r="X129" t="str">
            <v/>
          </cell>
          <cell r="Y129" t="str">
            <v/>
          </cell>
          <cell r="Z129" t="str">
            <v xml:space="preserve"> </v>
          </cell>
          <cell r="AA129" t="str">
            <v/>
          </cell>
        </row>
        <row r="130">
          <cell r="U130" t="str">
            <v/>
          </cell>
          <cell r="V130" t="str">
            <v/>
          </cell>
          <cell r="W130" t="str">
            <v/>
          </cell>
          <cell r="X130" t="str">
            <v/>
          </cell>
          <cell r="Y130" t="str">
            <v/>
          </cell>
          <cell r="Z130" t="str">
            <v xml:space="preserve"> </v>
          </cell>
          <cell r="AA130" t="str">
            <v/>
          </cell>
        </row>
        <row r="131">
          <cell r="U131" t="str">
            <v/>
          </cell>
          <cell r="V131" t="str">
            <v/>
          </cell>
          <cell r="W131" t="str">
            <v/>
          </cell>
          <cell r="X131" t="str">
            <v/>
          </cell>
          <cell r="Y131" t="str">
            <v/>
          </cell>
          <cell r="Z131" t="str">
            <v xml:space="preserve"> </v>
          </cell>
          <cell r="AA131" t="str">
            <v/>
          </cell>
        </row>
        <row r="132">
          <cell r="U132" t="str">
            <v/>
          </cell>
          <cell r="V132" t="str">
            <v/>
          </cell>
          <cell r="W132" t="str">
            <v/>
          </cell>
          <cell r="X132" t="str">
            <v/>
          </cell>
          <cell r="Y132" t="str">
            <v/>
          </cell>
          <cell r="Z132" t="str">
            <v xml:space="preserve"> </v>
          </cell>
          <cell r="AA132" t="str">
            <v/>
          </cell>
        </row>
        <row r="134">
          <cell r="AB134">
            <v>2</v>
          </cell>
        </row>
        <row r="135">
          <cell r="U135" t="str">
            <v>T1</v>
          </cell>
          <cell r="V135" t="str">
            <v>x</v>
          </cell>
          <cell r="W135" t="str">
            <v>KW</v>
          </cell>
          <cell r="X135" t="str">
            <v>Allradtraktor</v>
          </cell>
          <cell r="Y135">
            <v>75</v>
          </cell>
          <cell r="Z135" t="str">
            <v>75 KW</v>
          </cell>
          <cell r="AA135">
            <v>11.162000000000001</v>
          </cell>
        </row>
        <row r="136">
          <cell r="U136" t="str">
            <v>T2</v>
          </cell>
          <cell r="V136" t="str">
            <v>x</v>
          </cell>
          <cell r="W136" t="str">
            <v>lt</v>
          </cell>
          <cell r="X136" t="str">
            <v>Vakuumfass</v>
          </cell>
          <cell r="Y136">
            <v>3000</v>
          </cell>
          <cell r="Z136" t="str">
            <v>3000 lt</v>
          </cell>
          <cell r="AA136">
            <v>1.3</v>
          </cell>
        </row>
        <row r="137">
          <cell r="U137" t="str">
            <v/>
          </cell>
          <cell r="V137" t="str">
            <v/>
          </cell>
          <cell r="W137" t="str">
            <v/>
          </cell>
          <cell r="X137" t="str">
            <v/>
          </cell>
          <cell r="Y137" t="str">
            <v/>
          </cell>
          <cell r="Z137" t="str">
            <v xml:space="preserve"> </v>
          </cell>
          <cell r="AA137" t="str">
            <v/>
          </cell>
        </row>
        <row r="138">
          <cell r="U138" t="str">
            <v/>
          </cell>
          <cell r="V138" t="str">
            <v/>
          </cell>
          <cell r="W138" t="str">
            <v/>
          </cell>
          <cell r="X138" t="str">
            <v/>
          </cell>
          <cell r="Y138" t="str">
            <v/>
          </cell>
          <cell r="Z138" t="str">
            <v xml:space="preserve"> </v>
          </cell>
          <cell r="AA138" t="str">
            <v/>
          </cell>
        </row>
        <row r="139">
          <cell r="U139" t="str">
            <v/>
          </cell>
          <cell r="V139" t="str">
            <v/>
          </cell>
          <cell r="W139" t="str">
            <v/>
          </cell>
          <cell r="X139" t="str">
            <v/>
          </cell>
          <cell r="Y139" t="str">
            <v/>
          </cell>
          <cell r="Z139" t="str">
            <v xml:space="preserve"> </v>
          </cell>
          <cell r="AA139" t="str">
            <v/>
          </cell>
        </row>
        <row r="140">
          <cell r="U140" t="str">
            <v/>
          </cell>
          <cell r="V140" t="str">
            <v/>
          </cell>
          <cell r="W140" t="str">
            <v/>
          </cell>
          <cell r="X140" t="str">
            <v/>
          </cell>
          <cell r="Y140" t="str">
            <v/>
          </cell>
          <cell r="Z140" t="str">
            <v xml:space="preserve"> </v>
          </cell>
          <cell r="AA140" t="str">
            <v/>
          </cell>
        </row>
        <row r="142">
          <cell r="AB142">
            <v>2</v>
          </cell>
        </row>
        <row r="143">
          <cell r="U143" t="str">
            <v>A1</v>
          </cell>
          <cell r="V143" t="str">
            <v>x</v>
          </cell>
          <cell r="W143" t="str">
            <v>KW</v>
          </cell>
          <cell r="X143" t="str">
            <v>Allradtraktor</v>
          </cell>
          <cell r="Y143">
            <v>75</v>
          </cell>
          <cell r="Z143" t="str">
            <v>75 KW</v>
          </cell>
          <cell r="AA143">
            <v>11.162000000000001</v>
          </cell>
        </row>
        <row r="144">
          <cell r="U144" t="str">
            <v>A2</v>
          </cell>
          <cell r="V144" t="str">
            <v>x</v>
          </cell>
          <cell r="W144" t="str">
            <v>lt</v>
          </cell>
          <cell r="X144" t="str">
            <v>Vakuumfass</v>
          </cell>
          <cell r="Y144">
            <v>3000</v>
          </cell>
          <cell r="Z144" t="str">
            <v>3000 lt</v>
          </cell>
          <cell r="AA144">
            <v>1.3</v>
          </cell>
        </row>
        <row r="145">
          <cell r="U145" t="str">
            <v/>
          </cell>
          <cell r="V145" t="str">
            <v/>
          </cell>
          <cell r="W145" t="str">
            <v/>
          </cell>
          <cell r="X145" t="str">
            <v/>
          </cell>
          <cell r="Y145" t="str">
            <v/>
          </cell>
          <cell r="Z145" t="str">
            <v xml:space="preserve"> </v>
          </cell>
          <cell r="AA145" t="str">
            <v/>
          </cell>
        </row>
        <row r="146">
          <cell r="U146" t="str">
            <v/>
          </cell>
          <cell r="V146" t="str">
            <v/>
          </cell>
          <cell r="W146" t="str">
            <v/>
          </cell>
          <cell r="X146" t="str">
            <v/>
          </cell>
          <cell r="Y146" t="str">
            <v/>
          </cell>
          <cell r="Z146" t="str">
            <v xml:space="preserve"> </v>
          </cell>
          <cell r="AA146" t="str">
            <v/>
          </cell>
        </row>
        <row r="147">
          <cell r="U147" t="str">
            <v/>
          </cell>
          <cell r="V147" t="str">
            <v/>
          </cell>
          <cell r="W147" t="str">
            <v/>
          </cell>
          <cell r="X147" t="str">
            <v/>
          </cell>
          <cell r="Y147" t="str">
            <v/>
          </cell>
          <cell r="Z147" t="str">
            <v xml:space="preserve"> </v>
          </cell>
          <cell r="AA147" t="str">
            <v/>
          </cell>
        </row>
        <row r="148">
          <cell r="U148" t="str">
            <v/>
          </cell>
          <cell r="V148" t="str">
            <v/>
          </cell>
          <cell r="W148" t="str">
            <v/>
          </cell>
          <cell r="X148" t="str">
            <v/>
          </cell>
          <cell r="Y148" t="str">
            <v/>
          </cell>
          <cell r="Z148" t="str">
            <v xml:space="preserve"> </v>
          </cell>
          <cell r="AA148" t="str">
            <v/>
          </cell>
        </row>
        <row r="150">
          <cell r="AB150">
            <v>2</v>
          </cell>
        </row>
        <row r="152">
          <cell r="X152">
            <v>3000</v>
          </cell>
          <cell r="Y152" t="str">
            <v xml:space="preserve"> lt</v>
          </cell>
        </row>
        <row r="157">
          <cell r="V157" t="str">
            <v>Allradtraktor</v>
          </cell>
          <cell r="W157">
            <v>75</v>
          </cell>
          <cell r="X157" t="str">
            <v>KW</v>
          </cell>
          <cell r="Y157">
            <v>2007</v>
          </cell>
          <cell r="Z157">
            <v>35410</v>
          </cell>
          <cell r="AA157">
            <v>16</v>
          </cell>
          <cell r="AB157">
            <v>11.162000000000001</v>
          </cell>
        </row>
        <row r="158">
          <cell r="V158" t="str">
            <v/>
          </cell>
          <cell r="W158" t="str">
            <v/>
          </cell>
          <cell r="X158" t="str">
            <v/>
          </cell>
          <cell r="Y158" t="str">
            <v/>
          </cell>
          <cell r="Z158" t="str">
            <v/>
          </cell>
          <cell r="AA158" t="str">
            <v/>
          </cell>
          <cell r="AB158" t="str">
            <v/>
          </cell>
        </row>
        <row r="159">
          <cell r="V159" t="str">
            <v/>
          </cell>
          <cell r="W159" t="str">
            <v/>
          </cell>
          <cell r="X159" t="str">
            <v/>
          </cell>
          <cell r="Y159" t="str">
            <v/>
          </cell>
          <cell r="Z159" t="str">
            <v/>
          </cell>
          <cell r="AA159" t="str">
            <v/>
          </cell>
          <cell r="AB159" t="str">
            <v/>
          </cell>
        </row>
        <row r="161">
          <cell r="U161" t="str">
            <v xml:space="preserve">  Ackern</v>
          </cell>
          <cell r="V161" t="str">
            <v>Pflug</v>
          </cell>
          <cell r="W161">
            <v>2</v>
          </cell>
          <cell r="X161" t="str">
            <v>- scharig</v>
          </cell>
          <cell r="Y161">
            <v>2015</v>
          </cell>
          <cell r="Z161">
            <v>1900</v>
          </cell>
          <cell r="AA161">
            <v>14</v>
          </cell>
          <cell r="AB161">
            <v>2.5099999999999998</v>
          </cell>
        </row>
        <row r="162">
          <cell r="U162" t="str">
            <v xml:space="preserve">  Laden&amp;Transport</v>
          </cell>
          <cell r="V162" t="str">
            <v>Ladewagen</v>
          </cell>
          <cell r="W162">
            <v>15</v>
          </cell>
          <cell r="X162" t="str">
            <v>m³</v>
          </cell>
          <cell r="Y162">
            <v>2011</v>
          </cell>
          <cell r="Z162">
            <v>6435</v>
          </cell>
          <cell r="AA162">
            <v>16</v>
          </cell>
          <cell r="AB162">
            <v>4</v>
          </cell>
        </row>
        <row r="163">
          <cell r="U163" t="str">
            <v xml:space="preserve">  Schwaden</v>
          </cell>
          <cell r="V163" t="str">
            <v>Heuraupe</v>
          </cell>
          <cell r="W163">
            <v>1.8</v>
          </cell>
          <cell r="X163" t="str">
            <v>m</v>
          </cell>
          <cell r="Y163">
            <v>2009</v>
          </cell>
          <cell r="Z163">
            <v>2100</v>
          </cell>
          <cell r="AA163">
            <v>12</v>
          </cell>
          <cell r="AB163">
            <v>0.7</v>
          </cell>
        </row>
        <row r="164">
          <cell r="U164" t="str">
            <v xml:space="preserve">  Melken</v>
          </cell>
          <cell r="V164" t="str">
            <v>Melkmaschine</v>
          </cell>
          <cell r="W164">
            <v>1.2</v>
          </cell>
          <cell r="X164" t="str">
            <v>KW</v>
          </cell>
          <cell r="Y164">
            <v>2017</v>
          </cell>
          <cell r="Z164">
            <v>4280</v>
          </cell>
          <cell r="AA164">
            <v>20</v>
          </cell>
          <cell r="AB164">
            <v>1.1200000000000001</v>
          </cell>
        </row>
        <row r="165">
          <cell r="U165" t="str">
            <v xml:space="preserve">  Buttererzeugung</v>
          </cell>
          <cell r="V165" t="str">
            <v>Zentrifuge</v>
          </cell>
          <cell r="W165">
            <v>10</v>
          </cell>
          <cell r="X165" t="str">
            <v>lt</v>
          </cell>
          <cell r="Y165">
            <v>2012</v>
          </cell>
          <cell r="Z165">
            <v>780</v>
          </cell>
          <cell r="AA165">
            <v>20</v>
          </cell>
          <cell r="AB165">
            <v>2.0299999999999998</v>
          </cell>
        </row>
        <row r="166">
          <cell r="U166" t="str">
            <v xml:space="preserve">  Einlagern</v>
          </cell>
          <cell r="V166" t="str">
            <v>Gebläse</v>
          </cell>
          <cell r="W166">
            <v>5.2</v>
          </cell>
          <cell r="X166" t="str">
            <v>KW</v>
          </cell>
          <cell r="Y166">
            <v>2018</v>
          </cell>
          <cell r="Z166">
            <v>2340</v>
          </cell>
          <cell r="AA166">
            <v>16</v>
          </cell>
          <cell r="AB166">
            <v>1.8</v>
          </cell>
        </row>
        <row r="167">
          <cell r="U167" t="str">
            <v xml:space="preserve">  Gülleausbringung</v>
          </cell>
          <cell r="V167" t="str">
            <v>Vakuumfass</v>
          </cell>
          <cell r="W167">
            <v>3000</v>
          </cell>
          <cell r="X167" t="str">
            <v>lt</v>
          </cell>
          <cell r="Y167">
            <v>2004</v>
          </cell>
          <cell r="Z167">
            <v>2800</v>
          </cell>
          <cell r="AA167">
            <v>14</v>
          </cell>
          <cell r="AB167">
            <v>1.3</v>
          </cell>
        </row>
        <row r="168">
          <cell r="U168" t="str">
            <v xml:space="preserve">  Butter treiben</v>
          </cell>
          <cell r="V168" t="str">
            <v>Butterfass</v>
          </cell>
          <cell r="W168">
            <v>4</v>
          </cell>
          <cell r="X168" t="str">
            <v>lt</v>
          </cell>
          <cell r="Y168">
            <v>2004</v>
          </cell>
          <cell r="Z168">
            <v>900</v>
          </cell>
          <cell r="AA168">
            <v>20</v>
          </cell>
          <cell r="AB168">
            <v>0.95</v>
          </cell>
        </row>
        <row r="169">
          <cell r="U169" t="str">
            <v xml:space="preserve">  Mist streuen</v>
          </cell>
          <cell r="V169" t="str">
            <v>Miststreuer</v>
          </cell>
          <cell r="W169">
            <v>2.5</v>
          </cell>
          <cell r="X169" t="str">
            <v>t</v>
          </cell>
          <cell r="Y169">
            <v>2016</v>
          </cell>
          <cell r="Z169">
            <v>3500</v>
          </cell>
          <cell r="AA169">
            <v>14</v>
          </cell>
          <cell r="AB169">
            <v>2.16</v>
          </cell>
        </row>
        <row r="170">
          <cell r="U170" t="str">
            <v xml:space="preserve">  Zetten&amp;Wenden</v>
          </cell>
          <cell r="V170" t="str">
            <v>Kreiselzetter</v>
          </cell>
          <cell r="W170">
            <v>2.8</v>
          </cell>
          <cell r="X170" t="str">
            <v>m</v>
          </cell>
          <cell r="Y170">
            <v>2008</v>
          </cell>
          <cell r="Z170">
            <v>1992</v>
          </cell>
          <cell r="AA170">
            <v>12</v>
          </cell>
          <cell r="AB170">
            <v>1.52</v>
          </cell>
        </row>
        <row r="171">
          <cell r="U171" t="str">
            <v xml:space="preserve">  Transport-PKW</v>
          </cell>
          <cell r="V171" t="str">
            <v>PKW-Anhänger</v>
          </cell>
          <cell r="W171">
            <v>600</v>
          </cell>
          <cell r="X171" t="str">
            <v>kg</v>
          </cell>
          <cell r="Y171">
            <v>2007</v>
          </cell>
          <cell r="Z171">
            <v>630</v>
          </cell>
          <cell r="AA171">
            <v>16</v>
          </cell>
          <cell r="AB171">
            <v>1.23</v>
          </cell>
        </row>
        <row r="172">
          <cell r="U172" t="str">
            <v xml:space="preserve">  Mähen</v>
          </cell>
          <cell r="V172" t="str">
            <v>Mähwerk</v>
          </cell>
          <cell r="W172">
            <v>185</v>
          </cell>
          <cell r="X172" t="str">
            <v>m</v>
          </cell>
          <cell r="Y172">
            <v>2011</v>
          </cell>
          <cell r="Z172">
            <v>2850</v>
          </cell>
          <cell r="AA172">
            <v>15</v>
          </cell>
          <cell r="AB172">
            <v>1.7</v>
          </cell>
        </row>
        <row r="173">
          <cell r="U173" t="str">
            <v xml:space="preserve">  Handmähen</v>
          </cell>
          <cell r="V173" t="str">
            <v>Motormäher</v>
          </cell>
          <cell r="W173">
            <v>4.4000000000000004</v>
          </cell>
          <cell r="X173" t="str">
            <v>KW</v>
          </cell>
          <cell r="Y173">
            <v>2017</v>
          </cell>
          <cell r="Z173">
            <v>1256</v>
          </cell>
          <cell r="AA173">
            <v>16</v>
          </cell>
          <cell r="AB173">
            <v>0.72</v>
          </cell>
        </row>
        <row r="174">
          <cell r="U174" t="str">
            <v xml:space="preserve">  Ladearbeiten</v>
          </cell>
          <cell r="V174" t="str">
            <v>Frontlader</v>
          </cell>
          <cell r="W174">
            <v>1.4</v>
          </cell>
          <cell r="X174" t="str">
            <v>m</v>
          </cell>
          <cell r="Y174">
            <v>2016</v>
          </cell>
          <cell r="Z174">
            <v>1200</v>
          </cell>
          <cell r="AA174">
            <v>18</v>
          </cell>
          <cell r="AB174">
            <v>0.5</v>
          </cell>
        </row>
        <row r="175">
          <cell r="U175" t="str">
            <v xml:space="preserve">  Abschleppen</v>
          </cell>
          <cell r="V175" t="str">
            <v>Ackerschleppe</v>
          </cell>
          <cell r="W175">
            <v>4</v>
          </cell>
          <cell r="X175" t="str">
            <v>m</v>
          </cell>
          <cell r="Y175">
            <v>2012</v>
          </cell>
          <cell r="Z175">
            <v>650</v>
          </cell>
          <cell r="AA175">
            <v>16</v>
          </cell>
          <cell r="AB175">
            <v>0.95</v>
          </cell>
        </row>
        <row r="176">
          <cell r="U176" t="str">
            <v/>
          </cell>
          <cell r="V176" t="str">
            <v/>
          </cell>
          <cell r="W176" t="str">
            <v/>
          </cell>
          <cell r="X176" t="str">
            <v/>
          </cell>
          <cell r="Y176" t="str">
            <v/>
          </cell>
          <cell r="Z176" t="str">
            <v/>
          </cell>
          <cell r="AA176" t="str">
            <v/>
          </cell>
          <cell r="AB176" t="str">
            <v/>
          </cell>
        </row>
        <row r="177">
          <cell r="U177" t="str">
            <v xml:space="preserve">  Pflegearbeiten</v>
          </cell>
        </row>
        <row r="178">
          <cell r="U178" t="str">
            <v xml:space="preserve">  Unkaut jäten</v>
          </cell>
        </row>
        <row r="179">
          <cell r="U179" t="str">
            <v xml:space="preserve">  Handarbeiten</v>
          </cell>
        </row>
        <row r="180">
          <cell r="U180" t="str">
            <v xml:space="preserve">  Mäuse fangen</v>
          </cell>
        </row>
        <row r="181">
          <cell r="U181" t="str">
            <v xml:space="preserve">  Wiesen räumen</v>
          </cell>
        </row>
      </sheetData>
      <sheetData sheetId="9">
        <row r="12">
          <cell r="F12">
            <v>4</v>
          </cell>
          <cell r="H12" t="str">
            <v>Dauergrünland 3-schnittig</v>
          </cell>
        </row>
        <row r="14">
          <cell r="F14">
            <v>3</v>
          </cell>
        </row>
        <row r="16">
          <cell r="F16">
            <v>0.86</v>
          </cell>
          <cell r="H16" t="str">
            <v>Heu</v>
          </cell>
        </row>
        <row r="18">
          <cell r="F18">
            <v>0.2</v>
          </cell>
        </row>
        <row r="21">
          <cell r="H21">
            <v>11.162000000000001</v>
          </cell>
        </row>
        <row r="23">
          <cell r="H23" t="str">
            <v/>
          </cell>
        </row>
        <row r="25">
          <cell r="H25" t="str">
            <v/>
          </cell>
        </row>
        <row r="28">
          <cell r="H28">
            <v>75</v>
          </cell>
          <cell r="J28" t="str">
            <v/>
          </cell>
          <cell r="L28" t="str">
            <v/>
          </cell>
        </row>
        <row r="32">
          <cell r="C32" t="str">
            <v xml:space="preserve">  Festmist</v>
          </cell>
          <cell r="Q32">
            <v>12.222</v>
          </cell>
        </row>
        <row r="34">
          <cell r="C34" t="str">
            <v xml:space="preserve">  Jauche</v>
          </cell>
          <cell r="Q34">
            <v>9.4</v>
          </cell>
        </row>
        <row r="36">
          <cell r="C36" t="str">
            <v xml:space="preserve">  Abschleppen</v>
          </cell>
          <cell r="H36" t="str">
            <v>x</v>
          </cell>
          <cell r="N36">
            <v>0.95</v>
          </cell>
          <cell r="Q36">
            <v>2.2999999999999998</v>
          </cell>
        </row>
        <row r="38">
          <cell r="C38" t="str">
            <v xml:space="preserve">  Pflegearbeiten</v>
          </cell>
          <cell r="N38" t="str">
            <v/>
          </cell>
          <cell r="Q38">
            <v>4</v>
          </cell>
        </row>
        <row r="40">
          <cell r="N40" t="str">
            <v/>
          </cell>
          <cell r="Q40" t="str">
            <v/>
          </cell>
        </row>
        <row r="42">
          <cell r="C42" t="str">
            <v xml:space="preserve">  Mähen</v>
          </cell>
          <cell r="H42" t="str">
            <v>x</v>
          </cell>
          <cell r="N42">
            <v>1.7</v>
          </cell>
          <cell r="Q42">
            <v>3.4</v>
          </cell>
        </row>
        <row r="44">
          <cell r="C44" t="str">
            <v xml:space="preserve">  Zetten&amp;Wenden</v>
          </cell>
          <cell r="H44" t="str">
            <v>x</v>
          </cell>
          <cell r="N44">
            <v>1.52</v>
          </cell>
          <cell r="Q44">
            <v>3.4</v>
          </cell>
        </row>
        <row r="46">
          <cell r="C46" t="str">
            <v xml:space="preserve">  Schwaden</v>
          </cell>
          <cell r="H46" t="str">
            <v>x</v>
          </cell>
          <cell r="N46">
            <v>0.7</v>
          </cell>
          <cell r="Q46">
            <v>2.9</v>
          </cell>
        </row>
        <row r="48">
          <cell r="C48" t="str">
            <v xml:space="preserve">  Laden&amp;Transport</v>
          </cell>
          <cell r="H48" t="str">
            <v>x</v>
          </cell>
          <cell r="N48">
            <v>4</v>
          </cell>
          <cell r="Q48">
            <v>5.7</v>
          </cell>
        </row>
        <row r="50">
          <cell r="C50" t="str">
            <v xml:space="preserve">  Einlagern</v>
          </cell>
          <cell r="H50" t="str">
            <v>x</v>
          </cell>
          <cell r="N50">
            <v>1.8</v>
          </cell>
          <cell r="Q50">
            <v>5.0999999999999996</v>
          </cell>
        </row>
        <row r="52">
          <cell r="N52" t="str">
            <v/>
          </cell>
          <cell r="Q52" t="str">
            <v/>
          </cell>
        </row>
        <row r="54">
          <cell r="N54" t="str">
            <v/>
          </cell>
          <cell r="Q54" t="str">
            <v/>
          </cell>
        </row>
        <row r="56">
          <cell r="N56" t="str">
            <v/>
          </cell>
          <cell r="Q56" t="str">
            <v/>
          </cell>
        </row>
        <row r="58">
          <cell r="N58" t="str">
            <v/>
          </cell>
          <cell r="Q58" t="str">
            <v/>
          </cell>
        </row>
        <row r="61">
          <cell r="B61" t="str">
            <v>Belüftungskosten je kg Trockenmasse</v>
          </cell>
          <cell r="Q61">
            <v>1.0999999999999999E-2</v>
          </cell>
        </row>
        <row r="65">
          <cell r="Q65">
            <v>7410</v>
          </cell>
        </row>
        <row r="67">
          <cell r="Q67">
            <v>0.17</v>
          </cell>
        </row>
        <row r="69">
          <cell r="F69">
            <v>7.15</v>
          </cell>
        </row>
        <row r="73">
          <cell r="Q73" t="str">
            <v/>
          </cell>
          <cell r="R73" t="str">
            <v/>
          </cell>
        </row>
        <row r="75">
          <cell r="Q75" t="str">
            <v/>
          </cell>
          <cell r="R75" t="str">
            <v/>
          </cell>
        </row>
        <row r="78">
          <cell r="Q78" t="str">
            <v/>
          </cell>
          <cell r="R78" t="str">
            <v/>
          </cell>
        </row>
        <row r="80">
          <cell r="Q80" t="str">
            <v/>
          </cell>
          <cell r="R80" t="str">
            <v/>
          </cell>
        </row>
        <row r="82">
          <cell r="Q82" t="str">
            <v/>
          </cell>
          <cell r="R82" t="str">
            <v/>
          </cell>
        </row>
        <row r="85">
          <cell r="Q85" t="str">
            <v/>
          </cell>
        </row>
        <row r="87">
          <cell r="Q87" t="str">
            <v/>
          </cell>
        </row>
        <row r="89">
          <cell r="Q89" t="str">
            <v/>
          </cell>
        </row>
        <row r="97">
          <cell r="T97" t="str">
            <v>x</v>
          </cell>
        </row>
      </sheetData>
      <sheetData sheetId="10">
        <row r="12">
          <cell r="C12" t="str">
            <v>Himbeer-Jogurt</v>
          </cell>
        </row>
        <row r="15">
          <cell r="B15" t="str">
            <v>Glasgröße</v>
          </cell>
          <cell r="M15">
            <v>0.26</v>
          </cell>
        </row>
        <row r="17">
          <cell r="B17" t="str">
            <v>Verkaufsmenge</v>
          </cell>
          <cell r="M17">
            <v>189</v>
          </cell>
        </row>
        <row r="19">
          <cell r="B19" t="str">
            <v>Verkaufserlös</v>
          </cell>
          <cell r="M19">
            <v>0.71</v>
          </cell>
        </row>
        <row r="22">
          <cell r="B22" t="str">
            <v>Rohmilch</v>
          </cell>
          <cell r="M22">
            <v>0.34</v>
          </cell>
          <cell r="N22" t="str">
            <v>pro lt</v>
          </cell>
        </row>
        <row r="25">
          <cell r="B25" t="str">
            <v>Glas</v>
          </cell>
          <cell r="J25" t="str">
            <v>/ Stk.</v>
          </cell>
          <cell r="O25">
            <v>0.21</v>
          </cell>
        </row>
        <row r="27">
          <cell r="B27" t="str">
            <v>Deckel und Etikett</v>
          </cell>
          <cell r="J27" t="str">
            <v>/ Stk.</v>
          </cell>
          <cell r="O27">
            <v>0.11</v>
          </cell>
        </row>
        <row r="29">
          <cell r="B29" t="str">
            <v>Jogurtkultur</v>
          </cell>
          <cell r="J29" t="str">
            <v>/ Kaffeelöffel</v>
          </cell>
          <cell r="N29">
            <v>4</v>
          </cell>
          <cell r="O29">
            <v>0.44</v>
          </cell>
        </row>
        <row r="31">
          <cell r="B31" t="str">
            <v>Geschmackszutaten: Himbee</v>
          </cell>
          <cell r="J31" t="str">
            <v>/ kg</v>
          </cell>
          <cell r="N31">
            <v>1.6</v>
          </cell>
          <cell r="O31">
            <v>17.850000000000001</v>
          </cell>
        </row>
        <row r="33">
          <cell r="B33" t="str">
            <v>Zucker</v>
          </cell>
          <cell r="J33" t="str">
            <v>/ kg</v>
          </cell>
          <cell r="N33">
            <v>0.5</v>
          </cell>
          <cell r="O33">
            <v>0.95</v>
          </cell>
        </row>
        <row r="35">
          <cell r="B35" t="str">
            <v>Strom</v>
          </cell>
          <cell r="J35" t="str">
            <v>/ KWh</v>
          </cell>
          <cell r="N35">
            <v>25</v>
          </cell>
          <cell r="O35">
            <v>0.15</v>
          </cell>
        </row>
        <row r="37">
          <cell r="B37" t="str">
            <v>Wasser (inkl. Abwasser)</v>
          </cell>
          <cell r="J37" t="str">
            <v>/ m³</v>
          </cell>
          <cell r="N37">
            <v>3.2</v>
          </cell>
          <cell r="O37">
            <v>1.79</v>
          </cell>
        </row>
        <row r="39">
          <cell r="B39" t="str">
            <v/>
          </cell>
          <cell r="N39" t="str">
            <v/>
          </cell>
          <cell r="O39" t="str">
            <v/>
          </cell>
        </row>
        <row r="41">
          <cell r="B41" t="str">
            <v/>
          </cell>
          <cell r="J41" t="str">
            <v/>
          </cell>
          <cell r="N41" t="str">
            <v/>
          </cell>
          <cell r="O41" t="str">
            <v/>
          </cell>
        </row>
        <row r="44">
          <cell r="B44" t="str">
            <v>Arbeitszeitbedarf für Herstellung und Abfüllung</v>
          </cell>
          <cell r="N44">
            <v>19</v>
          </cell>
          <cell r="O44">
            <v>189</v>
          </cell>
        </row>
        <row r="46">
          <cell r="B46" t="str">
            <v>Lohnansatz</v>
          </cell>
          <cell r="N46">
            <v>7.4</v>
          </cell>
          <cell r="O46" t="str">
            <v>je Akh</v>
          </cell>
        </row>
        <row r="49">
          <cell r="B49" t="str">
            <v>Pasteur</v>
          </cell>
          <cell r="N49">
            <v>670</v>
          </cell>
          <cell r="O49" t="str">
            <v>/Jahr</v>
          </cell>
        </row>
        <row r="51">
          <cell r="B51" t="str">
            <v>Kühlschrank</v>
          </cell>
          <cell r="N51">
            <v>330</v>
          </cell>
          <cell r="O51" t="str">
            <v>/Jahr</v>
          </cell>
        </row>
        <row r="53">
          <cell r="B53" t="str">
            <v>Geschirrspüler</v>
          </cell>
          <cell r="N53">
            <v>270</v>
          </cell>
          <cell r="O53" t="str">
            <v>/Jahr</v>
          </cell>
        </row>
        <row r="56">
          <cell r="B56" t="str">
            <v>Gemein- und Vermarktungskostenzuschlag</v>
          </cell>
          <cell r="N56">
            <v>3.2000000000000001E-2</v>
          </cell>
          <cell r="O56" t="str">
            <v>der Herstellungskosten</v>
          </cell>
        </row>
        <row r="58">
          <cell r="B58" t="str">
            <v>Gewinn- und Risikozuschlag</v>
          </cell>
          <cell r="N58">
            <v>3.6999999999999998E-2</v>
          </cell>
          <cell r="O58" t="str">
            <v>der Vollkosten</v>
          </cell>
        </row>
      </sheetData>
      <sheetData sheetId="11">
        <row r="12">
          <cell r="C12" t="str">
            <v>Allradtraktor</v>
          </cell>
        </row>
        <row r="15">
          <cell r="C15">
            <v>75</v>
          </cell>
          <cell r="D15" t="str">
            <v>KW</v>
          </cell>
        </row>
        <row r="17">
          <cell r="J17">
            <v>35410</v>
          </cell>
        </row>
        <row r="19">
          <cell r="G19">
            <v>220</v>
          </cell>
          <cell r="J19">
            <v>2007</v>
          </cell>
          <cell r="K19">
            <v>213</v>
          </cell>
        </row>
        <row r="21">
          <cell r="G21">
            <v>2020</v>
          </cell>
          <cell r="J21">
            <v>16</v>
          </cell>
        </row>
        <row r="24">
          <cell r="J24">
            <v>0.01</v>
          </cell>
          <cell r="K24">
            <v>0.03</v>
          </cell>
        </row>
        <row r="26">
          <cell r="J26" t="str">
            <v/>
          </cell>
          <cell r="K26">
            <v>4.08</v>
          </cell>
        </row>
        <row r="28">
          <cell r="G28">
            <v>0.02</v>
          </cell>
        </row>
        <row r="30">
          <cell r="J30">
            <v>0.01</v>
          </cell>
        </row>
        <row r="32">
          <cell r="J32" t="str">
            <v/>
          </cell>
        </row>
      </sheetData>
      <sheetData sheetId="12">
        <row r="12">
          <cell r="C12" t="str">
            <v>Motorsäge</v>
          </cell>
        </row>
        <row r="15">
          <cell r="C15">
            <v>4</v>
          </cell>
          <cell r="D15" t="str">
            <v>KW</v>
          </cell>
        </row>
        <row r="17">
          <cell r="J17">
            <v>700</v>
          </cell>
        </row>
        <row r="19">
          <cell r="G19">
            <v>24</v>
          </cell>
          <cell r="J19">
            <v>1995</v>
          </cell>
          <cell r="K19">
            <v>25</v>
          </cell>
        </row>
        <row r="21">
          <cell r="G21">
            <v>2020</v>
          </cell>
          <cell r="J21">
            <v>15</v>
          </cell>
        </row>
        <row r="24">
          <cell r="J24">
            <v>0.01</v>
          </cell>
          <cell r="K24">
            <v>0.03</v>
          </cell>
        </row>
        <row r="26">
          <cell r="J26" t="str">
            <v/>
          </cell>
          <cell r="K26">
            <v>2.38</v>
          </cell>
        </row>
        <row r="28">
          <cell r="G28">
            <v>0.1</v>
          </cell>
        </row>
        <row r="30">
          <cell r="J30">
            <v>0.01</v>
          </cell>
        </row>
        <row r="32">
          <cell r="J32" t="str">
            <v/>
          </cell>
        </row>
      </sheetData>
      <sheetData sheetId="13">
        <row r="12">
          <cell r="C12" t="str">
            <v>Betriebsversicherungen</v>
          </cell>
          <cell r="N12">
            <v>646</v>
          </cell>
        </row>
        <row r="14">
          <cell r="C14" t="str">
            <v>Betriebssteuern und -abgaben</v>
          </cell>
          <cell r="N14">
            <v>285</v>
          </cell>
        </row>
        <row r="15">
          <cell r="C15" t="str">
            <v>Abschreibung</v>
          </cell>
        </row>
        <row r="16">
          <cell r="C16" t="str">
            <v xml:space="preserve">              Grundverbesserungen</v>
          </cell>
        </row>
        <row r="17">
          <cell r="C17" t="str">
            <v xml:space="preserve">              Betriebs- und Geschäftsausstattung</v>
          </cell>
        </row>
        <row r="18">
          <cell r="C18" t="str">
            <v xml:space="preserve">              Maschinen</v>
          </cell>
        </row>
        <row r="19">
          <cell r="C19" t="str">
            <v xml:space="preserve">              Gebäude</v>
          </cell>
        </row>
        <row r="20">
          <cell r="C20" t="str">
            <v>Gebäudereparaturen</v>
          </cell>
          <cell r="N20">
            <v>1140</v>
          </cell>
        </row>
        <row r="22">
          <cell r="C22" t="str">
            <v>Pachtzinse</v>
          </cell>
          <cell r="N22" t="str">
            <v/>
          </cell>
        </row>
        <row r="24">
          <cell r="C24" t="str">
            <v>Schuldzinse</v>
          </cell>
          <cell r="N24">
            <v>463</v>
          </cell>
        </row>
        <row r="26">
          <cell r="C26" t="str">
            <v>Ausgedingelasten</v>
          </cell>
          <cell r="N26" t="str">
            <v/>
          </cell>
        </row>
        <row r="28">
          <cell r="C28" t="str">
            <v>Vewaltungskosten</v>
          </cell>
          <cell r="N28">
            <v>651</v>
          </cell>
        </row>
        <row r="30">
          <cell r="N30" t="str">
            <v/>
          </cell>
        </row>
        <row r="32">
          <cell r="N32" t="str">
            <v/>
          </cell>
        </row>
      </sheetData>
      <sheetData sheetId="14">
        <row r="14">
          <cell r="D14" t="str">
            <v>RINDER</v>
          </cell>
        </row>
        <row r="18">
          <cell r="C18" t="str">
            <v>Milchkühe</v>
          </cell>
          <cell r="E18">
            <v>4</v>
          </cell>
          <cell r="K18">
            <v>4</v>
          </cell>
          <cell r="S18">
            <v>1102</v>
          </cell>
          <cell r="T18">
            <v>1102</v>
          </cell>
        </row>
        <row r="20">
          <cell r="C20" t="str">
            <v>Kalbinnen</v>
          </cell>
          <cell r="E20">
            <v>2</v>
          </cell>
          <cell r="K20">
            <v>3</v>
          </cell>
          <cell r="S20">
            <v>1178</v>
          </cell>
          <cell r="T20">
            <v>1178</v>
          </cell>
        </row>
        <row r="22">
          <cell r="C22" t="str">
            <v>Kälber</v>
          </cell>
          <cell r="E22">
            <v>2</v>
          </cell>
          <cell r="K22">
            <v>3</v>
          </cell>
          <cell r="S22">
            <v>171</v>
          </cell>
          <cell r="T22">
            <v>171</v>
          </cell>
        </row>
        <row r="24">
          <cell r="S24" t="str">
            <v/>
          </cell>
          <cell r="T24" t="str">
            <v/>
          </cell>
        </row>
        <row r="26">
          <cell r="S26" t="str">
            <v/>
          </cell>
          <cell r="T26" t="str">
            <v/>
          </cell>
        </row>
        <row r="28">
          <cell r="S28" t="str">
            <v/>
          </cell>
          <cell r="T28" t="str">
            <v/>
          </cell>
        </row>
        <row r="30">
          <cell r="S30" t="str">
            <v/>
          </cell>
          <cell r="T30" t="str">
            <v/>
          </cell>
        </row>
        <row r="32">
          <cell r="D32" t="str">
            <v>SCHWEINE</v>
          </cell>
        </row>
        <row r="36">
          <cell r="S36" t="str">
            <v/>
          </cell>
          <cell r="T36" t="str">
            <v/>
          </cell>
        </row>
        <row r="38">
          <cell r="S38" t="str">
            <v/>
          </cell>
          <cell r="T38" t="str">
            <v/>
          </cell>
        </row>
        <row r="40">
          <cell r="S40" t="str">
            <v/>
          </cell>
          <cell r="T40" t="str">
            <v/>
          </cell>
        </row>
        <row r="42">
          <cell r="S42" t="str">
            <v/>
          </cell>
          <cell r="T42" t="str">
            <v/>
          </cell>
        </row>
        <row r="44">
          <cell r="S44" t="str">
            <v/>
          </cell>
          <cell r="T44" t="str">
            <v/>
          </cell>
        </row>
        <row r="50">
          <cell r="C50" t="str">
            <v>Gerste</v>
          </cell>
          <cell r="E50">
            <v>25</v>
          </cell>
          <cell r="K50">
            <v>100</v>
          </cell>
          <cell r="S50">
            <v>0.13</v>
          </cell>
          <cell r="T50">
            <v>0.13</v>
          </cell>
        </row>
        <row r="52">
          <cell r="C52" t="str">
            <v>Hafer</v>
          </cell>
          <cell r="E52">
            <v>4</v>
          </cell>
          <cell r="K52">
            <v>25</v>
          </cell>
          <cell r="S52">
            <v>0.15</v>
          </cell>
          <cell r="T52">
            <v>0.15</v>
          </cell>
        </row>
        <row r="54">
          <cell r="C54" t="str">
            <v>Kartoffel</v>
          </cell>
          <cell r="E54">
            <v>1450</v>
          </cell>
          <cell r="K54">
            <v>650</v>
          </cell>
          <cell r="S54">
            <v>0.21</v>
          </cell>
          <cell r="T54">
            <v>0.21</v>
          </cell>
        </row>
        <row r="56">
          <cell r="S56" t="str">
            <v/>
          </cell>
          <cell r="T56" t="str">
            <v/>
          </cell>
        </row>
        <row r="58">
          <cell r="S58" t="str">
            <v/>
          </cell>
          <cell r="T58" t="str">
            <v/>
          </cell>
        </row>
        <row r="64">
          <cell r="C64" t="str">
            <v>Milchkraftfutter</v>
          </cell>
          <cell r="E64">
            <v>260</v>
          </cell>
          <cell r="K64">
            <v>600</v>
          </cell>
          <cell r="S64">
            <v>0.24</v>
          </cell>
          <cell r="T64">
            <v>0.24</v>
          </cell>
        </row>
        <row r="66">
          <cell r="C66" t="str">
            <v>Weizenschrot</v>
          </cell>
          <cell r="E66">
            <v>169</v>
          </cell>
          <cell r="K66">
            <v>300</v>
          </cell>
          <cell r="S66">
            <v>0.23</v>
          </cell>
          <cell r="T66">
            <v>0.23</v>
          </cell>
        </row>
        <row r="68">
          <cell r="C68" t="str">
            <v>Erbsenschrot</v>
          </cell>
          <cell r="E68">
            <v>55</v>
          </cell>
          <cell r="K68">
            <v>100</v>
          </cell>
          <cell r="S68">
            <v>0.2</v>
          </cell>
          <cell r="T68">
            <v>0.2</v>
          </cell>
        </row>
        <row r="70">
          <cell r="S70" t="str">
            <v/>
          </cell>
          <cell r="T70" t="str">
            <v/>
          </cell>
        </row>
        <row r="72">
          <cell r="S72" t="str">
            <v/>
          </cell>
          <cell r="T72" t="str">
            <v/>
          </cell>
        </row>
        <row r="76">
          <cell r="C76" t="str">
            <v>Kassa</v>
          </cell>
          <cell r="S76">
            <v>2441</v>
          </cell>
        </row>
        <row r="78">
          <cell r="C78" t="str">
            <v>Girokonto</v>
          </cell>
          <cell r="S78">
            <v>18008</v>
          </cell>
        </row>
        <row r="80">
          <cell r="C80" t="str">
            <v>Offene Forderungen: Gasthof Sonne</v>
          </cell>
          <cell r="S80">
            <v>1067</v>
          </cell>
        </row>
        <row r="82">
          <cell r="C82" t="str">
            <v>Verbindlichkeiten Futtermittellieferanten</v>
          </cell>
          <cell r="S82">
            <v>749</v>
          </cell>
        </row>
        <row r="84">
          <cell r="C84" t="str">
            <v>Darlehen</v>
          </cell>
          <cell r="S84">
            <v>7980</v>
          </cell>
        </row>
        <row r="86">
          <cell r="S86" t="str">
            <v/>
          </cell>
        </row>
        <row r="88">
          <cell r="S88" t="str">
            <v/>
          </cell>
        </row>
      </sheetData>
      <sheetData sheetId="15">
        <row r="1">
          <cell r="A1">
            <v>2020</v>
          </cell>
        </row>
        <row r="12">
          <cell r="B12" t="str">
            <v>Grundverbesserungen</v>
          </cell>
        </row>
        <row r="15">
          <cell r="C15" t="str">
            <v>Rohrdrainage</v>
          </cell>
          <cell r="H15">
            <v>1997</v>
          </cell>
          <cell r="L15">
            <v>16</v>
          </cell>
          <cell r="Q15">
            <v>912</v>
          </cell>
        </row>
        <row r="17">
          <cell r="Q17" t="str">
            <v/>
          </cell>
        </row>
        <row r="19">
          <cell r="B19" t="str">
            <v>Gebäude und bauliche Anlagen</v>
          </cell>
        </row>
        <row r="22">
          <cell r="C22" t="str">
            <v>Stadel</v>
          </cell>
        </row>
        <row r="24">
          <cell r="C24" t="str">
            <v>Rinderstall (Warmstall)</v>
          </cell>
        </row>
        <row r="26">
          <cell r="C26" t="str">
            <v>Verarbeitungsraum</v>
          </cell>
          <cell r="H26">
            <v>2005</v>
          </cell>
          <cell r="L26">
            <v>30</v>
          </cell>
          <cell r="Q26">
            <v>5890</v>
          </cell>
        </row>
        <row r="28">
          <cell r="C28" t="str">
            <v>Maschinenschuppen</v>
          </cell>
          <cell r="H28">
            <v>2002</v>
          </cell>
          <cell r="L28">
            <v>40</v>
          </cell>
          <cell r="Q28">
            <v>4712</v>
          </cell>
        </row>
        <row r="30">
          <cell r="C30" t="str">
            <v>Garage mit Lagerraum</v>
          </cell>
          <cell r="H30">
            <v>1995</v>
          </cell>
          <cell r="L30">
            <v>30</v>
          </cell>
          <cell r="Q30">
            <v>14060</v>
          </cell>
        </row>
        <row r="32">
          <cell r="Q32" t="str">
            <v/>
          </cell>
        </row>
        <row r="34">
          <cell r="Q34" t="str">
            <v/>
          </cell>
        </row>
        <row r="36">
          <cell r="Q36" t="str">
            <v/>
          </cell>
        </row>
        <row r="38">
          <cell r="B38" t="str">
            <v>Maschinen und Geräte</v>
          </cell>
        </row>
        <row r="41">
          <cell r="C41" t="str">
            <v>Allradtraktor</v>
          </cell>
          <cell r="E41">
            <v>75</v>
          </cell>
          <cell r="F41" t="str">
            <v>KW</v>
          </cell>
          <cell r="H41">
            <v>2007</v>
          </cell>
          <cell r="L41">
            <v>16</v>
          </cell>
          <cell r="Q41">
            <v>35410</v>
          </cell>
        </row>
        <row r="43">
          <cell r="F43" t="str">
            <v/>
          </cell>
          <cell r="Q43" t="str">
            <v/>
          </cell>
        </row>
        <row r="45">
          <cell r="F45" t="str">
            <v/>
          </cell>
          <cell r="Q45" t="str">
            <v/>
          </cell>
        </row>
        <row r="47">
          <cell r="C47" t="str">
            <v>Motorsäge</v>
          </cell>
          <cell r="E47">
            <v>4</v>
          </cell>
          <cell r="F47" t="str">
            <v>KW</v>
          </cell>
          <cell r="H47">
            <v>1995</v>
          </cell>
          <cell r="L47">
            <v>15</v>
          </cell>
          <cell r="Q47">
            <v>700</v>
          </cell>
        </row>
        <row r="49">
          <cell r="C49" t="str">
            <v>Pflug</v>
          </cell>
          <cell r="E49">
            <v>2</v>
          </cell>
          <cell r="F49" t="str">
            <v>- scharig</v>
          </cell>
          <cell r="H49">
            <v>2015</v>
          </cell>
          <cell r="L49">
            <v>14</v>
          </cell>
          <cell r="Q49">
            <v>1805</v>
          </cell>
        </row>
        <row r="51">
          <cell r="C51" t="str">
            <v>Ladewagen</v>
          </cell>
          <cell r="E51">
            <v>15</v>
          </cell>
          <cell r="F51" t="str">
            <v>m³</v>
          </cell>
          <cell r="H51">
            <v>2011</v>
          </cell>
          <cell r="L51">
            <v>16</v>
          </cell>
          <cell r="Q51">
            <v>6113</v>
          </cell>
        </row>
        <row r="53">
          <cell r="C53" t="str">
            <v>Heuraupe</v>
          </cell>
          <cell r="E53">
            <v>1.8</v>
          </cell>
          <cell r="F53" t="str">
            <v>m</v>
          </cell>
          <cell r="H53">
            <v>2009</v>
          </cell>
          <cell r="L53">
            <v>12</v>
          </cell>
          <cell r="Q53">
            <v>1995</v>
          </cell>
        </row>
        <row r="55">
          <cell r="C55" t="str">
            <v>Melkmaschine</v>
          </cell>
          <cell r="E55">
            <v>1.2</v>
          </cell>
          <cell r="F55" t="str">
            <v>KW</v>
          </cell>
          <cell r="H55">
            <v>2017</v>
          </cell>
          <cell r="L55">
            <v>20</v>
          </cell>
          <cell r="Q55">
            <v>4066</v>
          </cell>
        </row>
        <row r="57">
          <cell r="C57" t="str">
            <v>Zentrifuge</v>
          </cell>
          <cell r="E57">
            <v>10</v>
          </cell>
          <cell r="F57" t="str">
            <v>lt</v>
          </cell>
          <cell r="H57">
            <v>2012</v>
          </cell>
          <cell r="L57">
            <v>20</v>
          </cell>
          <cell r="Q57">
            <v>741</v>
          </cell>
        </row>
        <row r="59">
          <cell r="C59" t="str">
            <v>Gebläse</v>
          </cell>
          <cell r="E59">
            <v>5.2</v>
          </cell>
          <cell r="F59" t="str">
            <v>KW</v>
          </cell>
          <cell r="H59">
            <v>2018</v>
          </cell>
          <cell r="L59">
            <v>16</v>
          </cell>
          <cell r="Q59">
            <v>2223</v>
          </cell>
        </row>
        <row r="61">
          <cell r="C61" t="str">
            <v>Vakuumfass</v>
          </cell>
          <cell r="E61">
            <v>3000</v>
          </cell>
          <cell r="F61" t="str">
            <v>lt</v>
          </cell>
          <cell r="H61">
            <v>2004</v>
          </cell>
          <cell r="L61">
            <v>14</v>
          </cell>
          <cell r="Q61">
            <v>2660</v>
          </cell>
        </row>
        <row r="63">
          <cell r="C63" t="str">
            <v>Butterfass</v>
          </cell>
          <cell r="E63">
            <v>4</v>
          </cell>
          <cell r="F63" t="str">
            <v>lt</v>
          </cell>
          <cell r="H63">
            <v>2004</v>
          </cell>
          <cell r="L63">
            <v>20</v>
          </cell>
          <cell r="Q63">
            <v>855</v>
          </cell>
        </row>
        <row r="65">
          <cell r="C65" t="str">
            <v>Miststreuer</v>
          </cell>
          <cell r="E65">
            <v>2.5</v>
          </cell>
          <cell r="F65" t="str">
            <v>t</v>
          </cell>
          <cell r="H65">
            <v>2016</v>
          </cell>
          <cell r="L65">
            <v>14</v>
          </cell>
          <cell r="Q65">
            <v>3325</v>
          </cell>
        </row>
        <row r="67">
          <cell r="C67" t="str">
            <v>Kreiselzetter</v>
          </cell>
          <cell r="E67">
            <v>2.8</v>
          </cell>
          <cell r="F67" t="str">
            <v>m</v>
          </cell>
          <cell r="H67">
            <v>2008</v>
          </cell>
          <cell r="L67">
            <v>12</v>
          </cell>
          <cell r="Q67">
            <v>1892</v>
          </cell>
        </row>
        <row r="69">
          <cell r="C69" t="str">
            <v>PKW-Anhänger</v>
          </cell>
          <cell r="E69">
            <v>600</v>
          </cell>
          <cell r="F69" t="str">
            <v>kg</v>
          </cell>
          <cell r="H69">
            <v>2007</v>
          </cell>
          <cell r="L69">
            <v>16</v>
          </cell>
          <cell r="Q69">
            <v>599</v>
          </cell>
        </row>
        <row r="71">
          <cell r="C71" t="str">
            <v>Mähwerk</v>
          </cell>
          <cell r="E71">
            <v>185</v>
          </cell>
          <cell r="F71" t="str">
            <v>m</v>
          </cell>
          <cell r="H71">
            <v>2011</v>
          </cell>
          <cell r="L71">
            <v>15</v>
          </cell>
          <cell r="Q71">
            <v>2708</v>
          </cell>
        </row>
        <row r="73">
          <cell r="C73" t="str">
            <v>Motormäher</v>
          </cell>
          <cell r="E73">
            <v>4.4000000000000004</v>
          </cell>
          <cell r="F73" t="str">
            <v>KW</v>
          </cell>
          <cell r="H73">
            <v>2017</v>
          </cell>
          <cell r="L73">
            <v>16</v>
          </cell>
          <cell r="Q73">
            <v>1193</v>
          </cell>
        </row>
        <row r="75">
          <cell r="C75" t="str">
            <v>Frontlader</v>
          </cell>
          <cell r="E75">
            <v>1.4</v>
          </cell>
          <cell r="F75" t="str">
            <v>m</v>
          </cell>
          <cell r="H75">
            <v>2016</v>
          </cell>
          <cell r="L75">
            <v>18</v>
          </cell>
          <cell r="Q75">
            <v>1140</v>
          </cell>
        </row>
        <row r="77">
          <cell r="C77" t="str">
            <v>Ackerschleppe</v>
          </cell>
          <cell r="E77">
            <v>4</v>
          </cell>
          <cell r="F77" t="str">
            <v>m</v>
          </cell>
          <cell r="H77">
            <v>2012</v>
          </cell>
          <cell r="L77">
            <v>16</v>
          </cell>
          <cell r="Q77">
            <v>618</v>
          </cell>
        </row>
        <row r="79">
          <cell r="F79" t="str">
            <v/>
          </cell>
          <cell r="Q79" t="str">
            <v/>
          </cell>
        </row>
        <row r="94">
          <cell r="C94" t="str">
            <v>Ackeregge</v>
          </cell>
          <cell r="D94" t="str">
            <v>m</v>
          </cell>
          <cell r="F94" t="str">
            <v>Eggen</v>
          </cell>
        </row>
        <row r="95">
          <cell r="C95" t="str">
            <v>Ackerschleppe</v>
          </cell>
          <cell r="D95" t="str">
            <v>m</v>
          </cell>
          <cell r="F95" t="str">
            <v>Abschleppen</v>
          </cell>
        </row>
        <row r="96">
          <cell r="C96" t="str">
            <v>Anhänger</v>
          </cell>
          <cell r="D96" t="str">
            <v>t</v>
          </cell>
          <cell r="F96" t="str">
            <v>Transport-A</v>
          </cell>
        </row>
        <row r="97">
          <cell r="C97" t="str">
            <v>Berennerei</v>
          </cell>
          <cell r="D97" t="str">
            <v>lt</v>
          </cell>
          <cell r="F97" t="str">
            <v>Edelbranderzeugung</v>
          </cell>
        </row>
        <row r="98">
          <cell r="C98" t="str">
            <v>Butterfass</v>
          </cell>
          <cell r="D98" t="str">
            <v>lt</v>
          </cell>
          <cell r="F98" t="str">
            <v>Butter treiben</v>
          </cell>
        </row>
        <row r="99">
          <cell r="C99" t="str">
            <v>Doppelmessermähwerk</v>
          </cell>
          <cell r="D99" t="str">
            <v>m</v>
          </cell>
          <cell r="F99" t="str">
            <v>Mähen</v>
          </cell>
        </row>
        <row r="100">
          <cell r="C100" t="str">
            <v>Düngerstreuer</v>
          </cell>
          <cell r="D100" t="str">
            <v>m</v>
          </cell>
          <cell r="F100" t="str">
            <v>Düngung</v>
          </cell>
        </row>
        <row r="101">
          <cell r="C101" t="str">
            <v>Egge</v>
          </cell>
          <cell r="D101" t="str">
            <v>m</v>
          </cell>
          <cell r="F101" t="str">
            <v>Eggen</v>
          </cell>
        </row>
        <row r="102">
          <cell r="C102" t="str">
            <v>Einzelkornsämaschine</v>
          </cell>
          <cell r="D102" t="str">
            <v>- reihig</v>
          </cell>
          <cell r="F102" t="str">
            <v>Maissaat</v>
          </cell>
        </row>
        <row r="103">
          <cell r="C103" t="str">
            <v>Elektromotor</v>
          </cell>
          <cell r="D103" t="str">
            <v>KW</v>
          </cell>
        </row>
        <row r="104">
          <cell r="C104" t="str">
            <v>Fingermähwerk</v>
          </cell>
          <cell r="D104" t="str">
            <v>m</v>
          </cell>
          <cell r="F104" t="str">
            <v>Mähen</v>
          </cell>
        </row>
        <row r="105">
          <cell r="C105" t="str">
            <v>Frontlader</v>
          </cell>
          <cell r="D105" t="str">
            <v>m</v>
          </cell>
          <cell r="F105" t="str">
            <v>Ladearbeiten</v>
          </cell>
        </row>
        <row r="106">
          <cell r="C106" t="str">
            <v>Futtermischer</v>
          </cell>
          <cell r="D106" t="str">
            <v>KW</v>
          </cell>
          <cell r="F106" t="str">
            <v>Futtermischung</v>
          </cell>
        </row>
        <row r="107">
          <cell r="C107" t="str">
            <v>Futtermischwagen</v>
          </cell>
          <cell r="D107" t="str">
            <v>m³</v>
          </cell>
          <cell r="F107" t="str">
            <v>Futtermischung</v>
          </cell>
        </row>
        <row r="108">
          <cell r="C108" t="str">
            <v>Gebläse</v>
          </cell>
          <cell r="D108" t="str">
            <v>KW</v>
          </cell>
          <cell r="F108" t="str">
            <v>Einlagern</v>
          </cell>
        </row>
        <row r="109">
          <cell r="C109" t="str">
            <v>Grubber</v>
          </cell>
          <cell r="D109" t="str">
            <v>Zinken</v>
          </cell>
          <cell r="F109" t="str">
            <v>Grubbern</v>
          </cell>
        </row>
        <row r="110">
          <cell r="C110" t="str">
            <v>Güllemixer</v>
          </cell>
          <cell r="D110" t="str">
            <v>KW</v>
          </cell>
          <cell r="F110" t="str">
            <v>Gülle mixen</v>
          </cell>
        </row>
        <row r="111">
          <cell r="C111" t="str">
            <v>Güllepumpe</v>
          </cell>
          <cell r="D111" t="str">
            <v>m³</v>
          </cell>
          <cell r="F111" t="str">
            <v>Gülle pumpen</v>
          </cell>
        </row>
        <row r="112">
          <cell r="C112" t="str">
            <v>Hackgerät</v>
          </cell>
          <cell r="D112" t="str">
            <v>- reihig</v>
          </cell>
          <cell r="F112" t="str">
            <v>Hacken</v>
          </cell>
        </row>
        <row r="113">
          <cell r="C113" t="str">
            <v>Hackstriegel</v>
          </cell>
          <cell r="D113" t="str">
            <v>m</v>
          </cell>
          <cell r="F113" t="str">
            <v>Striegeln</v>
          </cell>
        </row>
        <row r="114">
          <cell r="C114" t="str">
            <v>Heukran</v>
          </cell>
          <cell r="D114" t="str">
            <v>m</v>
          </cell>
          <cell r="F114" t="str">
            <v>Einlagern</v>
          </cell>
        </row>
        <row r="115">
          <cell r="C115" t="str">
            <v>Heuraupe</v>
          </cell>
          <cell r="D115" t="str">
            <v>m</v>
          </cell>
          <cell r="F115" t="str">
            <v>Schwaden</v>
          </cell>
        </row>
        <row r="116">
          <cell r="C116" t="str">
            <v>Hochdruckreiniger</v>
          </cell>
          <cell r="D116" t="str">
            <v>KW</v>
          </cell>
          <cell r="F116" t="str">
            <v>Reinigung</v>
          </cell>
        </row>
        <row r="117">
          <cell r="C117" t="str">
            <v>Holzspalter</v>
          </cell>
          <cell r="D117" t="str">
            <v>t</v>
          </cell>
          <cell r="F117" t="str">
            <v>Holz spalten</v>
          </cell>
        </row>
        <row r="118">
          <cell r="C118" t="str">
            <v>Kartoffellegemaschine</v>
          </cell>
          <cell r="D118" t="str">
            <v>- reihig</v>
          </cell>
          <cell r="F118" t="str">
            <v>Kartoffelsaat</v>
          </cell>
        </row>
        <row r="119">
          <cell r="C119" t="str">
            <v>Kartoffelvollernter</v>
          </cell>
          <cell r="D119" t="str">
            <v>t</v>
          </cell>
          <cell r="F119" t="str">
            <v>Kartoffelernte</v>
          </cell>
        </row>
        <row r="120">
          <cell r="C120" t="str">
            <v>Kipper</v>
          </cell>
          <cell r="D120" t="str">
            <v>t</v>
          </cell>
          <cell r="F120" t="str">
            <v>Transport-K</v>
          </cell>
        </row>
        <row r="121">
          <cell r="C121" t="str">
            <v>Kreiselschwader</v>
          </cell>
          <cell r="D121" t="str">
            <v>m</v>
          </cell>
          <cell r="F121" t="str">
            <v>Schwaden</v>
          </cell>
        </row>
        <row r="122">
          <cell r="C122" t="str">
            <v>Kreiselzetter</v>
          </cell>
          <cell r="D122" t="str">
            <v>m</v>
          </cell>
          <cell r="F122" t="str">
            <v>Zetten&amp;Wenden</v>
          </cell>
        </row>
        <row r="123">
          <cell r="C123" t="str">
            <v>Kreissäge</v>
          </cell>
          <cell r="D123" t="str">
            <v>KW</v>
          </cell>
          <cell r="F123" t="str">
            <v>Holz schneiden</v>
          </cell>
        </row>
        <row r="124">
          <cell r="C124" t="str">
            <v>Ladewagen</v>
          </cell>
          <cell r="D124" t="str">
            <v>m³</v>
          </cell>
          <cell r="F124" t="str">
            <v>Laden&amp;Transport</v>
          </cell>
        </row>
        <row r="125">
          <cell r="C125" t="str">
            <v>Mähdrescher</v>
          </cell>
          <cell r="D125" t="str">
            <v>KW</v>
          </cell>
          <cell r="F125" t="str">
            <v>Dreschen</v>
          </cell>
        </row>
        <row r="126">
          <cell r="C126" t="str">
            <v>Mähwerk</v>
          </cell>
          <cell r="D126" t="str">
            <v>m</v>
          </cell>
          <cell r="F126" t="str">
            <v>Mähen</v>
          </cell>
        </row>
        <row r="127">
          <cell r="C127" t="str">
            <v>Maishäcksler</v>
          </cell>
          <cell r="D127" t="str">
            <v>- reihig</v>
          </cell>
          <cell r="F127" t="str">
            <v>Häckseln</v>
          </cell>
        </row>
        <row r="128">
          <cell r="C128" t="str">
            <v>Melkmaschine</v>
          </cell>
          <cell r="D128" t="str">
            <v>KW</v>
          </cell>
          <cell r="F128" t="str">
            <v>Melken</v>
          </cell>
        </row>
        <row r="129">
          <cell r="C129" t="str">
            <v>Miststreuer</v>
          </cell>
          <cell r="D129" t="str">
            <v>t</v>
          </cell>
          <cell r="F129" t="str">
            <v>Mist streuen</v>
          </cell>
        </row>
        <row r="130">
          <cell r="C130" t="str">
            <v>Motormäher</v>
          </cell>
          <cell r="D130" t="str">
            <v>KW</v>
          </cell>
          <cell r="F130" t="str">
            <v>Handmähen</v>
          </cell>
        </row>
        <row r="131">
          <cell r="C131" t="str">
            <v>Motorsäge</v>
          </cell>
          <cell r="D131" t="str">
            <v>KW</v>
          </cell>
          <cell r="F131" t="str">
            <v>Fällen</v>
          </cell>
        </row>
        <row r="132">
          <cell r="C132" t="str">
            <v>Pasteur</v>
          </cell>
          <cell r="D132" t="str">
            <v>lt</v>
          </cell>
          <cell r="F132" t="str">
            <v>Milch erhitzen</v>
          </cell>
        </row>
        <row r="133">
          <cell r="C133" t="str">
            <v>Pflug</v>
          </cell>
          <cell r="D133" t="str">
            <v>- scharig</v>
          </cell>
          <cell r="F133" t="str">
            <v>Ackern</v>
          </cell>
        </row>
        <row r="134">
          <cell r="C134" t="str">
            <v>PKW-Anhänger</v>
          </cell>
          <cell r="D134" t="str">
            <v>kg</v>
          </cell>
          <cell r="F134" t="str">
            <v>Transport-PKW</v>
          </cell>
        </row>
        <row r="135">
          <cell r="C135" t="str">
            <v>Rotormähwerk</v>
          </cell>
          <cell r="D135" t="str">
            <v>m</v>
          </cell>
          <cell r="F135" t="str">
            <v>Mähen</v>
          </cell>
        </row>
        <row r="136">
          <cell r="C136" t="str">
            <v>Saatbeetkombination</v>
          </cell>
          <cell r="D136" t="str">
            <v>m</v>
          </cell>
          <cell r="F136" t="str">
            <v>Saatbettbereitung</v>
          </cell>
        </row>
        <row r="137">
          <cell r="C137" t="str">
            <v>Sämaschine</v>
          </cell>
          <cell r="D137" t="str">
            <v>m</v>
          </cell>
          <cell r="F137" t="str">
            <v>Säen</v>
          </cell>
        </row>
        <row r="138">
          <cell r="C138" t="str">
            <v>Schneefräse</v>
          </cell>
          <cell r="D138" t="str">
            <v>KW</v>
          </cell>
          <cell r="F138" t="str">
            <v>Schneeräumung</v>
          </cell>
        </row>
        <row r="139">
          <cell r="C139" t="str">
            <v>Schneeschild</v>
          </cell>
          <cell r="D139" t="str">
            <v>m</v>
          </cell>
          <cell r="F139" t="str">
            <v>Schneeräumung</v>
          </cell>
        </row>
        <row r="140">
          <cell r="C140" t="str">
            <v>Siloblockschneider</v>
          </cell>
          <cell r="D140" t="str">
            <v>m³</v>
          </cell>
          <cell r="F140" t="str">
            <v>Silage Entnahme</v>
          </cell>
        </row>
        <row r="141">
          <cell r="C141" t="str">
            <v>Silofräse</v>
          </cell>
          <cell r="D141" t="str">
            <v>m</v>
          </cell>
          <cell r="F141" t="str">
            <v>Silage Entnahme</v>
          </cell>
        </row>
        <row r="142">
          <cell r="C142" t="str">
            <v>Vakuumfass</v>
          </cell>
          <cell r="D142" t="str">
            <v>lt</v>
          </cell>
          <cell r="F142" t="str">
            <v>Gülleausbringung</v>
          </cell>
        </row>
        <row r="143">
          <cell r="C143" t="str">
            <v>Viehanhänger</v>
          </cell>
          <cell r="D143" t="str">
            <v>Tier</v>
          </cell>
          <cell r="F143" t="str">
            <v>Viehtransport</v>
          </cell>
        </row>
        <row r="144">
          <cell r="C144" t="str">
            <v>Walze</v>
          </cell>
          <cell r="D144" t="str">
            <v>m</v>
          </cell>
          <cell r="F144" t="str">
            <v>Walzen</v>
          </cell>
        </row>
        <row r="145">
          <cell r="C145" t="str">
            <v>Wiesenegge</v>
          </cell>
          <cell r="D145" t="str">
            <v>m</v>
          </cell>
          <cell r="F145" t="str">
            <v>Eggen</v>
          </cell>
        </row>
        <row r="146">
          <cell r="C146" t="str">
            <v>Zentrifuge</v>
          </cell>
          <cell r="D146" t="str">
            <v>lt</v>
          </cell>
          <cell r="F146" t="str">
            <v>Buttererzeugung</v>
          </cell>
        </row>
      </sheetData>
      <sheetData sheetId="16">
        <row r="15">
          <cell r="C15" t="str">
            <v>Stadel</v>
          </cell>
        </row>
        <row r="17">
          <cell r="C17" t="str">
            <v>Rinderstall (Warmstall)</v>
          </cell>
        </row>
        <row r="19">
          <cell r="C19" t="str">
            <v>Bergeraum (erdlastig)</v>
          </cell>
        </row>
        <row r="21">
          <cell r="L21">
            <v>1993</v>
          </cell>
        </row>
        <row r="23">
          <cell r="L23">
            <v>43</v>
          </cell>
        </row>
        <row r="28">
          <cell r="L28">
            <v>24</v>
          </cell>
          <cell r="M28">
            <v>2004</v>
          </cell>
        </row>
        <row r="30">
          <cell r="L30">
            <v>15</v>
          </cell>
          <cell r="M30">
            <v>24</v>
          </cell>
        </row>
        <row r="32">
          <cell r="L32">
            <v>4</v>
          </cell>
          <cell r="M32">
            <v>8</v>
          </cell>
        </row>
        <row r="34">
          <cell r="M34">
            <v>4</v>
          </cell>
        </row>
        <row r="36">
          <cell r="L36">
            <v>45</v>
          </cell>
          <cell r="M36">
            <v>152</v>
          </cell>
        </row>
      </sheetData>
      <sheetData sheetId="17"/>
      <sheetData sheetId="18"/>
      <sheetData sheetId="19"/>
      <sheetData sheetId="20"/>
      <sheetData sheetId="21">
        <row r="5">
          <cell r="H5">
            <v>35622.77080841639</v>
          </cell>
        </row>
        <row r="7">
          <cell r="H7">
            <v>-19200</v>
          </cell>
        </row>
        <row r="9">
          <cell r="H9">
            <v>17394.973604651164</v>
          </cell>
        </row>
        <row r="11">
          <cell r="H11">
            <v>-2436</v>
          </cell>
        </row>
        <row r="14">
          <cell r="E14" t="str">
            <v>Lebenshaltungekosten (19 200,00 €) &lt; Gesamteinkommen (35 622,77 €)</v>
          </cell>
        </row>
        <row r="16">
          <cell r="E16" t="str">
            <v>x</v>
          </cell>
        </row>
        <row r="19">
          <cell r="E19" t="str">
            <v/>
          </cell>
        </row>
        <row r="21">
          <cell r="E21" t="str">
            <v/>
          </cell>
        </row>
        <row r="25">
          <cell r="E25" t="str">
            <v>Kapitaldienst (2 436,00 €) &lt; Kapitaldienstgrenze (17 394,97 €)</v>
          </cell>
        </row>
        <row r="27">
          <cell r="E27" t="str">
            <v/>
          </cell>
        </row>
        <row r="30">
          <cell r="E30" t="str">
            <v>x</v>
          </cell>
        </row>
        <row r="33">
          <cell r="E33" t="str">
            <v/>
          </cell>
        </row>
        <row r="38">
          <cell r="E38" t="str">
            <v/>
          </cell>
        </row>
        <row r="40">
          <cell r="E40" t="str">
            <v>x</v>
          </cell>
        </row>
        <row r="42">
          <cell r="H42">
            <v>2141.6055685745705</v>
          </cell>
        </row>
        <row r="44">
          <cell r="H44">
            <v>-8683.0819715015568</v>
          </cell>
        </row>
        <row r="46">
          <cell r="H46">
            <v>-6541.4764029269863</v>
          </cell>
        </row>
        <row r="49">
          <cell r="E49" t="str">
            <v>Kapitalkosten (8 683,08 €) &gt; Leistung der Investition (2 141,61 €)</v>
          </cell>
        </row>
        <row r="51">
          <cell r="E51" t="str">
            <v>x</v>
          </cell>
        </row>
        <row r="53">
          <cell r="E53" t="str">
            <v/>
          </cell>
        </row>
        <row r="55">
          <cell r="E55" t="str">
            <v/>
          </cell>
        </row>
        <row r="57">
          <cell r="E57" t="str">
            <v/>
          </cell>
        </row>
        <row r="60">
          <cell r="E60" t="str">
            <v>x</v>
          </cell>
        </row>
        <row r="62">
          <cell r="E62" t="str">
            <v/>
          </cell>
        </row>
        <row r="64">
          <cell r="K64">
            <v>19536.579173225735</v>
          </cell>
        </row>
        <row r="66">
          <cell r="K66">
            <v>-9595.8799226534993</v>
          </cell>
        </row>
        <row r="69">
          <cell r="E69" t="str">
            <v>Kapitaldienst für die Investition (9 595,88 €) &lt; Kapitaldienstgrenze Planvariante (19 536,58 €)</v>
          </cell>
        </row>
        <row r="71">
          <cell r="E71" t="str">
            <v/>
          </cell>
        </row>
        <row r="73">
          <cell r="E73" t="str">
            <v/>
          </cell>
        </row>
        <row r="76">
          <cell r="E76" t="str">
            <v>x</v>
          </cell>
        </row>
        <row r="81">
          <cell r="E81" t="str">
            <v>x</v>
          </cell>
        </row>
        <row r="83">
          <cell r="E83" t="str">
            <v/>
          </cell>
          <cell r="H83">
            <v>2114.9280000000003</v>
          </cell>
        </row>
        <row r="85">
          <cell r="H85">
            <v>3.69</v>
          </cell>
        </row>
        <row r="87">
          <cell r="H87">
            <v>7380</v>
          </cell>
        </row>
        <row r="90">
          <cell r="E90" t="str">
            <v>Künftiger AKh-Bedarf (2 115 AKh) &lt; Künftige Ausstattung mit AKh (7 380 AKh)</v>
          </cell>
        </row>
        <row r="92">
          <cell r="E92" t="str">
            <v/>
          </cell>
        </row>
        <row r="94">
          <cell r="E94" t="str">
            <v>x</v>
          </cell>
        </row>
        <row r="96">
          <cell r="E96" t="str">
            <v/>
          </cell>
        </row>
        <row r="100">
          <cell r="E100" t="str">
            <v>x</v>
          </cell>
        </row>
        <row r="102">
          <cell r="E102" t="str">
            <v/>
          </cell>
        </row>
        <row r="104">
          <cell r="H104">
            <v>213396.05000000005</v>
          </cell>
        </row>
        <row r="107">
          <cell r="E107" t="str">
            <v>Die Energiebilanz (213 396 MJ NEL) ist positiv!</v>
          </cell>
        </row>
        <row r="109">
          <cell r="E109" t="str">
            <v/>
          </cell>
        </row>
        <row r="111">
          <cell r="E111" t="str">
            <v/>
          </cell>
          <cell r="T111" t="str">
            <v>1.</v>
          </cell>
          <cell r="U111" t="str">
            <v>Kleiner</v>
          </cell>
          <cell r="V111">
            <v>20000</v>
          </cell>
        </row>
        <row r="112">
          <cell r="U112" t="str">
            <v>Größer</v>
          </cell>
        </row>
        <row r="113">
          <cell r="E113" t="str">
            <v>x</v>
          </cell>
          <cell r="T113" t="str">
            <v>2.</v>
          </cell>
          <cell r="U113" t="str">
            <v>Kleiner</v>
          </cell>
          <cell r="V113">
            <v>0</v>
          </cell>
        </row>
        <row r="114">
          <cell r="U114" t="str">
            <v>Größer</v>
          </cell>
          <cell r="V114">
            <v>20000</v>
          </cell>
        </row>
        <row r="115">
          <cell r="E115" t="str">
            <v/>
          </cell>
          <cell r="T115" t="str">
            <v>3.</v>
          </cell>
          <cell r="U115" t="str">
            <v>Kleiner</v>
          </cell>
        </row>
        <row r="116">
          <cell r="U116" t="str">
            <v>Größer</v>
          </cell>
          <cell r="V116">
            <v>24000</v>
          </cell>
        </row>
        <row r="117">
          <cell r="E117" t="str">
            <v/>
          </cell>
          <cell r="T117" t="str">
            <v>4.</v>
          </cell>
          <cell r="U117" t="str">
            <v>Kleiner</v>
          </cell>
          <cell r="V117">
            <v>24000</v>
          </cell>
        </row>
        <row r="118">
          <cell r="U118" t="str">
            <v>Größer</v>
          </cell>
          <cell r="V118">
            <v>0</v>
          </cell>
        </row>
        <row r="119">
          <cell r="T119" t="str">
            <v>5.</v>
          </cell>
          <cell r="U119" t="str">
            <v>Gleich</v>
          </cell>
          <cell r="V119">
            <v>0</v>
          </cell>
        </row>
        <row r="120">
          <cell r="E120" t="str">
            <v>Ihr habt bereits begonnen einige der doppelt vorhandene Anlagen zu verkaufen. Die restlichen ungenutzten Anlagen vom Hof der Schwiegereltern wollt ihr auch noch verkaufen. Dadurch sollte es euch gelingen noch zusätzliches Eigenkapital in Höhe von schätzungsweise € 78 000,00 zu beschaffen.
Das würde sich im Ergebnis der Planungsrechnung wie folgt niedergeschlagen:</v>
          </cell>
        </row>
        <row r="123">
          <cell r="M123">
            <v>4086.2133533573997</v>
          </cell>
        </row>
        <row r="124">
          <cell r="M124">
            <v>7966.6973805814732</v>
          </cell>
        </row>
        <row r="125">
          <cell r="M125">
            <v>-3880.4840272240735</v>
          </cell>
        </row>
        <row r="128">
          <cell r="E128" t="str">
            <v/>
          </cell>
        </row>
        <row r="130">
          <cell r="E130" t="str">
            <v>x</v>
          </cell>
        </row>
        <row r="133">
          <cell r="M133">
            <v>21481.186958008562</v>
          </cell>
        </row>
        <row r="134">
          <cell r="M134">
            <v>2435.1388045373374</v>
          </cell>
        </row>
        <row r="135">
          <cell r="E135" t="str">
            <v>Der tatsächliche Kapitaldienst wäre dann (bereits bzw. immer noch) kleiner als die Kapitaldienstgrenze!</v>
          </cell>
          <cell r="T135" t="str">
            <v>Der tatsächliche Kapitaldienst wäre dann (bereits bzw. immer) noch gleich hoch wie die Kapitaldienstgrenze!</v>
          </cell>
        </row>
        <row r="136">
          <cell r="T136" t="str">
            <v>Der tatsächliche Kapitaldienst wäre dann (bereits bzw. immer noch) größer als die Kapitaldienstgrenze!</v>
          </cell>
        </row>
        <row r="137">
          <cell r="T137" t="str">
            <v>Der tatsächliche Kapitaldienst wäre dann (bereits bzw. immer noch) kleiner als die Kapitaldienstgrenze!</v>
          </cell>
        </row>
        <row r="138">
          <cell r="E138" t="str">
            <v>x</v>
          </cell>
        </row>
        <row r="140">
          <cell r="E140" t="str">
            <v/>
          </cell>
        </row>
        <row r="144">
          <cell r="E144" t="str">
            <v>x</v>
          </cell>
        </row>
        <row r="146">
          <cell r="E146" t="str">
            <v/>
          </cell>
        </row>
        <row r="148">
          <cell r="H148">
            <v>7937.5835273846715</v>
          </cell>
        </row>
        <row r="150">
          <cell r="H150">
            <v>-6966.8691000751278</v>
          </cell>
        </row>
        <row r="152">
          <cell r="H152">
            <v>970.71442730954368</v>
          </cell>
        </row>
        <row r="155">
          <cell r="E155" t="str">
            <v>Kapitalkosten (6 966,87 €) &lt; Leistung der Investition (7 937,58 €)</v>
          </cell>
        </row>
        <row r="157">
          <cell r="E157" t="str">
            <v/>
          </cell>
        </row>
        <row r="159">
          <cell r="E159" t="str">
            <v/>
          </cell>
        </row>
        <row r="161">
          <cell r="E161" t="str">
            <v/>
          </cell>
        </row>
        <row r="163">
          <cell r="E163" t="str">
            <v>x</v>
          </cell>
        </row>
        <row r="166">
          <cell r="E166" t="str">
            <v>x</v>
          </cell>
        </row>
        <row r="168">
          <cell r="E168" t="str">
            <v/>
          </cell>
        </row>
        <row r="170">
          <cell r="K170">
            <v>25332.557132035836</v>
          </cell>
        </row>
        <row r="172">
          <cell r="K172">
            <v>-7597.8618778784894</v>
          </cell>
        </row>
        <row r="175">
          <cell r="E175" t="str">
            <v>Kapitaldienst für die Investition (7 597,86 €) &lt; Kapitaldienstgrenze Planvariante (25 332,56 €)</v>
          </cell>
        </row>
        <row r="177">
          <cell r="E177" t="str">
            <v/>
          </cell>
        </row>
        <row r="179">
          <cell r="E179" t="str">
            <v/>
          </cell>
        </row>
        <row r="182">
          <cell r="E182" t="str">
            <v>x</v>
          </cell>
        </row>
        <row r="187">
          <cell r="E187" t="str">
            <v>x</v>
          </cell>
        </row>
        <row r="189">
          <cell r="E189" t="str">
            <v/>
          </cell>
          <cell r="H189">
            <v>4600.9740000000002</v>
          </cell>
        </row>
        <row r="191">
          <cell r="H191">
            <v>3.69</v>
          </cell>
        </row>
        <row r="193">
          <cell r="H193">
            <v>7380</v>
          </cell>
        </row>
        <row r="196">
          <cell r="E196" t="str">
            <v>Künftiger AKh-Bedarf (4 601 AKh) &lt; Künftige Ausstattung mit AKh (7 380 AKh)</v>
          </cell>
        </row>
        <row r="198">
          <cell r="E198" t="str">
            <v/>
          </cell>
        </row>
        <row r="200">
          <cell r="E200" t="str">
            <v>x</v>
          </cell>
        </row>
        <row r="202">
          <cell r="E202" t="str">
            <v/>
          </cell>
        </row>
        <row r="206">
          <cell r="E206" t="str">
            <v>x</v>
          </cell>
        </row>
        <row r="208">
          <cell r="E208" t="str">
            <v/>
          </cell>
        </row>
        <row r="210">
          <cell r="H210">
            <v>48870.429999999964</v>
          </cell>
        </row>
        <row r="213">
          <cell r="E213" t="str">
            <v>Die Energiebilanz (48 870 MJ NEL) ist positiv!</v>
          </cell>
        </row>
        <row r="215">
          <cell r="E215" t="str">
            <v/>
          </cell>
        </row>
        <row r="217">
          <cell r="E217" t="str">
            <v/>
          </cell>
          <cell r="T217" t="str">
            <v>1.</v>
          </cell>
          <cell r="U217" t="str">
            <v>Kleiner</v>
          </cell>
          <cell r="V217">
            <v>20000</v>
          </cell>
        </row>
        <row r="218">
          <cell r="U218" t="str">
            <v>Größer</v>
          </cell>
        </row>
        <row r="219">
          <cell r="E219" t="str">
            <v>x</v>
          </cell>
          <cell r="T219" t="str">
            <v>2.</v>
          </cell>
          <cell r="U219" t="str">
            <v>Kleiner</v>
          </cell>
          <cell r="V219">
            <v>0</v>
          </cell>
        </row>
        <row r="220">
          <cell r="U220" t="str">
            <v>Größer</v>
          </cell>
          <cell r="V220">
            <v>20000</v>
          </cell>
        </row>
        <row r="221">
          <cell r="E221" t="str">
            <v/>
          </cell>
          <cell r="T221" t="str">
            <v>3.</v>
          </cell>
          <cell r="U221" t="str">
            <v>Kleiner</v>
          </cell>
        </row>
        <row r="222">
          <cell r="U222" t="str">
            <v>Größer</v>
          </cell>
          <cell r="V222">
            <v>24000</v>
          </cell>
        </row>
        <row r="223">
          <cell r="E223" t="str">
            <v/>
          </cell>
          <cell r="T223" t="str">
            <v>4.</v>
          </cell>
          <cell r="U223" t="str">
            <v>Kleiner</v>
          </cell>
          <cell r="V223">
            <v>24000</v>
          </cell>
        </row>
        <row r="224">
          <cell r="U224" t="str">
            <v>Größer</v>
          </cell>
          <cell r="V224">
            <v>0</v>
          </cell>
        </row>
        <row r="225">
          <cell r="T225" t="str">
            <v>5.</v>
          </cell>
          <cell r="U225" t="str">
            <v>Gleich</v>
          </cell>
          <cell r="V225">
            <v>0</v>
          </cell>
        </row>
        <row r="394">
          <cell r="D394" t="str">
            <v>Grundverbesserungen</v>
          </cell>
          <cell r="H394">
            <v>1</v>
          </cell>
          <cell r="K394" t="str">
            <v>Verbindlichkeiten Futtermittellieferanten</v>
          </cell>
          <cell r="M394">
            <v>749</v>
          </cell>
        </row>
        <row r="396">
          <cell r="D396" t="str">
            <v>Gebäude und bauliche Anlagen</v>
          </cell>
          <cell r="H396">
            <v>74058.314728682177</v>
          </cell>
          <cell r="K396" t="str">
            <v>Darlehen</v>
          </cell>
          <cell r="M396">
            <v>7980</v>
          </cell>
        </row>
        <row r="398">
          <cell r="D398" t="str">
            <v>Maschinen und Geräte</v>
          </cell>
          <cell r="H398">
            <v>22395.736309523811</v>
          </cell>
        </row>
        <row r="400">
          <cell r="D400" t="str">
            <v>RINDER</v>
          </cell>
          <cell r="H400">
            <v>7106</v>
          </cell>
        </row>
        <row r="404">
          <cell r="D404" t="str">
            <v>Selbst erzeugte Vorräte</v>
          </cell>
          <cell r="H404">
            <v>308.35000000000002</v>
          </cell>
        </row>
        <row r="406">
          <cell r="D406" t="str">
            <v>Zugekaufte Vorräte</v>
          </cell>
          <cell r="H406">
            <v>112.27000000000001</v>
          </cell>
        </row>
        <row r="408">
          <cell r="D408" t="str">
            <v>Kassa</v>
          </cell>
          <cell r="H408">
            <v>2441</v>
          </cell>
        </row>
        <row r="410">
          <cell r="D410" t="str">
            <v>Girokonto</v>
          </cell>
          <cell r="H410">
            <v>18008</v>
          </cell>
        </row>
        <row r="412">
          <cell r="D412" t="str">
            <v>Offene Forderungen: Gasthof Sonne</v>
          </cell>
          <cell r="H412">
            <v>1067</v>
          </cell>
        </row>
        <row r="421">
          <cell r="E421" t="str">
            <v/>
          </cell>
          <cell r="S421" t="str">
            <v>BEZIRKSGERICHT Imst, GRUNDBUCH 80107 KG – Roppen</v>
          </cell>
        </row>
        <row r="423">
          <cell r="E423" t="str">
            <v/>
          </cell>
          <cell r="S423" t="str">
            <v>BEZIRKSGERICHT Landeck, GRUNDBUCH 84007 KG – Landeck</v>
          </cell>
        </row>
        <row r="425">
          <cell r="E425" t="str">
            <v>x</v>
          </cell>
          <cell r="S425" t="str">
            <v>BEZIRKSGERICHT Landeck, GRUNDBUCH 84009 KG – Pians</v>
          </cell>
        </row>
        <row r="427">
          <cell r="E427" t="str">
            <v/>
          </cell>
          <cell r="S427" t="str">
            <v>BEZIRKSGERICHT Landeck, GRUNDBUCH 84115 KG – Tösens</v>
          </cell>
        </row>
        <row r="431">
          <cell r="E431">
            <v>1165</v>
          </cell>
        </row>
        <row r="434">
          <cell r="H434">
            <v>2017</v>
          </cell>
        </row>
        <row r="437">
          <cell r="E437" t="str">
            <v/>
          </cell>
          <cell r="F437" t="str">
            <v>Einlagezahl</v>
          </cell>
        </row>
        <row r="439">
          <cell r="E439" t="str">
            <v/>
          </cell>
          <cell r="F439" t="str">
            <v>Laufende Nummer</v>
          </cell>
        </row>
        <row r="441">
          <cell r="E441" t="str">
            <v/>
          </cell>
          <cell r="F441" t="str">
            <v>Plombe</v>
          </cell>
        </row>
        <row r="443">
          <cell r="E443" t="str">
            <v>x</v>
          </cell>
          <cell r="F443" t="str">
            <v>Letzte Tagebuchzahl</v>
          </cell>
        </row>
        <row r="445">
          <cell r="E445" t="str">
            <v/>
          </cell>
          <cell r="F445" t="str">
            <v>Abfragedatum</v>
          </cell>
        </row>
        <row r="448">
          <cell r="E448" t="str">
            <v>A1-Blatt</v>
          </cell>
        </row>
        <row r="450">
          <cell r="E450" t="str">
            <v>Gutsbestandsblatt</v>
          </cell>
        </row>
        <row r="453">
          <cell r="E453" t="str">
            <v>A2-Blatt</v>
          </cell>
        </row>
        <row r="456">
          <cell r="E456">
            <v>13</v>
          </cell>
        </row>
        <row r="459">
          <cell r="E459">
            <v>70623</v>
          </cell>
        </row>
        <row r="461">
          <cell r="E461">
            <v>7.0622999999999996</v>
          </cell>
        </row>
        <row r="464">
          <cell r="E464" t="str">
            <v>B-Blatt</v>
          </cell>
        </row>
        <row r="466">
          <cell r="E466" t="str">
            <v>Eigentumsblatt</v>
          </cell>
        </row>
        <row r="469">
          <cell r="S469" t="str">
            <v>Kerber Hans-Peter</v>
          </cell>
        </row>
        <row r="470">
          <cell r="E470">
            <v>3</v>
          </cell>
          <cell r="S470" t="str">
            <v>Elisabeth Müller</v>
          </cell>
        </row>
        <row r="471">
          <cell r="S471" t="str">
            <v>Jäger Franziska</v>
          </cell>
        </row>
        <row r="472">
          <cell r="E472" t="str">
            <v>Karl Kreuzer</v>
          </cell>
          <cell r="S472" t="str">
            <v>Silberbauer Hans</v>
          </cell>
        </row>
        <row r="473">
          <cell r="S473" t="str">
            <v>Karl Kreuzer</v>
          </cell>
        </row>
        <row r="474">
          <cell r="E474" t="str">
            <v>236/250</v>
          </cell>
          <cell r="S474" t="str">
            <v>Huber Josef</v>
          </cell>
        </row>
        <row r="475">
          <cell r="S475" t="str">
            <v>Neururer Alexandra</v>
          </cell>
        </row>
        <row r="477">
          <cell r="E477" t="str">
            <v>C-Blatt</v>
          </cell>
        </row>
        <row r="479">
          <cell r="E479" t="str">
            <v>Lastenblatt</v>
          </cell>
        </row>
        <row r="480">
          <cell r="S480" t="str">
            <v>Fischereirecht</v>
          </cell>
        </row>
        <row r="481">
          <cell r="S481" t="str">
            <v>Wegerecht</v>
          </cell>
        </row>
        <row r="482">
          <cell r="S482" t="str">
            <v>Nutzungsrecht</v>
          </cell>
        </row>
        <row r="483">
          <cell r="E483" t="str">
            <v>Weiderecht</v>
          </cell>
          <cell r="S483" t="str">
            <v>Feuerwehrzone</v>
          </cell>
        </row>
        <row r="484">
          <cell r="S484" t="str">
            <v>Weiderecht</v>
          </cell>
        </row>
        <row r="485">
          <cell r="H485">
            <v>1030</v>
          </cell>
          <cell r="S485" t="str">
            <v>Holzbringungsrecht</v>
          </cell>
        </row>
        <row r="487">
          <cell r="H487">
            <v>1031</v>
          </cell>
        </row>
        <row r="489">
          <cell r="E489" t="str">
            <v>x</v>
          </cell>
          <cell r="H489">
            <v>1032</v>
          </cell>
        </row>
        <row r="491">
          <cell r="E491" t="str">
            <v/>
          </cell>
        </row>
        <row r="494">
          <cell r="E494" t="str">
            <v>Holzbringungsrecht</v>
          </cell>
        </row>
        <row r="496">
          <cell r="H496">
            <v>672</v>
          </cell>
        </row>
        <row r="498">
          <cell r="H498">
            <v>673</v>
          </cell>
        </row>
        <row r="500">
          <cell r="E500" t="str">
            <v>x</v>
          </cell>
          <cell r="H500">
            <v>670</v>
          </cell>
        </row>
        <row r="502">
          <cell r="E502" t="str">
            <v/>
          </cell>
        </row>
        <row r="506">
          <cell r="E506" t="str">
            <v>Pfandrecht</v>
          </cell>
          <cell r="S506" t="str">
            <v>Nutzungsrecht</v>
          </cell>
          <cell r="X506" t="str">
            <v xml:space="preserve">Raiffeisenbank Landeck reg. GenmbH </v>
          </cell>
        </row>
        <row r="507">
          <cell r="S507" t="str">
            <v>Weiderecht</v>
          </cell>
          <cell r="X507" t="str">
            <v xml:space="preserve">Koller Franz </v>
          </cell>
        </row>
        <row r="508">
          <cell r="E508" t="str">
            <v xml:space="preserve">Raiffeisenbank Landeck reg. GenmbH </v>
          </cell>
          <cell r="S508" t="str">
            <v>Immissionsverbot</v>
          </cell>
          <cell r="X508" t="str">
            <v xml:space="preserve">Karl Huber </v>
          </cell>
        </row>
        <row r="509">
          <cell r="S509" t="str">
            <v>Fischereirecht</v>
          </cell>
          <cell r="X509" t="str">
            <v>Mobilkom Österreich</v>
          </cell>
        </row>
        <row r="510">
          <cell r="S510" t="str">
            <v>Pfandrecht</v>
          </cell>
          <cell r="X510" t="str">
            <v>Sparkasse Imst</v>
          </cell>
        </row>
        <row r="511">
          <cell r="E511" t="str">
            <v>Wohnungsrecht</v>
          </cell>
          <cell r="S511" t="str">
            <v>Wiederkaufsrecht</v>
          </cell>
          <cell r="X511" t="str">
            <v xml:space="preserve">Karl Kreuzer Sen. </v>
          </cell>
        </row>
        <row r="512">
          <cell r="S512" t="str">
            <v>Belastungsverbot</v>
          </cell>
          <cell r="X512" t="str">
            <v>Karl Kreuzer Sen. und Josef Kreuzer mj</v>
          </cell>
        </row>
        <row r="513">
          <cell r="E513" t="str">
            <v>Karl Kreuzer Sen. und Josef Kreuzer mj</v>
          </cell>
          <cell r="S513" t="str">
            <v>Wohnungsrecht</v>
          </cell>
          <cell r="X513" t="str">
            <v>Gemeinde  Imst</v>
          </cell>
        </row>
        <row r="514">
          <cell r="S514" t="str">
            <v>Veräußerungsverbot</v>
          </cell>
        </row>
        <row r="515">
          <cell r="S515" t="str">
            <v>Wegerecht</v>
          </cell>
        </row>
        <row r="516">
          <cell r="E516" t="str">
            <v>Vorkaufsrecht</v>
          </cell>
          <cell r="S516" t="str">
            <v>Fruchtgenussrecht</v>
          </cell>
        </row>
        <row r="517">
          <cell r="S517" t="str">
            <v>Holzbringungsrecht</v>
          </cell>
        </row>
        <row r="518">
          <cell r="E518" t="str">
            <v>Karl Kreuzer Sen. und Josef Kreuzer mj</v>
          </cell>
          <cell r="S518" t="str">
            <v>Duldung eines Handymasten</v>
          </cell>
        </row>
        <row r="519">
          <cell r="S519" t="str">
            <v>Belastungs- und Veräußerungsverbot</v>
          </cell>
        </row>
        <row r="520">
          <cell r="S520" t="str">
            <v>Vorkaufsrecht</v>
          </cell>
        </row>
        <row r="521">
          <cell r="E521" t="str">
            <v>Fruchtgenussrecht</v>
          </cell>
          <cell r="S521" t="str">
            <v>Anschlusspflicht</v>
          </cell>
        </row>
        <row r="522">
          <cell r="S522" t="str">
            <v>Wasserrecht</v>
          </cell>
        </row>
        <row r="523">
          <cell r="E523" t="str">
            <v xml:space="preserve">Karl Kreuzer Sen. </v>
          </cell>
        </row>
        <row r="526">
          <cell r="E526" t="str">
            <v/>
          </cell>
          <cell r="F526" t="str">
            <v>Nach dem Wert des Rechtes (höherer Wert vor niedrigerem!)</v>
          </cell>
        </row>
        <row r="528">
          <cell r="E528" t="str">
            <v>x</v>
          </cell>
          <cell r="F528" t="str">
            <v>Nach Datum der Eintragung (Ältere vor Jüngeren!)</v>
          </cell>
        </row>
        <row r="530">
          <cell r="E530" t="str">
            <v/>
          </cell>
          <cell r="F530" t="str">
            <v>Nach dem Wert des Rechtes (niedrigerer Wert vor höherem!)</v>
          </cell>
        </row>
        <row r="532">
          <cell r="E532" t="str">
            <v/>
          </cell>
          <cell r="F532" t="str">
            <v>Nach Datum der Eintragung (Jüngere vor Älteren!)</v>
          </cell>
        </row>
        <row r="534">
          <cell r="E534" t="str">
            <v>Vorrang</v>
          </cell>
          <cell r="S534" t="str">
            <v>Löschung</v>
          </cell>
          <cell r="T534" t="str">
            <v>Vorrang</v>
          </cell>
          <cell r="U534" t="str">
            <v>Änderung</v>
          </cell>
          <cell r="V534" t="str">
            <v>Rückreihung</v>
          </cell>
        </row>
      </sheetData>
      <sheetData sheetId="22">
        <row r="5">
          <cell r="E5">
            <v>3972.5</v>
          </cell>
        </row>
        <row r="6">
          <cell r="E6">
            <v>1644</v>
          </cell>
        </row>
        <row r="7">
          <cell r="E7">
            <v>952</v>
          </cell>
        </row>
        <row r="8">
          <cell r="E8" t="str">
            <v/>
          </cell>
        </row>
        <row r="9">
          <cell r="E9" t="str">
            <v/>
          </cell>
        </row>
        <row r="12">
          <cell r="C12">
            <v>148870</v>
          </cell>
          <cell r="E12">
            <v>6568.5</v>
          </cell>
          <cell r="G12">
            <v>148870</v>
          </cell>
        </row>
        <row r="21">
          <cell r="E21">
            <v>23401.350000000002</v>
          </cell>
          <cell r="G21">
            <v>-260820</v>
          </cell>
          <cell r="I21">
            <v>3259.2</v>
          </cell>
        </row>
        <row r="22">
          <cell r="E22">
            <v>6965.7499999999991</v>
          </cell>
          <cell r="G22">
            <v>0</v>
          </cell>
          <cell r="I22">
            <v>547.80000000000007</v>
          </cell>
        </row>
        <row r="23">
          <cell r="E23">
            <v>2375.3249999999998</v>
          </cell>
          <cell r="G23">
            <v>0</v>
          </cell>
          <cell r="I23">
            <v>158.39999999999998</v>
          </cell>
        </row>
        <row r="24">
          <cell r="E24" t="str">
            <v/>
          </cell>
          <cell r="G24" t="str">
            <v/>
          </cell>
          <cell r="I24" t="str">
            <v/>
          </cell>
        </row>
        <row r="25">
          <cell r="E25" t="str">
            <v/>
          </cell>
          <cell r="G25" t="str">
            <v/>
          </cell>
          <cell r="I25" t="str">
            <v/>
          </cell>
        </row>
        <row r="26">
          <cell r="E26" t="str">
            <v/>
          </cell>
          <cell r="I26" t="str">
            <v/>
          </cell>
        </row>
        <row r="28">
          <cell r="E28">
            <v>-7848.732</v>
          </cell>
          <cell r="G28">
            <v>219185.39999999997</v>
          </cell>
          <cell r="I28">
            <v>317.15999999999997</v>
          </cell>
        </row>
        <row r="29">
          <cell r="E29">
            <v>-427.42250000000001</v>
          </cell>
          <cell r="G29">
            <v>27511.749999999996</v>
          </cell>
          <cell r="I29">
            <v>26.549999999999997</v>
          </cell>
        </row>
        <row r="30">
          <cell r="E30">
            <v>-1143.1872000000001</v>
          </cell>
          <cell r="G30">
            <v>62993.279999999999</v>
          </cell>
          <cell r="I30">
            <v>40.704000000000001</v>
          </cell>
        </row>
        <row r="31">
          <cell r="E31" t="str">
            <v/>
          </cell>
          <cell r="G31" t="str">
            <v/>
          </cell>
          <cell r="I31" t="str">
            <v/>
          </cell>
        </row>
        <row r="32">
          <cell r="E32" t="str">
            <v/>
          </cell>
          <cell r="G32" t="str">
            <v/>
          </cell>
          <cell r="I32" t="str">
            <v/>
          </cell>
        </row>
        <row r="33">
          <cell r="E33" t="str">
            <v/>
          </cell>
          <cell r="G33" t="str">
            <v/>
          </cell>
          <cell r="I33" t="str">
            <v/>
          </cell>
        </row>
        <row r="34">
          <cell r="E34" t="str">
            <v/>
          </cell>
          <cell r="G34" t="str">
            <v/>
          </cell>
          <cell r="I34">
            <v>251.16</v>
          </cell>
        </row>
        <row r="35">
          <cell r="E35">
            <v>23323.083300000002</v>
          </cell>
        </row>
        <row r="38">
          <cell r="G38">
            <v>48870.429999999964</v>
          </cell>
          <cell r="I38">
            <v>4600.9740000000002</v>
          </cell>
        </row>
        <row r="41">
          <cell r="E41">
            <v>377</v>
          </cell>
        </row>
        <row r="46">
          <cell r="I46">
            <v>25332.557132035836</v>
          </cell>
        </row>
        <row r="47">
          <cell r="I47">
            <v>-7597.8618778784894</v>
          </cell>
        </row>
        <row r="49">
          <cell r="I49">
            <v>82370</v>
          </cell>
        </row>
        <row r="50">
          <cell r="E50">
            <v>6048</v>
          </cell>
        </row>
        <row r="52">
          <cell r="E52">
            <v>29748.083300000002</v>
          </cell>
        </row>
        <row r="56">
          <cell r="E56">
            <v>4752.3543358010611</v>
          </cell>
        </row>
        <row r="57">
          <cell r="E57">
            <v>10800.354335801061</v>
          </cell>
        </row>
        <row r="58">
          <cell r="E58">
            <v>2.347406078756598</v>
          </cell>
        </row>
        <row r="61">
          <cell r="E61">
            <v>43560.354335801065</v>
          </cell>
        </row>
      </sheetData>
      <sheetData sheetId="23">
        <row r="6">
          <cell r="G6">
            <v>-2876.9481297157818</v>
          </cell>
        </row>
        <row r="7">
          <cell r="G7">
            <v>-2071.4841244484305</v>
          </cell>
        </row>
        <row r="8">
          <cell r="G8" t="str">
            <v/>
          </cell>
        </row>
        <row r="9">
          <cell r="G9" t="str">
            <v/>
          </cell>
        </row>
        <row r="10">
          <cell r="G10">
            <v>-2018.4368459109151</v>
          </cell>
        </row>
        <row r="11">
          <cell r="G11">
            <v>-6966.8691000751278</v>
          </cell>
        </row>
        <row r="16">
          <cell r="D16">
            <v>16330.103300000002</v>
          </cell>
          <cell r="E16">
            <v>7937.5835273846715</v>
          </cell>
        </row>
        <row r="21">
          <cell r="C21" t="str">
            <v>ü</v>
          </cell>
        </row>
        <row r="23">
          <cell r="F23">
            <v>970.71442730954368</v>
          </cell>
        </row>
        <row r="24">
          <cell r="E24" t="str">
            <v>Ja</v>
          </cell>
          <cell r="F24" t="str">
            <v>Nein</v>
          </cell>
        </row>
        <row r="25">
          <cell r="E25" t="str">
            <v>x</v>
          </cell>
          <cell r="F25" t="str">
            <v/>
          </cell>
        </row>
        <row r="31">
          <cell r="G31">
            <v>-3471.551986725432</v>
          </cell>
        </row>
        <row r="32">
          <cell r="G32" t="str">
            <v/>
          </cell>
        </row>
        <row r="33">
          <cell r="G33" t="str">
            <v/>
          </cell>
        </row>
        <row r="34">
          <cell r="G34">
            <v>-4126.3098911530569</v>
          </cell>
        </row>
        <row r="35">
          <cell r="G35">
            <v>-7597.8618778784894</v>
          </cell>
        </row>
        <row r="40">
          <cell r="F40">
            <v>2736.8421052631579</v>
          </cell>
          <cell r="G40">
            <v>-734.7098814622741</v>
          </cell>
        </row>
        <row r="41">
          <cell r="F41" t="str">
            <v/>
          </cell>
          <cell r="G41" t="str">
            <v/>
          </cell>
        </row>
        <row r="42">
          <cell r="F42" t="str">
            <v/>
          </cell>
          <cell r="G42" t="str">
            <v/>
          </cell>
        </row>
        <row r="43">
          <cell r="F43">
            <v>3037</v>
          </cell>
          <cell r="G43">
            <v>-1089.3098911530569</v>
          </cell>
        </row>
        <row r="44">
          <cell r="F44">
            <v>5773.8421052631584</v>
          </cell>
          <cell r="G44">
            <v>-1824.019772615331</v>
          </cell>
        </row>
      </sheetData>
      <sheetData sheetId="24">
        <row r="5">
          <cell r="E5">
            <v>5250</v>
          </cell>
        </row>
        <row r="6">
          <cell r="E6">
            <v>875</v>
          </cell>
        </row>
        <row r="7">
          <cell r="E7">
            <v>3332</v>
          </cell>
        </row>
        <row r="8">
          <cell r="E8" t="str">
            <v/>
          </cell>
        </row>
        <row r="9">
          <cell r="E9" t="str">
            <v/>
          </cell>
        </row>
        <row r="12">
          <cell r="C12">
            <v>193242</v>
          </cell>
          <cell r="E12">
            <v>9457</v>
          </cell>
          <cell r="G12">
            <v>193242</v>
          </cell>
        </row>
        <row r="21">
          <cell r="E21">
            <v>20165.400000000001</v>
          </cell>
          <cell r="G21">
            <v>-473800</v>
          </cell>
          <cell r="I21">
            <v>847.4</v>
          </cell>
        </row>
        <row r="22">
          <cell r="E22">
            <v>4268.7</v>
          </cell>
          <cell r="G22">
            <v>0</v>
          </cell>
          <cell r="I22">
            <v>225.435</v>
          </cell>
        </row>
        <row r="23">
          <cell r="E23" t="str">
            <v/>
          </cell>
          <cell r="G23" t="str">
            <v/>
          </cell>
          <cell r="I23" t="str">
            <v/>
          </cell>
        </row>
        <row r="24">
          <cell r="E24" t="str">
            <v/>
          </cell>
          <cell r="G24" t="str">
            <v/>
          </cell>
          <cell r="I24" t="str">
            <v/>
          </cell>
        </row>
        <row r="25">
          <cell r="E25" t="str">
            <v/>
          </cell>
          <cell r="G25" t="str">
            <v/>
          </cell>
          <cell r="I25" t="str">
            <v/>
          </cell>
        </row>
        <row r="26">
          <cell r="E26" t="str">
            <v/>
          </cell>
          <cell r="I26" t="str">
            <v/>
          </cell>
        </row>
        <row r="28">
          <cell r="E28">
            <v>-931.05600000000004</v>
          </cell>
          <cell r="G28">
            <v>139780.80000000002</v>
          </cell>
          <cell r="I28">
            <v>66.727999999999994</v>
          </cell>
        </row>
        <row r="29">
          <cell r="E29">
            <v>-6392.4</v>
          </cell>
          <cell r="G29">
            <v>486369</v>
          </cell>
          <cell r="I29">
            <v>519.84</v>
          </cell>
        </row>
        <row r="30">
          <cell r="E30">
            <v>-348.07499999999999</v>
          </cell>
          <cell r="G30">
            <v>61046.25</v>
          </cell>
          <cell r="I30">
            <v>43.699999999999989</v>
          </cell>
        </row>
        <row r="31">
          <cell r="E31" t="str">
            <v/>
          </cell>
          <cell r="G31" t="str">
            <v/>
          </cell>
          <cell r="I31" t="str">
            <v/>
          </cell>
        </row>
        <row r="32">
          <cell r="E32" t="str">
            <v/>
          </cell>
          <cell r="G32" t="str">
            <v/>
          </cell>
          <cell r="I32" t="str">
            <v/>
          </cell>
        </row>
        <row r="33">
          <cell r="E33" t="str">
            <v/>
          </cell>
          <cell r="G33" t="str">
            <v/>
          </cell>
          <cell r="I33" t="str">
            <v/>
          </cell>
        </row>
        <row r="34">
          <cell r="E34" t="str">
            <v/>
          </cell>
          <cell r="G34" t="str">
            <v/>
          </cell>
          <cell r="I34">
            <v>411.82499999999999</v>
          </cell>
        </row>
        <row r="35">
          <cell r="E35">
            <v>16762.569</v>
          </cell>
        </row>
        <row r="38">
          <cell r="G38">
            <v>213396.05000000005</v>
          </cell>
          <cell r="I38">
            <v>2114.9280000000003</v>
          </cell>
        </row>
        <row r="41">
          <cell r="E41">
            <v>1200</v>
          </cell>
        </row>
        <row r="46">
          <cell r="I46">
            <v>19536.579173225735</v>
          </cell>
        </row>
        <row r="47">
          <cell r="I47">
            <v>-9595.8799226534993</v>
          </cell>
        </row>
        <row r="49">
          <cell r="I49">
            <v>118242</v>
          </cell>
        </row>
        <row r="50">
          <cell r="E50">
            <v>9328.5</v>
          </cell>
        </row>
        <row r="52">
          <cell r="E52">
            <v>27291.069</v>
          </cell>
        </row>
        <row r="56">
          <cell r="E56">
            <v>-4324.1236230090399</v>
          </cell>
        </row>
        <row r="57">
          <cell r="E57">
            <v>5004.3763769909601</v>
          </cell>
        </row>
        <row r="58">
          <cell r="E58">
            <v>2.3662159548651109</v>
          </cell>
        </row>
        <row r="61">
          <cell r="E61">
            <v>37764.376376990956</v>
          </cell>
        </row>
      </sheetData>
      <sheetData sheetId="25">
        <row r="6">
          <cell r="G6">
            <v>-3244.6783417847159</v>
          </cell>
        </row>
        <row r="7">
          <cell r="G7">
            <v>-1337.0840678911609</v>
          </cell>
        </row>
        <row r="8">
          <cell r="G8" t="str">
            <v/>
          </cell>
        </row>
        <row r="9">
          <cell r="G9" t="str">
            <v/>
          </cell>
        </row>
        <row r="10">
          <cell r="G10">
            <v>-4101.3195618256796</v>
          </cell>
        </row>
        <row r="11">
          <cell r="G11">
            <v>-8683.0819715015568</v>
          </cell>
        </row>
        <row r="16">
          <cell r="D16">
            <v>13873.089</v>
          </cell>
          <cell r="E16">
            <v>2141.6055685745705</v>
          </cell>
        </row>
        <row r="21">
          <cell r="C21" t="str">
            <v>ü</v>
          </cell>
        </row>
        <row r="23">
          <cell r="F23">
            <v>-6541.4764029269863</v>
          </cell>
        </row>
        <row r="24">
          <cell r="E24" t="str">
            <v>Ja</v>
          </cell>
          <cell r="F24" t="str">
            <v>Nein</v>
          </cell>
        </row>
        <row r="25">
          <cell r="E25" t="str">
            <v/>
          </cell>
          <cell r="F25" t="str">
            <v>x</v>
          </cell>
        </row>
        <row r="31">
          <cell r="G31">
            <v>-2435.1388045373374</v>
          </cell>
        </row>
        <row r="32">
          <cell r="G32" t="str">
            <v/>
          </cell>
        </row>
        <row r="33">
          <cell r="G33" t="str">
            <v/>
          </cell>
        </row>
        <row r="34">
          <cell r="G34">
            <v>-7160.7411181161615</v>
          </cell>
        </row>
        <row r="35">
          <cell r="G35">
            <v>-9595.8799226534993</v>
          </cell>
        </row>
        <row r="40">
          <cell r="F40">
            <v>2105.2631578947367</v>
          </cell>
          <cell r="G40">
            <v>-329.87564664260071</v>
          </cell>
        </row>
        <row r="41">
          <cell r="F41" t="str">
            <v/>
          </cell>
          <cell r="G41" t="str">
            <v/>
          </cell>
        </row>
        <row r="42">
          <cell r="F42" t="str">
            <v/>
          </cell>
          <cell r="G42" t="str">
            <v/>
          </cell>
        </row>
        <row r="43">
          <cell r="F43">
            <v>5216.1333333333332</v>
          </cell>
          <cell r="G43">
            <v>-1944.6077847828283</v>
          </cell>
        </row>
        <row r="44">
          <cell r="F44">
            <v>7321.3964912280699</v>
          </cell>
          <cell r="G44">
            <v>-2274.483431425429</v>
          </cell>
        </row>
      </sheetData>
      <sheetData sheetId="26"/>
      <sheetData sheetId="27"/>
      <sheetData sheetId="28">
        <row r="6">
          <cell r="E6">
            <v>10610.400000000001</v>
          </cell>
          <cell r="G6">
            <v>-104232</v>
          </cell>
          <cell r="I6">
            <v>1900.1999999999998</v>
          </cell>
        </row>
        <row r="7">
          <cell r="E7">
            <v>2178.8999999999996</v>
          </cell>
          <cell r="G7">
            <v>-79515</v>
          </cell>
          <cell r="I7">
            <v>167.39999999999998</v>
          </cell>
        </row>
        <row r="8">
          <cell r="E8">
            <v>837</v>
          </cell>
          <cell r="G8">
            <v>0</v>
          </cell>
          <cell r="I8">
            <v>79.099999999999994</v>
          </cell>
        </row>
        <row r="9">
          <cell r="E9" t="str">
            <v/>
          </cell>
          <cell r="G9" t="str">
            <v/>
          </cell>
          <cell r="I9" t="str">
            <v/>
          </cell>
        </row>
        <row r="10">
          <cell r="E10" t="str">
            <v/>
          </cell>
          <cell r="G10" t="str">
            <v/>
          </cell>
          <cell r="I10" t="str">
            <v/>
          </cell>
        </row>
        <row r="11">
          <cell r="E11" t="str">
            <v/>
          </cell>
          <cell r="G11" t="str">
            <v/>
          </cell>
          <cell r="I11" t="str">
            <v/>
          </cell>
        </row>
        <row r="12">
          <cell r="E12" t="str">
            <v/>
          </cell>
          <cell r="G12" t="str">
            <v/>
          </cell>
          <cell r="I12" t="str">
            <v/>
          </cell>
        </row>
        <row r="13">
          <cell r="E13">
            <v>-332.52</v>
          </cell>
          <cell r="G13">
            <v>23296.800000000003</v>
          </cell>
          <cell r="I13">
            <v>17.559999999999999</v>
          </cell>
        </row>
        <row r="14">
          <cell r="E14">
            <v>-5327</v>
          </cell>
          <cell r="G14">
            <v>189143.5</v>
          </cell>
          <cell r="I14">
            <v>319.2</v>
          </cell>
        </row>
        <row r="15">
          <cell r="E15">
            <v>-397.8</v>
          </cell>
          <cell r="G15">
            <v>32558</v>
          </cell>
          <cell r="I15">
            <v>36.799999999999997</v>
          </cell>
        </row>
        <row r="16">
          <cell r="E16" t="str">
            <v/>
          </cell>
          <cell r="G16" t="str">
            <v/>
          </cell>
          <cell r="I16" t="str">
            <v/>
          </cell>
        </row>
        <row r="17">
          <cell r="E17" t="str">
            <v/>
          </cell>
          <cell r="G17" t="str">
            <v/>
          </cell>
          <cell r="I17" t="str">
            <v/>
          </cell>
        </row>
        <row r="18">
          <cell r="E18" t="str">
            <v/>
          </cell>
          <cell r="G18" t="str">
            <v/>
          </cell>
          <cell r="I18" t="str">
            <v/>
          </cell>
        </row>
        <row r="19">
          <cell r="E19" t="str">
            <v/>
          </cell>
          <cell r="G19" t="str">
            <v/>
          </cell>
          <cell r="I19">
            <v>433.5</v>
          </cell>
        </row>
        <row r="20">
          <cell r="E20">
            <v>7568.9800000000005</v>
          </cell>
        </row>
        <row r="23">
          <cell r="G23">
            <v>61251.299999999988</v>
          </cell>
          <cell r="I23">
            <v>2953.7599999999998</v>
          </cell>
        </row>
        <row r="26">
          <cell r="E26">
            <v>290</v>
          </cell>
        </row>
        <row r="32">
          <cell r="I32">
            <v>13986.77080841639</v>
          </cell>
        </row>
        <row r="35">
          <cell r="E35">
            <v>5559</v>
          </cell>
          <cell r="I35">
            <v>17394.973604651164</v>
          </cell>
        </row>
        <row r="37">
          <cell r="E37">
            <v>13417.98</v>
          </cell>
        </row>
        <row r="39">
          <cell r="E39">
            <v>2862.7708084163896</v>
          </cell>
        </row>
        <row r="40">
          <cell r="E40">
            <v>0.96919546896714348</v>
          </cell>
        </row>
        <row r="43">
          <cell r="E43">
            <v>35622.77080841639</v>
          </cell>
        </row>
      </sheetData>
      <sheetData sheetId="29">
        <row r="5">
          <cell r="D5">
            <v>5200</v>
          </cell>
        </row>
        <row r="12">
          <cell r="F12">
            <v>3820.6896551724139</v>
          </cell>
          <cell r="H12">
            <v>1379.3103448275863</v>
          </cell>
        </row>
        <row r="25">
          <cell r="B25" t="str">
            <v>Butter</v>
          </cell>
          <cell r="C25">
            <v>690</v>
          </cell>
        </row>
        <row r="26">
          <cell r="B26" t="str">
            <v>Jogurt</v>
          </cell>
          <cell r="C26">
            <v>900</v>
          </cell>
        </row>
        <row r="27">
          <cell r="B27" t="str">
            <v>Topfen aus Vollmilch</v>
          </cell>
          <cell r="C27" t="str">
            <v/>
          </cell>
        </row>
        <row r="28">
          <cell r="B28" t="str">
            <v>Käse</v>
          </cell>
          <cell r="C28">
            <v>340</v>
          </cell>
        </row>
        <row r="29">
          <cell r="B29" t="str">
            <v/>
          </cell>
          <cell r="C29" t="str">
            <v/>
          </cell>
        </row>
        <row r="30">
          <cell r="B30" t="str">
            <v/>
          </cell>
          <cell r="C30" t="str">
            <v/>
          </cell>
        </row>
        <row r="42">
          <cell r="B42" t="str">
            <v>Molkereigeld</v>
          </cell>
          <cell r="F42">
            <v>660</v>
          </cell>
        </row>
        <row r="43">
          <cell r="B43" t="str">
            <v>Ab-Hof</v>
          </cell>
          <cell r="F43">
            <v>540</v>
          </cell>
        </row>
        <row r="44">
          <cell r="B44" t="str">
            <v>Eigen- u. Gästeverbrauch</v>
          </cell>
          <cell r="F44">
            <v>72</v>
          </cell>
        </row>
        <row r="45">
          <cell r="B45" t="str">
            <v>Butter</v>
          </cell>
          <cell r="F45">
            <v>177</v>
          </cell>
        </row>
        <row r="46">
          <cell r="B46" t="str">
            <v>Jogurt</v>
          </cell>
          <cell r="F46">
            <v>1440</v>
          </cell>
        </row>
        <row r="47">
          <cell r="B47" t="str">
            <v>Topfen aus Vollmilch</v>
          </cell>
          <cell r="F47" t="str">
            <v/>
          </cell>
        </row>
        <row r="48">
          <cell r="B48" t="str">
            <v>Käse</v>
          </cell>
          <cell r="F48">
            <v>320</v>
          </cell>
        </row>
        <row r="49">
          <cell r="B49" t="str">
            <v>-</v>
          </cell>
          <cell r="F49" t="str">
            <v/>
          </cell>
        </row>
        <row r="50">
          <cell r="B50" t="str">
            <v>-</v>
          </cell>
          <cell r="F50" t="str">
            <v/>
          </cell>
        </row>
        <row r="51">
          <cell r="B51" t="str">
            <v>Magermilch</v>
          </cell>
          <cell r="F51">
            <v>23.92</v>
          </cell>
        </row>
        <row r="52">
          <cell r="B52" t="str">
            <v>Summe Milcherlös</v>
          </cell>
          <cell r="F52">
            <v>3232.92</v>
          </cell>
        </row>
        <row r="53">
          <cell r="B53" t="str">
            <v>Altkuherlös</v>
          </cell>
          <cell r="F53">
            <v>55.833333333333336</v>
          </cell>
        </row>
        <row r="54">
          <cell r="B54" t="str">
            <v>Kälbererlös</v>
          </cell>
          <cell r="F54">
            <v>229.5</v>
          </cell>
        </row>
        <row r="55">
          <cell r="B55" t="str">
            <v>SUMME ROHERTRAG</v>
          </cell>
          <cell r="F55">
            <v>3518.2533333333336</v>
          </cell>
        </row>
        <row r="59">
          <cell r="B59" t="str">
            <v>Bestandesergänzung</v>
          </cell>
          <cell r="F59">
            <v>131.66666666666666</v>
          </cell>
        </row>
        <row r="60">
          <cell r="B60" t="str">
            <v>KF</v>
          </cell>
          <cell r="F60">
            <v>352</v>
          </cell>
        </row>
        <row r="61">
          <cell r="B61" t="str">
            <v>Mineralstoffmischung</v>
          </cell>
          <cell r="F61">
            <v>34.299999999999997</v>
          </cell>
        </row>
        <row r="62">
          <cell r="B62" t="str">
            <v>Tierarzt</v>
          </cell>
          <cell r="F62">
            <v>65</v>
          </cell>
        </row>
        <row r="63">
          <cell r="B63" t="str">
            <v>Deckgeld</v>
          </cell>
          <cell r="F63">
            <v>35</v>
          </cell>
        </row>
        <row r="64">
          <cell r="B64" t="str">
            <v>Kontrollgebühren</v>
          </cell>
          <cell r="F64">
            <v>9</v>
          </cell>
        </row>
        <row r="65">
          <cell r="B65" t="str">
            <v>Versicherung</v>
          </cell>
          <cell r="F65">
            <v>23</v>
          </cell>
        </row>
        <row r="66">
          <cell r="B66" t="str">
            <v>Alpung</v>
          </cell>
          <cell r="F66">
            <v>80</v>
          </cell>
        </row>
        <row r="67">
          <cell r="B67" t="str">
            <v>Energie</v>
          </cell>
          <cell r="F67">
            <v>32</v>
          </cell>
        </row>
        <row r="68">
          <cell r="B68" t="str">
            <v>Einstreu</v>
          </cell>
          <cell r="F68">
            <v>50</v>
          </cell>
        </row>
        <row r="69">
          <cell r="B69" t="str">
            <v>Vermarktungs-/Verarbeitungskosten</v>
          </cell>
          <cell r="F69">
            <v>115.8</v>
          </cell>
        </row>
        <row r="70">
          <cell r="B70" t="str">
            <v>Verpackung/Etik. - in €/kg Produktion</v>
          </cell>
          <cell r="F70">
            <v>450</v>
          </cell>
        </row>
        <row r="71">
          <cell r="B71" t="str">
            <v>Reinigung und Energie</v>
          </cell>
          <cell r="F71">
            <v>71</v>
          </cell>
        </row>
        <row r="72">
          <cell r="B72" t="str">
            <v>Zuteilbare FK Butterfass, Zentrifuge</v>
          </cell>
          <cell r="F72">
            <v>168</v>
          </cell>
        </row>
        <row r="73">
          <cell r="B73" t="str">
            <v>SUMME VK</v>
          </cell>
          <cell r="F73">
            <v>1616.7666666666664</v>
          </cell>
        </row>
        <row r="74">
          <cell r="B74" t="str">
            <v>DBK  Kalkulation (vorläufiger DB)</v>
          </cell>
          <cell r="G74">
            <v>1901.4866666666671</v>
          </cell>
        </row>
        <row r="80">
          <cell r="B80" t="str">
            <v>Heu</v>
          </cell>
          <cell r="F80">
            <v>195.20260548801795</v>
          </cell>
          <cell r="G80" t="str">
            <v>∑ Grundfutterkosten</v>
          </cell>
        </row>
        <row r="81">
          <cell r="B81" t="str">
            <v>Grassilage</v>
          </cell>
          <cell r="F81">
            <v>74.718700665270021</v>
          </cell>
          <cell r="G81">
            <v>329.69626668550399</v>
          </cell>
        </row>
        <row r="82">
          <cell r="B82" t="str">
            <v>Maissilage</v>
          </cell>
          <cell r="F82">
            <v>59.774960532216006</v>
          </cell>
        </row>
        <row r="83">
          <cell r="B83" t="str">
            <v>DB mit Berücksichtigung der Futterkosten</v>
          </cell>
          <cell r="G83">
            <v>1571.7903999811631</v>
          </cell>
        </row>
        <row r="88">
          <cell r="B88" t="str">
            <v>SUMME FÖRDERUNGEN</v>
          </cell>
          <cell r="G88">
            <v>0</v>
          </cell>
        </row>
        <row r="89">
          <cell r="B89" t="str">
            <v>DB mit Berücksichtigung der Futterkosten und Förderungen</v>
          </cell>
          <cell r="G89">
            <v>1571.7903999811631</v>
          </cell>
        </row>
        <row r="92">
          <cell r="B92" t="str">
            <v>Stallarbeitszeit</v>
          </cell>
          <cell r="G92">
            <v>270</v>
          </cell>
        </row>
        <row r="93">
          <cell r="G93">
            <v>70.55</v>
          </cell>
        </row>
        <row r="94">
          <cell r="B94" t="str">
            <v>Gesamtstunden an Arbeitszeit</v>
          </cell>
          <cell r="G94">
            <v>340.55</v>
          </cell>
        </row>
        <row r="95">
          <cell r="B95" t="str">
            <v>DB je AK/Stunde</v>
          </cell>
          <cell r="G95">
            <v>4.6154467772167465</v>
          </cell>
        </row>
      </sheetData>
      <sheetData sheetId="30">
        <row r="7">
          <cell r="D7">
            <v>63.702251736408726</v>
          </cell>
        </row>
        <row r="8">
          <cell r="D8">
            <v>18473.653003558531</v>
          </cell>
        </row>
        <row r="10">
          <cell r="D10">
            <v>25473.653003558531</v>
          </cell>
        </row>
        <row r="23">
          <cell r="E23">
            <v>0.45</v>
          </cell>
          <cell r="H23">
            <v>394.11</v>
          </cell>
        </row>
        <row r="24">
          <cell r="E24">
            <v>0.45</v>
          </cell>
          <cell r="H24">
            <v>525.98700000000008</v>
          </cell>
        </row>
        <row r="25">
          <cell r="E25">
            <v>0.14285714285714285</v>
          </cell>
          <cell r="H25">
            <v>105.39999999999999</v>
          </cell>
        </row>
        <row r="26">
          <cell r="H26">
            <v>1025.4970000000001</v>
          </cell>
        </row>
        <row r="29">
          <cell r="D29">
            <v>0.14285714285714285</v>
          </cell>
          <cell r="H29">
            <v>125.1142857142857</v>
          </cell>
        </row>
        <row r="30">
          <cell r="H30">
            <v>9.24</v>
          </cell>
        </row>
        <row r="31">
          <cell r="H31">
            <v>9.7900000000000009</v>
          </cell>
        </row>
        <row r="32">
          <cell r="H32">
            <v>16.829999999999998</v>
          </cell>
        </row>
        <row r="33">
          <cell r="H33">
            <v>29.7</v>
          </cell>
        </row>
        <row r="34">
          <cell r="H34">
            <v>30.76491</v>
          </cell>
        </row>
        <row r="35">
          <cell r="H35">
            <v>13.86</v>
          </cell>
        </row>
        <row r="36">
          <cell r="H36">
            <v>47.52</v>
          </cell>
        </row>
        <row r="37">
          <cell r="H37">
            <v>31.68</v>
          </cell>
        </row>
        <row r="38">
          <cell r="H38">
            <v>40.590000000000003</v>
          </cell>
        </row>
        <row r="39">
          <cell r="H39">
            <v>32.67</v>
          </cell>
        </row>
        <row r="40">
          <cell r="H40">
            <v>387.75919571428568</v>
          </cell>
        </row>
        <row r="41">
          <cell r="H41">
            <v>637.73780428571445</v>
          </cell>
        </row>
        <row r="44">
          <cell r="H44">
            <v>382.10479505337793</v>
          </cell>
        </row>
        <row r="45">
          <cell r="H45">
            <v>255.63300923233652</v>
          </cell>
        </row>
        <row r="48">
          <cell r="H48">
            <v>180</v>
          </cell>
        </row>
        <row r="49">
          <cell r="H49" t="str">
            <v/>
          </cell>
        </row>
        <row r="50">
          <cell r="H50" t="str">
            <v/>
          </cell>
        </row>
        <row r="51">
          <cell r="H51">
            <v>435.63300923233652</v>
          </cell>
        </row>
        <row r="57">
          <cell r="E57">
            <v>48</v>
          </cell>
        </row>
        <row r="58">
          <cell r="H58">
            <v>9.0756876923403436</v>
          </cell>
        </row>
      </sheetData>
      <sheetData sheetId="31">
        <row r="13">
          <cell r="I13">
            <v>2.1849999999999996</v>
          </cell>
        </row>
        <row r="14">
          <cell r="I14" t="str">
            <v/>
          </cell>
        </row>
        <row r="15">
          <cell r="I15" t="str">
            <v/>
          </cell>
        </row>
        <row r="16">
          <cell r="C16">
            <v>27.922000000000001</v>
          </cell>
          <cell r="D16">
            <v>2.2999999999999998</v>
          </cell>
          <cell r="E16" t="str">
            <v/>
          </cell>
          <cell r="F16" t="str">
            <v/>
          </cell>
          <cell r="I16">
            <v>314.96869096000006</v>
          </cell>
        </row>
        <row r="18">
          <cell r="I18">
            <v>5.7799999999999994</v>
          </cell>
        </row>
        <row r="19">
          <cell r="I19">
            <v>5.1680000000000001</v>
          </cell>
        </row>
        <row r="20">
          <cell r="I20">
            <v>2.0299999999999998</v>
          </cell>
        </row>
        <row r="21">
          <cell r="I21">
            <v>22.8</v>
          </cell>
        </row>
        <row r="22">
          <cell r="I22">
            <v>9.18</v>
          </cell>
        </row>
        <row r="23">
          <cell r="I23" t="str">
            <v/>
          </cell>
        </row>
        <row r="24">
          <cell r="I24" t="str">
            <v/>
          </cell>
        </row>
        <row r="25">
          <cell r="I25" t="str">
            <v/>
          </cell>
        </row>
        <row r="26">
          <cell r="I26" t="str">
            <v/>
          </cell>
        </row>
        <row r="27">
          <cell r="C27">
            <v>20.5</v>
          </cell>
          <cell r="D27">
            <v>20.5</v>
          </cell>
          <cell r="E27" t="str">
            <v/>
          </cell>
          <cell r="F27" t="str">
            <v/>
          </cell>
          <cell r="I27">
            <v>44.957999999999998</v>
          </cell>
        </row>
        <row r="29">
          <cell r="I29">
            <v>712.13560000000007</v>
          </cell>
        </row>
        <row r="30">
          <cell r="I30" t="str">
            <v/>
          </cell>
        </row>
        <row r="31">
          <cell r="I31" t="str">
            <v/>
          </cell>
        </row>
        <row r="32">
          <cell r="I32">
            <v>712.13560000000007</v>
          </cell>
        </row>
        <row r="34">
          <cell r="I34">
            <v>81.509999999999991</v>
          </cell>
        </row>
        <row r="35">
          <cell r="I35">
            <v>81.509999999999991</v>
          </cell>
        </row>
        <row r="36">
          <cell r="I36">
            <v>1243.4882909600001</v>
          </cell>
        </row>
        <row r="37">
          <cell r="I37">
            <v>1492.1859491520001</v>
          </cell>
        </row>
        <row r="41">
          <cell r="H41">
            <v>5.9344999999999999</v>
          </cell>
          <cell r="I41">
            <v>43974.644999999997</v>
          </cell>
        </row>
        <row r="44">
          <cell r="E44">
            <v>1492.1859491520001</v>
          </cell>
        </row>
        <row r="47">
          <cell r="E47" t="str">
            <v/>
          </cell>
        </row>
        <row r="48">
          <cell r="E48" t="str">
            <v/>
          </cell>
        </row>
        <row r="49">
          <cell r="E49" t="str">
            <v/>
          </cell>
        </row>
        <row r="52">
          <cell r="E52" t="str">
            <v/>
          </cell>
        </row>
        <row r="53">
          <cell r="E53" t="str">
            <v/>
          </cell>
        </row>
        <row r="54">
          <cell r="E54" t="str">
            <v/>
          </cell>
        </row>
        <row r="55">
          <cell r="E55" t="str">
            <v/>
          </cell>
        </row>
        <row r="61">
          <cell r="E61" t="str">
            <v/>
          </cell>
        </row>
        <row r="64">
          <cell r="E64">
            <v>1492.1859491520001</v>
          </cell>
        </row>
        <row r="65">
          <cell r="E65">
            <v>89.421999999999997</v>
          </cell>
        </row>
        <row r="66">
          <cell r="E66">
            <v>3.3932870843005107E-2</v>
          </cell>
          <cell r="G66">
            <v>0.17318217493531984</v>
          </cell>
        </row>
      </sheetData>
      <sheetData sheetId="32">
        <row r="10">
          <cell r="F10">
            <v>0.2</v>
          </cell>
          <cell r="G10">
            <v>0.8</v>
          </cell>
          <cell r="I10">
            <v>8.9296000000000006</v>
          </cell>
        </row>
        <row r="11">
          <cell r="F11">
            <v>0.2</v>
          </cell>
          <cell r="G11">
            <v>0.8</v>
          </cell>
          <cell r="I11">
            <v>0.4</v>
          </cell>
        </row>
        <row r="13">
          <cell r="F13">
            <v>1.0166666666666666</v>
          </cell>
          <cell r="G13">
            <v>4.0666666666666664</v>
          </cell>
          <cell r="I13">
            <v>45.392133333333334</v>
          </cell>
        </row>
        <row r="14">
          <cell r="F14">
            <v>1.0166666666666666</v>
          </cell>
          <cell r="G14">
            <v>4.0666666666666664</v>
          </cell>
          <cell r="I14">
            <v>8.7840000000000007</v>
          </cell>
        </row>
        <row r="16">
          <cell r="F16">
            <v>0.4</v>
          </cell>
          <cell r="G16">
            <v>1.6</v>
          </cell>
          <cell r="I16">
            <v>17.859200000000001</v>
          </cell>
        </row>
        <row r="17">
          <cell r="F17">
            <v>0.4</v>
          </cell>
          <cell r="G17">
            <v>1.6</v>
          </cell>
          <cell r="I17">
            <v>3.4560000000000004</v>
          </cell>
        </row>
        <row r="18">
          <cell r="I18">
            <v>84.820933333333343</v>
          </cell>
        </row>
        <row r="19">
          <cell r="I19">
            <v>101.78512000000001</v>
          </cell>
        </row>
        <row r="20">
          <cell r="I20">
            <v>14.249916800000003</v>
          </cell>
        </row>
        <row r="21">
          <cell r="I21">
            <v>116.03503680000001</v>
          </cell>
        </row>
        <row r="24">
          <cell r="I24">
            <v>219.30621955200004</v>
          </cell>
        </row>
        <row r="27">
          <cell r="G27">
            <v>12.222</v>
          </cell>
        </row>
        <row r="35">
          <cell r="F35">
            <v>0.18333333333333332</v>
          </cell>
          <cell r="G35">
            <v>0.61111111111111105</v>
          </cell>
          <cell r="I35">
            <v>6.8212222222222216</v>
          </cell>
        </row>
        <row r="36">
          <cell r="F36">
            <v>0.18333333333333332</v>
          </cell>
          <cell r="G36">
            <v>0.61111111111111105</v>
          </cell>
          <cell r="I36">
            <v>0.7944444444444444</v>
          </cell>
        </row>
        <row r="38">
          <cell r="F38">
            <v>1.0166666666666666</v>
          </cell>
          <cell r="G38">
            <v>3.3888888888888888</v>
          </cell>
          <cell r="I38">
            <v>37.826777777777778</v>
          </cell>
        </row>
        <row r="39">
          <cell r="F39">
            <v>1.0166666666666666</v>
          </cell>
          <cell r="G39">
            <v>3.3888888888888888</v>
          </cell>
          <cell r="I39">
            <v>4.4055555555555559</v>
          </cell>
        </row>
        <row r="41">
          <cell r="F41">
            <v>0.36666666666666664</v>
          </cell>
          <cell r="G41">
            <v>1.2222222222222221</v>
          </cell>
          <cell r="I41">
            <v>13.642444444444443</v>
          </cell>
        </row>
        <row r="42">
          <cell r="F42">
            <v>0.36666666666666664</v>
          </cell>
          <cell r="G42">
            <v>1.2222222222222221</v>
          </cell>
          <cell r="I42">
            <v>1.5888888888888888</v>
          </cell>
        </row>
        <row r="43">
          <cell r="I43">
            <v>65.079333333333338</v>
          </cell>
        </row>
        <row r="44">
          <cell r="I44">
            <v>78.095200000000006</v>
          </cell>
        </row>
        <row r="45">
          <cell r="I45">
            <v>8.5904720000000001</v>
          </cell>
        </row>
        <row r="46">
          <cell r="I46">
            <v>86.685672000000011</v>
          </cell>
        </row>
        <row r="49">
          <cell r="I49">
            <v>156.03420960000003</v>
          </cell>
        </row>
        <row r="52">
          <cell r="G52">
            <v>9.4</v>
          </cell>
        </row>
        <row r="57">
          <cell r="G57">
            <v>661.5</v>
          </cell>
        </row>
        <row r="58">
          <cell r="G58">
            <v>63</v>
          </cell>
        </row>
        <row r="59">
          <cell r="G59">
            <v>21.622</v>
          </cell>
        </row>
      </sheetData>
      <sheetData sheetId="33">
        <row r="9">
          <cell r="E9">
            <v>2007</v>
          </cell>
        </row>
        <row r="12">
          <cell r="E12">
            <v>13</v>
          </cell>
        </row>
        <row r="13">
          <cell r="D13">
            <v>2020</v>
          </cell>
          <cell r="E13">
            <v>6639.375</v>
          </cell>
        </row>
        <row r="16">
          <cell r="E16">
            <v>2213.125</v>
          </cell>
        </row>
        <row r="17">
          <cell r="E17">
            <v>354.1</v>
          </cell>
        </row>
        <row r="18">
          <cell r="E18">
            <v>354.1</v>
          </cell>
        </row>
        <row r="19">
          <cell r="E19">
            <v>1062.3</v>
          </cell>
        </row>
        <row r="20">
          <cell r="G20">
            <v>3983.625</v>
          </cell>
        </row>
        <row r="23">
          <cell r="E23">
            <v>4.08</v>
          </cell>
          <cell r="G23">
            <v>869.04</v>
          </cell>
        </row>
        <row r="24">
          <cell r="E24">
            <v>708.2</v>
          </cell>
          <cell r="G24">
            <v>1508.4660000000001</v>
          </cell>
        </row>
        <row r="25">
          <cell r="G25">
            <v>2377.5060000000003</v>
          </cell>
        </row>
        <row r="28">
          <cell r="G28">
            <v>18.702464788732396</v>
          </cell>
        </row>
        <row r="29">
          <cell r="G29">
            <v>11.162000000000001</v>
          </cell>
        </row>
        <row r="30">
          <cell r="G30">
            <v>29.864464788732398</v>
          </cell>
        </row>
      </sheetData>
      <sheetData sheetId="34">
        <row r="12">
          <cell r="E12">
            <v>25</v>
          </cell>
        </row>
        <row r="13">
          <cell r="E13">
            <v>1</v>
          </cell>
        </row>
        <row r="16">
          <cell r="E16">
            <v>0</v>
          </cell>
        </row>
        <row r="17">
          <cell r="E17">
            <v>7</v>
          </cell>
        </row>
        <row r="18">
          <cell r="E18">
            <v>7</v>
          </cell>
        </row>
        <row r="19">
          <cell r="E19">
            <v>21</v>
          </cell>
        </row>
        <row r="20">
          <cell r="G20">
            <v>35</v>
          </cell>
        </row>
        <row r="23">
          <cell r="G23">
            <v>59.5</v>
          </cell>
        </row>
        <row r="24">
          <cell r="E24">
            <v>70</v>
          </cell>
          <cell r="G24">
            <v>17.5</v>
          </cell>
        </row>
        <row r="25">
          <cell r="G25">
            <v>77</v>
          </cell>
        </row>
        <row r="28">
          <cell r="G28">
            <v>1.4</v>
          </cell>
        </row>
        <row r="29">
          <cell r="G29">
            <v>3.08</v>
          </cell>
        </row>
        <row r="30">
          <cell r="G30">
            <v>4.4800000000000004</v>
          </cell>
        </row>
      </sheetData>
      <sheetData sheetId="35">
        <row r="8">
          <cell r="F8">
            <v>726.92307692307691</v>
          </cell>
        </row>
        <row r="9">
          <cell r="F9">
            <v>516.11538461538453</v>
          </cell>
        </row>
        <row r="10">
          <cell r="F10">
            <v>-2.1255636923077645</v>
          </cell>
          <cell r="H10">
            <v>-2.9240558730159183E-3</v>
          </cell>
        </row>
        <row r="16">
          <cell r="G16">
            <v>64.260000000000005</v>
          </cell>
        </row>
        <row r="17">
          <cell r="G17">
            <v>64.260000000000005</v>
          </cell>
          <cell r="H17">
            <v>8.8400000000000006E-2</v>
          </cell>
        </row>
        <row r="20">
          <cell r="G20">
            <v>152.65384615384613</v>
          </cell>
        </row>
        <row r="21">
          <cell r="G21">
            <v>79.961538461538467</v>
          </cell>
        </row>
        <row r="22">
          <cell r="G22">
            <v>1.76</v>
          </cell>
        </row>
        <row r="23">
          <cell r="G23">
            <v>28.560000000000002</v>
          </cell>
        </row>
        <row r="24">
          <cell r="G24">
            <v>0.47499999999999998</v>
          </cell>
        </row>
        <row r="25">
          <cell r="G25">
            <v>3.75</v>
          </cell>
        </row>
        <row r="26">
          <cell r="G26">
            <v>5.7280000000000006</v>
          </cell>
        </row>
        <row r="27">
          <cell r="G27" t="str">
            <v/>
          </cell>
        </row>
        <row r="28">
          <cell r="G28" t="str">
            <v/>
          </cell>
        </row>
        <row r="29">
          <cell r="G29">
            <v>272.88838461538461</v>
          </cell>
          <cell r="H29">
            <v>0.37540201058201056</v>
          </cell>
        </row>
        <row r="33">
          <cell r="G33">
            <v>140.6</v>
          </cell>
        </row>
        <row r="34">
          <cell r="G34">
            <v>140.6</v>
          </cell>
          <cell r="H34">
            <v>0.19341798941798941</v>
          </cell>
        </row>
        <row r="37">
          <cell r="G37">
            <v>12.884615384615385</v>
          </cell>
        </row>
        <row r="38">
          <cell r="G38">
            <v>6.3461538461538458</v>
          </cell>
        </row>
        <row r="39">
          <cell r="G39">
            <v>5.1923076923076925</v>
          </cell>
        </row>
        <row r="40">
          <cell r="G40">
            <v>24.423076923076923</v>
          </cell>
          <cell r="H40">
            <v>3.3597883597883599E-2</v>
          </cell>
        </row>
        <row r="41">
          <cell r="G41">
            <v>502.17146153846147</v>
          </cell>
          <cell r="H41">
            <v>0.69081788359788354</v>
          </cell>
        </row>
        <row r="44">
          <cell r="G44">
            <v>16.069486769230767</v>
          </cell>
        </row>
        <row r="45">
          <cell r="G45">
            <v>518.24094830769229</v>
          </cell>
          <cell r="H45">
            <v>0.71292405587301588</v>
          </cell>
        </row>
        <row r="46">
          <cell r="G46">
            <v>19.174915087384615</v>
          </cell>
        </row>
        <row r="47">
          <cell r="G47">
            <v>537.41586339507694</v>
          </cell>
          <cell r="H47">
            <v>0.73930224594031746</v>
          </cell>
        </row>
      </sheetData>
      <sheetData sheetId="36">
        <row r="18">
          <cell r="D18">
            <v>-10555.20919158361</v>
          </cell>
        </row>
      </sheetData>
      <sheetData sheetId="37">
        <row r="6">
          <cell r="F6">
            <v>4408</v>
          </cell>
          <cell r="I6">
            <v>4408</v>
          </cell>
          <cell r="J6">
            <v>0</v>
          </cell>
        </row>
        <row r="7">
          <cell r="F7">
            <v>2356</v>
          </cell>
          <cell r="I7">
            <v>3534</v>
          </cell>
          <cell r="J7">
            <v>1178</v>
          </cell>
        </row>
        <row r="8">
          <cell r="F8">
            <v>342</v>
          </cell>
          <cell r="I8">
            <v>513</v>
          </cell>
          <cell r="J8">
            <v>171</v>
          </cell>
        </row>
        <row r="9">
          <cell r="F9" t="str">
            <v/>
          </cell>
          <cell r="I9" t="str">
            <v/>
          </cell>
          <cell r="J9" t="str">
            <v/>
          </cell>
        </row>
        <row r="10">
          <cell r="F10" t="str">
            <v/>
          </cell>
          <cell r="I10" t="str">
            <v/>
          </cell>
          <cell r="J10" t="str">
            <v/>
          </cell>
        </row>
        <row r="11">
          <cell r="F11" t="str">
            <v/>
          </cell>
          <cell r="I11" t="str">
            <v/>
          </cell>
          <cell r="J11" t="str">
            <v/>
          </cell>
        </row>
        <row r="12">
          <cell r="F12" t="str">
            <v/>
          </cell>
          <cell r="I12" t="str">
            <v/>
          </cell>
          <cell r="J12" t="str">
            <v/>
          </cell>
        </row>
        <row r="13">
          <cell r="F13">
            <v>7106</v>
          </cell>
          <cell r="I13">
            <v>8455</v>
          </cell>
          <cell r="J13">
            <v>1349</v>
          </cell>
        </row>
        <row r="15">
          <cell r="C15" t="str">
            <v>x</v>
          </cell>
        </row>
        <row r="17">
          <cell r="C17" t="str">
            <v/>
          </cell>
        </row>
        <row r="19">
          <cell r="C19" t="str">
            <v/>
          </cell>
        </row>
        <row r="22">
          <cell r="F22" t="str">
            <v/>
          </cell>
          <cell r="I22" t="str">
            <v/>
          </cell>
          <cell r="J22" t="str">
            <v/>
          </cell>
        </row>
        <row r="23">
          <cell r="F23" t="str">
            <v/>
          </cell>
          <cell r="I23" t="str">
            <v/>
          </cell>
          <cell r="J23" t="str">
            <v/>
          </cell>
        </row>
        <row r="24">
          <cell r="F24" t="str">
            <v/>
          </cell>
          <cell r="I24" t="str">
            <v/>
          </cell>
          <cell r="J24" t="str">
            <v/>
          </cell>
        </row>
        <row r="25">
          <cell r="F25" t="str">
            <v/>
          </cell>
          <cell r="I25" t="str">
            <v/>
          </cell>
          <cell r="J25" t="str">
            <v/>
          </cell>
        </row>
        <row r="26">
          <cell r="F26" t="str">
            <v/>
          </cell>
          <cell r="I26" t="str">
            <v/>
          </cell>
          <cell r="J26" t="str">
            <v/>
          </cell>
        </row>
        <row r="27">
          <cell r="F27" t="str">
            <v/>
          </cell>
          <cell r="I27" t="str">
            <v/>
          </cell>
          <cell r="J27" t="str">
            <v/>
          </cell>
        </row>
        <row r="31">
          <cell r="F31">
            <v>3.25</v>
          </cell>
          <cell r="I31">
            <v>13</v>
          </cell>
          <cell r="J31">
            <v>9.75</v>
          </cell>
        </row>
        <row r="32">
          <cell r="F32">
            <v>0.6</v>
          </cell>
          <cell r="I32">
            <v>3.75</v>
          </cell>
          <cell r="J32">
            <v>3.15</v>
          </cell>
        </row>
        <row r="33">
          <cell r="F33">
            <v>304.5</v>
          </cell>
          <cell r="I33">
            <v>136.5</v>
          </cell>
          <cell r="J33">
            <v>-168</v>
          </cell>
        </row>
        <row r="34">
          <cell r="F34" t="str">
            <v/>
          </cell>
          <cell r="I34" t="str">
            <v/>
          </cell>
          <cell r="J34" t="str">
            <v/>
          </cell>
        </row>
        <row r="35">
          <cell r="F35" t="str">
            <v/>
          </cell>
          <cell r="I35" t="str">
            <v/>
          </cell>
          <cell r="J35" t="str">
            <v/>
          </cell>
        </row>
        <row r="36">
          <cell r="F36">
            <v>308.35000000000002</v>
          </cell>
          <cell r="I36">
            <v>153.25</v>
          </cell>
          <cell r="J36">
            <v>-155.1</v>
          </cell>
        </row>
        <row r="38">
          <cell r="C38" t="str">
            <v/>
          </cell>
        </row>
        <row r="40">
          <cell r="C40" t="str">
            <v/>
          </cell>
        </row>
        <row r="42">
          <cell r="C42" t="str">
            <v>x</v>
          </cell>
        </row>
        <row r="45">
          <cell r="F45">
            <v>62.4</v>
          </cell>
          <cell r="I45">
            <v>144</v>
          </cell>
          <cell r="J45">
            <v>81.599999999999994</v>
          </cell>
        </row>
        <row r="46">
          <cell r="F46">
            <v>38.870000000000005</v>
          </cell>
          <cell r="I46">
            <v>69</v>
          </cell>
          <cell r="J46">
            <v>30.129999999999995</v>
          </cell>
        </row>
        <row r="47">
          <cell r="F47">
            <v>11</v>
          </cell>
          <cell r="I47">
            <v>20</v>
          </cell>
          <cell r="J47">
            <v>9</v>
          </cell>
        </row>
        <row r="48">
          <cell r="F48" t="str">
            <v/>
          </cell>
          <cell r="I48" t="str">
            <v/>
          </cell>
          <cell r="J48" t="str">
            <v/>
          </cell>
        </row>
        <row r="49">
          <cell r="F49" t="str">
            <v/>
          </cell>
          <cell r="I49" t="str">
            <v/>
          </cell>
          <cell r="J49" t="str">
            <v/>
          </cell>
        </row>
        <row r="50">
          <cell r="F50">
            <v>112.27000000000001</v>
          </cell>
          <cell r="I50">
            <v>233</v>
          </cell>
          <cell r="J50">
            <v>120.72999999999999</v>
          </cell>
        </row>
      </sheetData>
      <sheetData sheetId="38">
        <row r="6">
          <cell r="B6" t="str">
            <v>Grundverbesserungen</v>
          </cell>
        </row>
        <row r="7">
          <cell r="B7" t="str">
            <v>Rohrdrainage</v>
          </cell>
          <cell r="G7">
            <v>23</v>
          </cell>
          <cell r="H7">
            <v>1</v>
          </cell>
          <cell r="I7">
            <v>0</v>
          </cell>
          <cell r="J7">
            <v>1</v>
          </cell>
        </row>
        <row r="8">
          <cell r="B8" t="str">
            <v/>
          </cell>
          <cell r="G8" t="str">
            <v/>
          </cell>
          <cell r="H8" t="str">
            <v/>
          </cell>
          <cell r="I8" t="str">
            <v/>
          </cell>
          <cell r="J8" t="str">
            <v/>
          </cell>
        </row>
        <row r="9">
          <cell r="B9" t="str">
            <v>Summe Grundverbesserungen</v>
          </cell>
          <cell r="H9">
            <v>1</v>
          </cell>
          <cell r="I9">
            <v>0</v>
          </cell>
          <cell r="J9">
            <v>1</v>
          </cell>
        </row>
        <row r="10">
          <cell r="B10" t="str">
            <v>Gebäude und bauliche Anlagen</v>
          </cell>
        </row>
        <row r="11">
          <cell r="B11" t="str">
            <v>Stadel</v>
          </cell>
          <cell r="G11">
            <v>27</v>
          </cell>
          <cell r="H11">
            <v>7538.9023255813972</v>
          </cell>
          <cell r="I11">
            <v>471.18139534883727</v>
          </cell>
          <cell r="J11">
            <v>7067.72093023256</v>
          </cell>
        </row>
        <row r="12">
          <cell r="B12" t="str">
            <v>Rinderstall (Warmstall)</v>
          </cell>
          <cell r="G12">
            <v>16</v>
          </cell>
          <cell r="H12">
            <v>58639.479069767447</v>
          </cell>
          <cell r="I12">
            <v>2171.8325581395347</v>
          </cell>
          <cell r="J12">
            <v>56467.646511627914</v>
          </cell>
        </row>
        <row r="13">
          <cell r="B13" t="str">
            <v>Verarbeitungsraum</v>
          </cell>
          <cell r="G13">
            <v>15</v>
          </cell>
          <cell r="H13">
            <v>2945</v>
          </cell>
          <cell r="I13">
            <v>196.33333333333334</v>
          </cell>
          <cell r="J13">
            <v>2748.6666666666665</v>
          </cell>
        </row>
        <row r="14">
          <cell r="B14" t="str">
            <v>Maschinenschuppen</v>
          </cell>
          <cell r="G14">
            <v>18</v>
          </cell>
          <cell r="H14">
            <v>2591.6</v>
          </cell>
          <cell r="I14">
            <v>117.8</v>
          </cell>
          <cell r="J14">
            <v>2473.7999999999997</v>
          </cell>
        </row>
        <row r="15">
          <cell r="B15" t="str">
            <v>Garage mit Lagerraum</v>
          </cell>
          <cell r="G15">
            <v>25</v>
          </cell>
          <cell r="H15">
            <v>2343.3333333333321</v>
          </cell>
          <cell r="I15">
            <v>468.66666666666669</v>
          </cell>
          <cell r="J15">
            <v>1874.6666666666654</v>
          </cell>
        </row>
        <row r="16">
          <cell r="B16" t="str">
            <v/>
          </cell>
          <cell r="G16" t="str">
            <v/>
          </cell>
          <cell r="H16" t="str">
            <v/>
          </cell>
          <cell r="I16" t="str">
            <v/>
          </cell>
          <cell r="J16" t="str">
            <v/>
          </cell>
        </row>
        <row r="17">
          <cell r="B17" t="str">
            <v/>
          </cell>
          <cell r="G17" t="str">
            <v/>
          </cell>
          <cell r="H17" t="str">
            <v/>
          </cell>
          <cell r="I17" t="str">
            <v/>
          </cell>
          <cell r="J17" t="str">
            <v/>
          </cell>
        </row>
        <row r="18">
          <cell r="B18" t="str">
            <v/>
          </cell>
          <cell r="G18" t="str">
            <v/>
          </cell>
          <cell r="H18" t="str">
            <v/>
          </cell>
          <cell r="I18" t="str">
            <v/>
          </cell>
          <cell r="J18" t="str">
            <v/>
          </cell>
        </row>
        <row r="19">
          <cell r="B19" t="str">
            <v>Summe Gebäude und bauliche Anlagen</v>
          </cell>
          <cell r="H19">
            <v>74058.314728682177</v>
          </cell>
          <cell r="I19">
            <v>3425.8139534883721</v>
          </cell>
          <cell r="J19">
            <v>70632.50077519381</v>
          </cell>
        </row>
        <row r="20">
          <cell r="B20" t="str">
            <v>Maschinen und Geräte</v>
          </cell>
        </row>
        <row r="21">
          <cell r="B21" t="str">
            <v>Allradtraktor</v>
          </cell>
          <cell r="G21">
            <v>13</v>
          </cell>
          <cell r="H21">
            <v>6639.375</v>
          </cell>
          <cell r="I21">
            <v>2213.125</v>
          </cell>
          <cell r="J21">
            <v>4426.25</v>
          </cell>
        </row>
        <row r="22">
          <cell r="B22" t="str">
            <v/>
          </cell>
          <cell r="G22" t="str">
            <v/>
          </cell>
          <cell r="H22" t="str">
            <v/>
          </cell>
          <cell r="I22" t="str">
            <v/>
          </cell>
          <cell r="J22" t="str">
            <v/>
          </cell>
        </row>
        <row r="23">
          <cell r="B23" t="str">
            <v/>
          </cell>
          <cell r="G23" t="str">
            <v/>
          </cell>
          <cell r="H23" t="str">
            <v/>
          </cell>
          <cell r="I23" t="str">
            <v/>
          </cell>
          <cell r="J23" t="str">
            <v/>
          </cell>
        </row>
        <row r="24">
          <cell r="B24" t="str">
            <v>Motorsäge</v>
          </cell>
          <cell r="G24">
            <v>25</v>
          </cell>
          <cell r="H24">
            <v>1</v>
          </cell>
          <cell r="I24">
            <v>0</v>
          </cell>
          <cell r="J24">
            <v>1</v>
          </cell>
        </row>
        <row r="25">
          <cell r="B25" t="str">
            <v>Pflug</v>
          </cell>
          <cell r="G25">
            <v>5</v>
          </cell>
          <cell r="H25">
            <v>1160.3571428571429</v>
          </cell>
          <cell r="I25">
            <v>128.92857142857142</v>
          </cell>
          <cell r="J25">
            <v>1031.4285714285716</v>
          </cell>
        </row>
        <row r="26">
          <cell r="B26" t="str">
            <v>Ladewagen</v>
          </cell>
          <cell r="G26">
            <v>9</v>
          </cell>
          <cell r="H26">
            <v>2674.4375</v>
          </cell>
          <cell r="I26">
            <v>382.0625</v>
          </cell>
          <cell r="J26">
            <v>2292.375</v>
          </cell>
        </row>
        <row r="27">
          <cell r="B27" t="str">
            <v>Heuraupe</v>
          </cell>
          <cell r="G27">
            <v>11</v>
          </cell>
          <cell r="H27">
            <v>166.25</v>
          </cell>
          <cell r="I27">
            <v>166.25</v>
          </cell>
          <cell r="J27">
            <v>1</v>
          </cell>
        </row>
        <row r="28">
          <cell r="B28" t="str">
            <v>Melkmaschine</v>
          </cell>
          <cell r="G28">
            <v>3</v>
          </cell>
          <cell r="H28">
            <v>3456.1</v>
          </cell>
          <cell r="I28">
            <v>203.3</v>
          </cell>
          <cell r="J28">
            <v>3252.7999999999997</v>
          </cell>
        </row>
        <row r="29">
          <cell r="B29" t="str">
            <v>Zentrifuge</v>
          </cell>
          <cell r="G29">
            <v>8</v>
          </cell>
          <cell r="H29">
            <v>444.6</v>
          </cell>
          <cell r="I29">
            <v>37.049999999999997</v>
          </cell>
          <cell r="J29">
            <v>407.55</v>
          </cell>
        </row>
        <row r="30">
          <cell r="B30" t="str">
            <v>Gebläse</v>
          </cell>
          <cell r="G30">
            <v>2</v>
          </cell>
          <cell r="H30">
            <v>1945.125</v>
          </cell>
          <cell r="I30">
            <v>138.9375</v>
          </cell>
          <cell r="J30">
            <v>1806.1875</v>
          </cell>
        </row>
        <row r="31">
          <cell r="B31" t="str">
            <v>Vakuumfass</v>
          </cell>
          <cell r="G31">
            <v>16</v>
          </cell>
          <cell r="H31">
            <v>1</v>
          </cell>
          <cell r="I31">
            <v>0</v>
          </cell>
          <cell r="J31">
            <v>1</v>
          </cell>
        </row>
        <row r="32">
          <cell r="B32" t="str">
            <v>Butterfass</v>
          </cell>
          <cell r="G32">
            <v>16</v>
          </cell>
          <cell r="H32">
            <v>171</v>
          </cell>
          <cell r="I32">
            <v>42.75</v>
          </cell>
          <cell r="J32">
            <v>128.25</v>
          </cell>
        </row>
        <row r="33">
          <cell r="B33" t="str">
            <v>Miststreuer</v>
          </cell>
          <cell r="G33">
            <v>4</v>
          </cell>
          <cell r="H33">
            <v>2375</v>
          </cell>
          <cell r="I33">
            <v>237.5</v>
          </cell>
          <cell r="J33">
            <v>2137.5</v>
          </cell>
        </row>
        <row r="34">
          <cell r="B34" t="str">
            <v>Kreiselzetter</v>
          </cell>
          <cell r="G34">
            <v>12</v>
          </cell>
          <cell r="H34">
            <v>1</v>
          </cell>
          <cell r="I34">
            <v>0</v>
          </cell>
          <cell r="J34">
            <v>1</v>
          </cell>
        </row>
        <row r="35">
          <cell r="B35" t="str">
            <v>PKW-Anhänger</v>
          </cell>
          <cell r="G35">
            <v>13</v>
          </cell>
          <cell r="H35">
            <v>112.3125</v>
          </cell>
          <cell r="I35">
            <v>37.4375</v>
          </cell>
          <cell r="J35">
            <v>74.875</v>
          </cell>
        </row>
        <row r="36">
          <cell r="B36" t="str">
            <v>Mähwerk</v>
          </cell>
          <cell r="G36">
            <v>9</v>
          </cell>
          <cell r="H36">
            <v>1083.2</v>
          </cell>
          <cell r="I36">
            <v>180.53333333333333</v>
          </cell>
          <cell r="J36">
            <v>902.66666666666674</v>
          </cell>
        </row>
        <row r="37">
          <cell r="B37" t="str">
            <v>Motormäher</v>
          </cell>
          <cell r="G37">
            <v>3</v>
          </cell>
          <cell r="H37">
            <v>969.3125</v>
          </cell>
          <cell r="I37">
            <v>74.5625</v>
          </cell>
          <cell r="J37">
            <v>894.75</v>
          </cell>
        </row>
        <row r="38">
          <cell r="B38" t="str">
            <v>Frontlader</v>
          </cell>
          <cell r="G38">
            <v>4</v>
          </cell>
          <cell r="H38">
            <v>886.66666666666663</v>
          </cell>
          <cell r="I38">
            <v>63.333333333333336</v>
          </cell>
          <cell r="J38">
            <v>823.33333333333326</v>
          </cell>
        </row>
        <row r="39">
          <cell r="B39" t="str">
            <v>Ackerschleppe</v>
          </cell>
          <cell r="G39">
            <v>8</v>
          </cell>
          <cell r="H39">
            <v>309</v>
          </cell>
          <cell r="I39">
            <v>38.625</v>
          </cell>
          <cell r="J39">
            <v>270.375</v>
          </cell>
        </row>
        <row r="40">
          <cell r="B40" t="str">
            <v/>
          </cell>
          <cell r="G40" t="str">
            <v/>
          </cell>
          <cell r="H40" t="str">
            <v/>
          </cell>
          <cell r="I40" t="str">
            <v/>
          </cell>
          <cell r="J40" t="str">
            <v/>
          </cell>
        </row>
        <row r="41">
          <cell r="B41" t="str">
            <v>Summe Maschinen und Geräte</v>
          </cell>
          <cell r="H41">
            <v>22395.736309523811</v>
          </cell>
          <cell r="I41">
            <v>3944.3952380952387</v>
          </cell>
          <cell r="J41">
            <v>18452.341071428571</v>
          </cell>
        </row>
      </sheetData>
      <sheetData sheetId="39">
        <row r="11">
          <cell r="A11" t="str">
            <v>Gesamte(r) Stadel</v>
          </cell>
        </row>
        <row r="14">
          <cell r="B14" t="str">
            <v>Kubatur</v>
          </cell>
          <cell r="C14" t="str">
            <v>St</v>
          </cell>
          <cell r="F14" t="str">
            <v>Länge</v>
          </cell>
          <cell r="H14" t="str">
            <v>x</v>
          </cell>
          <cell r="J14" t="str">
            <v>Breite</v>
          </cell>
          <cell r="L14" t="str">
            <v>x</v>
          </cell>
          <cell r="N14" t="str">
            <v>Höhe</v>
          </cell>
          <cell r="P14" t="str">
            <v>Formel</v>
          </cell>
        </row>
        <row r="17">
          <cell r="B17" t="str">
            <v>Kubatur</v>
          </cell>
          <cell r="F17">
            <v>1440</v>
          </cell>
          <cell r="P17" t="str">
            <v>Ergebnis</v>
          </cell>
        </row>
        <row r="21">
          <cell r="B21" t="str">
            <v>Alter</v>
          </cell>
          <cell r="F21" t="str">
            <v>akt. Jahr</v>
          </cell>
          <cell r="H21" t="str">
            <v>-</v>
          </cell>
          <cell r="J21" t="str">
            <v>AJ</v>
          </cell>
        </row>
        <row r="24">
          <cell r="B24" t="str">
            <v>Alter</v>
          </cell>
          <cell r="F24">
            <v>27</v>
          </cell>
          <cell r="L24" t="str">
            <v/>
          </cell>
          <cell r="N24" t="str">
            <v>≤ 1/4 Nutzungsdauer</v>
          </cell>
        </row>
        <row r="26">
          <cell r="L26" t="str">
            <v/>
          </cell>
          <cell r="N26" t="str">
            <v>&gt; 1/4 und &lt;1/2 Nutzungsdauer</v>
          </cell>
        </row>
        <row r="28">
          <cell r="L28" t="str">
            <v>x</v>
          </cell>
          <cell r="N28" t="str">
            <v>≥ 1/2 Nutzungsdauer</v>
          </cell>
        </row>
        <row r="32">
          <cell r="A32" t="str">
            <v>Eingebaute(r) Rinderstall (Warmstall)</v>
          </cell>
        </row>
        <row r="34">
          <cell r="B34" t="str">
            <v>Kubatur</v>
          </cell>
          <cell r="C34" t="str">
            <v>Ri</v>
          </cell>
          <cell r="F34">
            <v>768</v>
          </cell>
        </row>
        <row r="37">
          <cell r="B37" t="str">
            <v>Alter</v>
          </cell>
          <cell r="F37">
            <v>16</v>
          </cell>
          <cell r="L37" t="str">
            <v/>
          </cell>
          <cell r="N37" t="str">
            <v>≤ 1/4 Nutzungsdauer</v>
          </cell>
        </row>
        <row r="39">
          <cell r="L39" t="str">
            <v>x</v>
          </cell>
          <cell r="N39" t="str">
            <v>&gt; 1/4 und &lt;1/2 Nutzungsdauer</v>
          </cell>
        </row>
        <row r="41">
          <cell r="L41" t="str">
            <v/>
          </cell>
          <cell r="N41" t="str">
            <v>≥ 1/2 Nutzungsdauer</v>
          </cell>
        </row>
        <row r="45">
          <cell r="N45">
            <v>0.8</v>
          </cell>
        </row>
        <row r="48">
          <cell r="F48" t="str">
            <v>Kubatur</v>
          </cell>
          <cell r="H48" t="str">
            <v>x</v>
          </cell>
          <cell r="J48" t="str">
            <v>red. BK-Richtsatz</v>
          </cell>
        </row>
        <row r="51">
          <cell r="F51">
            <v>93388.800000000003</v>
          </cell>
        </row>
        <row r="54">
          <cell r="N54" t="str">
            <v>Bergeraum (erdlastig)</v>
          </cell>
        </row>
        <row r="58">
          <cell r="Q58" t="str">
            <v>-</v>
          </cell>
        </row>
        <row r="61">
          <cell r="R61" t="str">
            <v>Bergeraum (erdlastig)</v>
          </cell>
        </row>
        <row r="65">
          <cell r="R65" t="str">
            <v>Be</v>
          </cell>
        </row>
        <row r="67">
          <cell r="X67">
            <v>0.67</v>
          </cell>
        </row>
        <row r="69">
          <cell r="T69">
            <v>20260.800000000003</v>
          </cell>
        </row>
        <row r="72">
          <cell r="A72" t="str">
            <v>Eingebaute(r) Rinderstall (Warmstall)</v>
          </cell>
          <cell r="N72" t="str">
            <v>Bergeraum (erdlastig)</v>
          </cell>
        </row>
        <row r="75">
          <cell r="B75" t="str">
            <v>jAfa</v>
          </cell>
          <cell r="F75" t="str">
            <v>WW</v>
          </cell>
        </row>
        <row r="78">
          <cell r="C78" t="str">
            <v>Ri</v>
          </cell>
          <cell r="F78" t="str">
            <v>ND</v>
          </cell>
        </row>
        <row r="81">
          <cell r="F81">
            <v>2171.8325581395347</v>
          </cell>
          <cell r="Q81" t="str">
            <v>jAfa</v>
          </cell>
          <cell r="R81" t="str">
            <v>Be</v>
          </cell>
          <cell r="T81">
            <v>471.18139534883727</v>
          </cell>
        </row>
        <row r="84">
          <cell r="B84" t="str">
            <v>bAfa</v>
          </cell>
          <cell r="F84" t="str">
            <v>jährl. Afa</v>
          </cell>
          <cell r="H84" t="str">
            <v>x</v>
          </cell>
          <cell r="J84" t="str">
            <v>Alter</v>
          </cell>
        </row>
        <row r="89">
          <cell r="F89">
            <v>34749.320930232556</v>
          </cell>
          <cell r="Q89" t="str">
            <v>bAfa</v>
          </cell>
          <cell r="T89">
            <v>12721.897674418606</v>
          </cell>
        </row>
        <row r="94">
          <cell r="B94" t="str">
            <v>ZW1.1.</v>
          </cell>
          <cell r="F94" t="str">
            <v>WW</v>
          </cell>
          <cell r="H94" t="str">
            <v>-</v>
          </cell>
          <cell r="J94" t="str">
            <v>bish. Afa</v>
          </cell>
        </row>
        <row r="97">
          <cell r="F97">
            <v>58639.479069767447</v>
          </cell>
          <cell r="Q97" t="str">
            <v>ZW1.1.</v>
          </cell>
          <cell r="T97">
            <v>7538.9023255813972</v>
          </cell>
        </row>
        <row r="100">
          <cell r="B100" t="str">
            <v>ZW31.12.</v>
          </cell>
          <cell r="F100" t="str">
            <v>ZW1.1.</v>
          </cell>
          <cell r="H100" t="str">
            <v>-</v>
          </cell>
          <cell r="J100" t="str">
            <v>jährl. Afa</v>
          </cell>
        </row>
        <row r="103">
          <cell r="F103">
            <v>56467.646511627914</v>
          </cell>
          <cell r="Q103" t="str">
            <v>ZW31.12.</v>
          </cell>
          <cell r="T103">
            <v>7067.72093023256</v>
          </cell>
        </row>
      </sheetData>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eingabe"/>
      <sheetName val="Annuitätentilgung (AT)"/>
      <sheetName val="Kapitalratentilgung (KT)"/>
      <sheetName val="Hilfe AT"/>
      <sheetName val="Hilfe KT"/>
      <sheetName val="Annuitätentabelle"/>
    </sheetNames>
    <sheetDataSet>
      <sheetData sheetId="0">
        <row r="28">
          <cell r="C28">
            <v>3</v>
          </cell>
          <cell r="E28">
            <v>1</v>
          </cell>
        </row>
        <row r="29">
          <cell r="C29">
            <v>4</v>
          </cell>
          <cell r="E29">
            <v>2</v>
          </cell>
        </row>
        <row r="30">
          <cell r="C30">
            <v>5</v>
          </cell>
          <cell r="E30">
            <v>3</v>
          </cell>
        </row>
        <row r="31">
          <cell r="C31">
            <v>6</v>
          </cell>
          <cell r="E31">
            <v>4</v>
          </cell>
        </row>
        <row r="32">
          <cell r="C32">
            <v>7</v>
          </cell>
          <cell r="E32">
            <v>5</v>
          </cell>
        </row>
        <row r="33">
          <cell r="C33">
            <v>8</v>
          </cell>
          <cell r="E33">
            <v>6</v>
          </cell>
        </row>
        <row r="34">
          <cell r="C34">
            <v>9</v>
          </cell>
          <cell r="E34">
            <v>7</v>
          </cell>
        </row>
        <row r="35">
          <cell r="C35">
            <v>10</v>
          </cell>
          <cell r="E35">
            <v>8</v>
          </cell>
        </row>
        <row r="36">
          <cell r="C36">
            <v>11</v>
          </cell>
          <cell r="E36">
            <v>9</v>
          </cell>
        </row>
        <row r="37">
          <cell r="C37">
            <v>12</v>
          </cell>
          <cell r="E37">
            <v>10</v>
          </cell>
        </row>
        <row r="38">
          <cell r="C38">
            <v>13</v>
          </cell>
          <cell r="E38">
            <v>11</v>
          </cell>
        </row>
        <row r="39">
          <cell r="C39">
            <v>14</v>
          </cell>
          <cell r="E39">
            <v>12</v>
          </cell>
        </row>
        <row r="40">
          <cell r="C40">
            <v>15</v>
          </cell>
          <cell r="E40">
            <v>13</v>
          </cell>
        </row>
        <row r="41">
          <cell r="C41">
            <v>16</v>
          </cell>
          <cell r="E41">
            <v>14</v>
          </cell>
        </row>
        <row r="42">
          <cell r="C42">
            <v>17</v>
          </cell>
          <cell r="E42">
            <v>15</v>
          </cell>
        </row>
        <row r="43">
          <cell r="C43">
            <v>18</v>
          </cell>
          <cell r="E43">
            <v>16</v>
          </cell>
        </row>
        <row r="44">
          <cell r="C44">
            <v>19</v>
          </cell>
          <cell r="E44">
            <v>17</v>
          </cell>
        </row>
        <row r="45">
          <cell r="C45">
            <v>20</v>
          </cell>
          <cell r="E45">
            <v>18</v>
          </cell>
        </row>
        <row r="46">
          <cell r="C46">
            <v>21</v>
          </cell>
          <cell r="E46">
            <v>19</v>
          </cell>
        </row>
        <row r="47">
          <cell r="C47">
            <v>22</v>
          </cell>
          <cell r="E47">
            <v>20</v>
          </cell>
        </row>
        <row r="48">
          <cell r="C48">
            <v>23</v>
          </cell>
          <cell r="E48">
            <v>21</v>
          </cell>
        </row>
        <row r="49">
          <cell r="C49">
            <v>24</v>
          </cell>
          <cell r="E49">
            <v>22</v>
          </cell>
        </row>
        <row r="50">
          <cell r="C50">
            <v>25</v>
          </cell>
          <cell r="E50">
            <v>23</v>
          </cell>
        </row>
        <row r="51">
          <cell r="C51">
            <v>26</v>
          </cell>
          <cell r="E51">
            <v>24</v>
          </cell>
        </row>
        <row r="52">
          <cell r="C52">
            <v>27</v>
          </cell>
          <cell r="E52">
            <v>25</v>
          </cell>
        </row>
        <row r="53">
          <cell r="C53">
            <v>28</v>
          </cell>
          <cell r="E53">
            <v>26</v>
          </cell>
        </row>
        <row r="54">
          <cell r="C54">
            <v>29</v>
          </cell>
          <cell r="E54">
            <v>27</v>
          </cell>
        </row>
        <row r="55">
          <cell r="C55">
            <v>30</v>
          </cell>
          <cell r="E55">
            <v>28</v>
          </cell>
        </row>
        <row r="56">
          <cell r="C56">
            <v>31</v>
          </cell>
          <cell r="E56">
            <v>29</v>
          </cell>
        </row>
        <row r="57">
          <cell r="C57">
            <v>32</v>
          </cell>
          <cell r="E57">
            <v>30</v>
          </cell>
        </row>
        <row r="58">
          <cell r="C58">
            <v>33</v>
          </cell>
          <cell r="E58">
            <v>31</v>
          </cell>
        </row>
        <row r="59">
          <cell r="C59">
            <v>34</v>
          </cell>
          <cell r="E59">
            <v>32</v>
          </cell>
        </row>
        <row r="60">
          <cell r="C60">
            <v>35</v>
          </cell>
          <cell r="E60">
            <v>33</v>
          </cell>
        </row>
        <row r="61">
          <cell r="C61">
            <v>36</v>
          </cell>
          <cell r="E61">
            <v>34</v>
          </cell>
        </row>
        <row r="62">
          <cell r="C62">
            <v>37</v>
          </cell>
          <cell r="E62">
            <v>35</v>
          </cell>
        </row>
        <row r="63">
          <cell r="C63">
            <v>38</v>
          </cell>
          <cell r="E63">
            <v>36</v>
          </cell>
        </row>
        <row r="64">
          <cell r="C64">
            <v>39</v>
          </cell>
          <cell r="E64">
            <v>37</v>
          </cell>
        </row>
        <row r="65">
          <cell r="C65">
            <v>40</v>
          </cell>
          <cell r="E65">
            <v>38</v>
          </cell>
        </row>
        <row r="66">
          <cell r="C66">
            <v>41</v>
          </cell>
          <cell r="E66">
            <v>39</v>
          </cell>
        </row>
        <row r="67">
          <cell r="C67">
            <v>42</v>
          </cell>
          <cell r="E67">
            <v>40</v>
          </cell>
        </row>
        <row r="68">
          <cell r="C68">
            <v>43</v>
          </cell>
          <cell r="E68">
            <v>41</v>
          </cell>
        </row>
        <row r="69">
          <cell r="C69">
            <v>44</v>
          </cell>
          <cell r="E69">
            <v>42</v>
          </cell>
        </row>
        <row r="70">
          <cell r="C70">
            <v>45</v>
          </cell>
          <cell r="E70">
            <v>43</v>
          </cell>
        </row>
        <row r="71">
          <cell r="C71">
            <v>46</v>
          </cell>
          <cell r="E71">
            <v>44</v>
          </cell>
        </row>
        <row r="72">
          <cell r="C72">
            <v>47</v>
          </cell>
          <cell r="E72">
            <v>45</v>
          </cell>
        </row>
        <row r="73">
          <cell r="C73">
            <v>48</v>
          </cell>
          <cell r="E73">
            <v>46</v>
          </cell>
        </row>
        <row r="74">
          <cell r="C74">
            <v>49</v>
          </cell>
          <cell r="E74">
            <v>47</v>
          </cell>
        </row>
        <row r="75">
          <cell r="C75">
            <v>50</v>
          </cell>
          <cell r="E75">
            <v>48</v>
          </cell>
        </row>
        <row r="76">
          <cell r="E76">
            <v>49</v>
          </cell>
        </row>
        <row r="77">
          <cell r="E77">
            <v>50</v>
          </cell>
        </row>
      </sheetData>
      <sheetData sheetId="1">
        <row r="11">
          <cell r="AB11" t="str">
            <v>Jahr</v>
          </cell>
          <cell r="AC11" t="str">
            <v>Restschuld</v>
          </cell>
          <cell r="AD11" t="str">
            <v>Zinsen</v>
          </cell>
          <cell r="AE11" t="str">
            <v>Tilgungsrate</v>
          </cell>
          <cell r="AF11" t="str">
            <v>Annuität</v>
          </cell>
          <cell r="AG11">
            <v>7</v>
          </cell>
        </row>
        <row r="12">
          <cell r="AA12">
            <v>1</v>
          </cell>
          <cell r="AB12">
            <v>1</v>
          </cell>
          <cell r="AC12">
            <v>120000</v>
          </cell>
          <cell r="AD12">
            <v>7800</v>
          </cell>
          <cell r="AE12">
            <v>3090.7674429965482</v>
          </cell>
          <cell r="AF12">
            <v>10890.767442996548</v>
          </cell>
          <cell r="AG12">
            <v>120000</v>
          </cell>
        </row>
        <row r="13">
          <cell r="AA13">
            <v>2</v>
          </cell>
          <cell r="AB13">
            <v>2</v>
          </cell>
          <cell r="AC13">
            <v>116909.23255700344</v>
          </cell>
          <cell r="AD13">
            <v>7599.1001162052244</v>
          </cell>
          <cell r="AE13">
            <v>3291.6673267913238</v>
          </cell>
          <cell r="AF13">
            <v>10890.767442996548</v>
          </cell>
          <cell r="AG13">
            <v>116909.23255700344</v>
          </cell>
        </row>
        <row r="14">
          <cell r="AA14">
            <v>3</v>
          </cell>
          <cell r="AB14">
            <v>3</v>
          </cell>
          <cell r="AC14">
            <v>113617.56523021212</v>
          </cell>
          <cell r="AD14">
            <v>7385.1417399637876</v>
          </cell>
          <cell r="AE14">
            <v>3505.6257030327606</v>
          </cell>
          <cell r="AF14">
            <v>10890.767442996548</v>
          </cell>
          <cell r="AG14">
            <v>113617.56523021212</v>
          </cell>
        </row>
        <row r="15">
          <cell r="AA15">
            <v>4</v>
          </cell>
          <cell r="AB15">
            <v>4</v>
          </cell>
          <cell r="AC15">
            <v>110111.93952717936</v>
          </cell>
          <cell r="AD15">
            <v>7157.2760692666589</v>
          </cell>
          <cell r="AE15">
            <v>3733.4913737298893</v>
          </cell>
          <cell r="AF15">
            <v>10890.767442996548</v>
          </cell>
          <cell r="AG15">
            <v>110111.93952717936</v>
          </cell>
        </row>
        <row r="16">
          <cell r="AA16">
            <v>5</v>
          </cell>
          <cell r="AB16">
            <v>5</v>
          </cell>
          <cell r="AC16">
            <v>106378.44815344947</v>
          </cell>
          <cell r="AD16">
            <v>6914.5991299742154</v>
          </cell>
          <cell r="AE16">
            <v>3976.1683130223328</v>
          </cell>
          <cell r="AF16">
            <v>10890.767442996548</v>
          </cell>
          <cell r="AG16">
            <v>106378.44815344947</v>
          </cell>
        </row>
        <row r="17">
          <cell r="AA17">
            <v>6</v>
          </cell>
          <cell r="AB17">
            <v>6</v>
          </cell>
          <cell r="AC17">
            <v>102402.27984042713</v>
          </cell>
          <cell r="AD17">
            <v>6656.1481896277637</v>
          </cell>
          <cell r="AE17">
            <v>4234.6192533687845</v>
          </cell>
          <cell r="AF17">
            <v>10890.767442996548</v>
          </cell>
          <cell r="AG17">
            <v>102402.27984042713</v>
          </cell>
        </row>
        <row r="18">
          <cell r="AA18">
            <v>7</v>
          </cell>
          <cell r="AB18">
            <v>7</v>
          </cell>
          <cell r="AC18">
            <v>98167.660587058344</v>
          </cell>
          <cell r="AD18">
            <v>6380.8979381587924</v>
          </cell>
          <cell r="AE18">
            <v>4509.8695048377558</v>
          </cell>
          <cell r="AF18">
            <v>10890.767442996548</v>
          </cell>
          <cell r="AG18">
            <v>98167.660587058344</v>
          </cell>
        </row>
        <row r="19">
          <cell r="AA19">
            <v>8</v>
          </cell>
          <cell r="AB19">
            <v>8</v>
          </cell>
          <cell r="AC19">
            <v>93657.791082220589</v>
          </cell>
          <cell r="AD19">
            <v>6087.756420344338</v>
          </cell>
          <cell r="AE19">
            <v>4803.0110226522102</v>
          </cell>
          <cell r="AF19">
            <v>10890.767442996548</v>
          </cell>
          <cell r="AG19">
            <v>93657.791082220589</v>
          </cell>
        </row>
        <row r="20">
          <cell r="AA20">
            <v>9</v>
          </cell>
          <cell r="AB20">
            <v>9</v>
          </cell>
          <cell r="AC20">
            <v>88854.78005956838</v>
          </cell>
          <cell r="AD20">
            <v>5775.5607038719445</v>
          </cell>
          <cell r="AE20">
            <v>5115.2067391246037</v>
          </cell>
          <cell r="AF20">
            <v>10890.767442996548</v>
          </cell>
          <cell r="AG20">
            <v>88854.78005956838</v>
          </cell>
        </row>
        <row r="21">
          <cell r="AA21">
            <v>10</v>
          </cell>
          <cell r="AB21">
            <v>10</v>
          </cell>
          <cell r="AC21">
            <v>83739.573320443771</v>
          </cell>
          <cell r="AD21">
            <v>5443.072265828845</v>
          </cell>
          <cell r="AE21">
            <v>5447.6951771677032</v>
          </cell>
          <cell r="AF21">
            <v>10890.767442996548</v>
          </cell>
          <cell r="AG21">
            <v>83739.573320443771</v>
          </cell>
        </row>
        <row r="22">
          <cell r="AA22">
            <v>11</v>
          </cell>
          <cell r="AB22">
            <v>11</v>
          </cell>
          <cell r="AC22">
            <v>78291.878143276073</v>
          </cell>
          <cell r="AD22">
            <v>5088.9720793129445</v>
          </cell>
          <cell r="AE22">
            <v>5801.7953636836037</v>
          </cell>
          <cell r="AF22">
            <v>10890.767442996548</v>
          </cell>
          <cell r="AG22">
            <v>78291.878143276073</v>
          </cell>
        </row>
        <row r="23">
          <cell r="AA23">
            <v>12</v>
          </cell>
          <cell r="AB23">
            <v>12</v>
          </cell>
          <cell r="AC23">
            <v>72490.082779592471</v>
          </cell>
          <cell r="AD23">
            <v>4711.8553806735108</v>
          </cell>
          <cell r="AE23">
            <v>6178.9120623230374</v>
          </cell>
          <cell r="AF23">
            <v>10890.767442996548</v>
          </cell>
          <cell r="AG23">
            <v>72490.082779592471</v>
          </cell>
        </row>
        <row r="24">
          <cell r="AA24">
            <v>13</v>
          </cell>
          <cell r="AB24">
            <v>13</v>
          </cell>
          <cell r="AC24">
            <v>66311.17071726943</v>
          </cell>
          <cell r="AD24">
            <v>4310.2260966225131</v>
          </cell>
          <cell r="AE24">
            <v>6580.5413463740351</v>
          </cell>
          <cell r="AF24">
            <v>10890.767442996548</v>
          </cell>
          <cell r="AG24">
            <v>66311.17071726943</v>
          </cell>
        </row>
        <row r="25">
          <cell r="AA25">
            <v>14</v>
          </cell>
          <cell r="AB25">
            <v>14</v>
          </cell>
          <cell r="AC25">
            <v>59730.629370895396</v>
          </cell>
          <cell r="AD25">
            <v>3882.4909091082009</v>
          </cell>
          <cell r="AE25">
            <v>7008.2765338883473</v>
          </cell>
          <cell r="AF25">
            <v>10890.767442996548</v>
          </cell>
          <cell r="AG25">
            <v>59730.629370895396</v>
          </cell>
        </row>
        <row r="26">
          <cell r="AA26">
            <v>15</v>
          </cell>
          <cell r="AB26">
            <v>15</v>
          </cell>
          <cell r="AC26">
            <v>52722.352837007049</v>
          </cell>
          <cell r="AD26">
            <v>3426.9529344054581</v>
          </cell>
          <cell r="AE26">
            <v>7463.8145085910901</v>
          </cell>
          <cell r="AF26">
            <v>10890.767442996548</v>
          </cell>
          <cell r="AG26">
            <v>52722.352837007049</v>
          </cell>
        </row>
        <row r="27">
          <cell r="AA27">
            <v>16</v>
          </cell>
          <cell r="AB27">
            <v>16</v>
          </cell>
          <cell r="AC27">
            <v>45258.538328415962</v>
          </cell>
          <cell r="AD27">
            <v>2941.8049913470377</v>
          </cell>
          <cell r="AE27">
            <v>7948.9624516495105</v>
          </cell>
          <cell r="AF27">
            <v>10890.767442996548</v>
          </cell>
          <cell r="AG27">
            <v>45258.538328415962</v>
          </cell>
        </row>
        <row r="28">
          <cell r="AA28">
            <v>17</v>
          </cell>
          <cell r="AB28">
            <v>17</v>
          </cell>
          <cell r="AC28">
            <v>37309.575876766452</v>
          </cell>
          <cell r="AD28">
            <v>2425.1224319898197</v>
          </cell>
          <cell r="AE28">
            <v>8465.645011006729</v>
          </cell>
          <cell r="AF28">
            <v>10890.767442996548</v>
          </cell>
          <cell r="AG28">
            <v>37309.575876766452</v>
          </cell>
        </row>
        <row r="29">
          <cell r="AA29">
            <v>18</v>
          </cell>
          <cell r="AB29">
            <v>18</v>
          </cell>
          <cell r="AC29">
            <v>28843.930865759721</v>
          </cell>
          <cell r="AD29">
            <v>1874.8555062743819</v>
          </cell>
          <cell r="AE29">
            <v>9015.9119367221665</v>
          </cell>
          <cell r="AF29">
            <v>10890.767442996548</v>
          </cell>
          <cell r="AG29">
            <v>28843.930865759721</v>
          </cell>
        </row>
        <row r="30">
          <cell r="AA30">
            <v>19</v>
          </cell>
          <cell r="AB30">
            <v>19</v>
          </cell>
          <cell r="AC30">
            <v>19828.018929037557</v>
          </cell>
          <cell r="AD30">
            <v>1288.8212303874411</v>
          </cell>
          <cell r="AE30">
            <v>9601.9462126091075</v>
          </cell>
          <cell r="AF30">
            <v>10890.767442996548</v>
          </cell>
          <cell r="AG30">
            <v>19828.018929037557</v>
          </cell>
        </row>
        <row r="31">
          <cell r="AA31">
            <v>20</v>
          </cell>
          <cell r="AB31">
            <v>20</v>
          </cell>
          <cell r="AC31">
            <v>10226.072716428449</v>
          </cell>
          <cell r="AD31">
            <v>664.69472656784922</v>
          </cell>
          <cell r="AE31">
            <v>10226.072716428698</v>
          </cell>
          <cell r="AF31">
            <v>10890.767442996548</v>
          </cell>
          <cell r="AG31">
            <v>10226.072716428449</v>
          </cell>
        </row>
        <row r="32">
          <cell r="AA32">
            <v>21</v>
          </cell>
          <cell r="AB32" t="str">
            <v/>
          </cell>
          <cell r="AC32" t="str">
            <v/>
          </cell>
          <cell r="AD32" t="str">
            <v/>
          </cell>
          <cell r="AE32" t="str">
            <v/>
          </cell>
          <cell r="AF32" t="str">
            <v/>
          </cell>
          <cell r="AG32">
            <v>-2.4920154828578234E-10</v>
          </cell>
        </row>
        <row r="33">
          <cell r="AA33">
            <v>22</v>
          </cell>
          <cell r="AB33" t="str">
            <v/>
          </cell>
          <cell r="AC33" t="str">
            <v/>
          </cell>
          <cell r="AD33" t="str">
            <v/>
          </cell>
          <cell r="AE33" t="str">
            <v/>
          </cell>
          <cell r="AF33" t="str">
            <v/>
          </cell>
          <cell r="AG33" t="str">
            <v/>
          </cell>
        </row>
        <row r="34">
          <cell r="AA34">
            <v>23</v>
          </cell>
          <cell r="AB34" t="str">
            <v/>
          </cell>
          <cell r="AC34" t="str">
            <v/>
          </cell>
          <cell r="AD34" t="str">
            <v/>
          </cell>
          <cell r="AE34" t="str">
            <v/>
          </cell>
          <cell r="AF34" t="str">
            <v/>
          </cell>
          <cell r="AG34" t="str">
            <v/>
          </cell>
        </row>
        <row r="35">
          <cell r="AA35">
            <v>24</v>
          </cell>
          <cell r="AB35" t="str">
            <v/>
          </cell>
          <cell r="AC35" t="str">
            <v/>
          </cell>
          <cell r="AD35" t="str">
            <v/>
          </cell>
          <cell r="AE35" t="str">
            <v/>
          </cell>
          <cell r="AF35" t="str">
            <v/>
          </cell>
          <cell r="AG35" t="str">
            <v/>
          </cell>
        </row>
        <row r="36">
          <cell r="AA36">
            <v>25</v>
          </cell>
          <cell r="AB36" t="str">
            <v/>
          </cell>
          <cell r="AC36" t="str">
            <v/>
          </cell>
          <cell r="AD36" t="str">
            <v/>
          </cell>
          <cell r="AE36" t="str">
            <v/>
          </cell>
          <cell r="AF36" t="str">
            <v/>
          </cell>
          <cell r="AG36" t="str">
            <v/>
          </cell>
        </row>
        <row r="37">
          <cell r="AA37">
            <v>26</v>
          </cell>
          <cell r="AB37" t="str">
            <v/>
          </cell>
          <cell r="AC37" t="str">
            <v/>
          </cell>
          <cell r="AD37" t="str">
            <v/>
          </cell>
          <cell r="AE37" t="str">
            <v/>
          </cell>
          <cell r="AF37" t="str">
            <v/>
          </cell>
          <cell r="AG37" t="str">
            <v/>
          </cell>
        </row>
        <row r="38">
          <cell r="AA38">
            <v>27</v>
          </cell>
          <cell r="AB38" t="str">
            <v/>
          </cell>
          <cell r="AC38" t="str">
            <v/>
          </cell>
          <cell r="AD38" t="str">
            <v/>
          </cell>
          <cell r="AE38" t="str">
            <v/>
          </cell>
          <cell r="AF38" t="str">
            <v/>
          </cell>
          <cell r="AG38" t="str">
            <v/>
          </cell>
        </row>
        <row r="39">
          <cell r="AA39">
            <v>28</v>
          </cell>
          <cell r="AB39" t="str">
            <v/>
          </cell>
          <cell r="AC39" t="str">
            <v/>
          </cell>
          <cell r="AD39" t="str">
            <v/>
          </cell>
          <cell r="AE39" t="str">
            <v/>
          </cell>
          <cell r="AF39" t="str">
            <v/>
          </cell>
          <cell r="AG39" t="str">
            <v/>
          </cell>
        </row>
        <row r="40">
          <cell r="AA40">
            <v>29</v>
          </cell>
          <cell r="AB40" t="str">
            <v/>
          </cell>
          <cell r="AC40" t="str">
            <v/>
          </cell>
          <cell r="AD40" t="str">
            <v/>
          </cell>
          <cell r="AE40" t="str">
            <v/>
          </cell>
          <cell r="AF40" t="str">
            <v/>
          </cell>
          <cell r="AG40" t="str">
            <v/>
          </cell>
        </row>
        <row r="41">
          <cell r="AA41">
            <v>30</v>
          </cell>
          <cell r="AB41" t="str">
            <v/>
          </cell>
          <cell r="AC41" t="str">
            <v/>
          </cell>
          <cell r="AD41" t="str">
            <v/>
          </cell>
          <cell r="AE41" t="str">
            <v/>
          </cell>
          <cell r="AF41" t="str">
            <v/>
          </cell>
          <cell r="AG41" t="str">
            <v/>
          </cell>
        </row>
        <row r="42">
          <cell r="AA42">
            <v>31</v>
          </cell>
          <cell r="AB42" t="str">
            <v/>
          </cell>
          <cell r="AC42" t="str">
            <v/>
          </cell>
          <cell r="AD42" t="str">
            <v/>
          </cell>
          <cell r="AE42" t="str">
            <v/>
          </cell>
          <cell r="AF42" t="str">
            <v/>
          </cell>
          <cell r="AG42" t="str">
            <v/>
          </cell>
        </row>
        <row r="43">
          <cell r="AA43">
            <v>32</v>
          </cell>
          <cell r="AB43" t="str">
            <v/>
          </cell>
          <cell r="AC43" t="str">
            <v/>
          </cell>
          <cell r="AD43" t="str">
            <v/>
          </cell>
          <cell r="AE43" t="str">
            <v/>
          </cell>
          <cell r="AF43" t="str">
            <v/>
          </cell>
          <cell r="AG43" t="str">
            <v/>
          </cell>
        </row>
        <row r="44">
          <cell r="AA44">
            <v>33</v>
          </cell>
          <cell r="AB44" t="str">
            <v/>
          </cell>
          <cell r="AC44" t="str">
            <v/>
          </cell>
          <cell r="AD44" t="str">
            <v/>
          </cell>
          <cell r="AE44" t="str">
            <v/>
          </cell>
          <cell r="AF44" t="str">
            <v/>
          </cell>
          <cell r="AG44" t="str">
            <v/>
          </cell>
        </row>
        <row r="45">
          <cell r="AA45">
            <v>34</v>
          </cell>
          <cell r="AB45" t="str">
            <v/>
          </cell>
          <cell r="AC45" t="str">
            <v/>
          </cell>
          <cell r="AD45" t="str">
            <v/>
          </cell>
          <cell r="AE45" t="str">
            <v/>
          </cell>
          <cell r="AF45" t="str">
            <v/>
          </cell>
          <cell r="AG45" t="str">
            <v/>
          </cell>
        </row>
        <row r="46">
          <cell r="AA46">
            <v>35</v>
          </cell>
          <cell r="AB46" t="str">
            <v/>
          </cell>
          <cell r="AC46" t="str">
            <v/>
          </cell>
          <cell r="AD46" t="str">
            <v/>
          </cell>
          <cell r="AE46" t="str">
            <v/>
          </cell>
          <cell r="AF46" t="str">
            <v/>
          </cell>
          <cell r="AG46" t="str">
            <v/>
          </cell>
        </row>
        <row r="47">
          <cell r="AA47">
            <v>36</v>
          </cell>
          <cell r="AB47" t="str">
            <v/>
          </cell>
          <cell r="AC47" t="str">
            <v/>
          </cell>
          <cell r="AD47" t="str">
            <v/>
          </cell>
          <cell r="AE47" t="str">
            <v/>
          </cell>
          <cell r="AF47" t="str">
            <v/>
          </cell>
          <cell r="AG47" t="str">
            <v/>
          </cell>
        </row>
        <row r="48">
          <cell r="AA48">
            <v>37</v>
          </cell>
          <cell r="AB48" t="str">
            <v/>
          </cell>
          <cell r="AC48" t="str">
            <v/>
          </cell>
          <cell r="AD48" t="str">
            <v/>
          </cell>
          <cell r="AE48" t="str">
            <v/>
          </cell>
          <cell r="AF48" t="str">
            <v/>
          </cell>
          <cell r="AG48" t="str">
            <v/>
          </cell>
        </row>
        <row r="49">
          <cell r="AA49">
            <v>38</v>
          </cell>
          <cell r="AB49" t="str">
            <v/>
          </cell>
          <cell r="AC49" t="str">
            <v/>
          </cell>
          <cell r="AD49" t="str">
            <v/>
          </cell>
          <cell r="AE49" t="str">
            <v/>
          </cell>
          <cell r="AF49" t="str">
            <v/>
          </cell>
          <cell r="AG49" t="str">
            <v/>
          </cell>
        </row>
        <row r="50">
          <cell r="AA50">
            <v>39</v>
          </cell>
          <cell r="AB50" t="str">
            <v/>
          </cell>
          <cell r="AC50" t="str">
            <v/>
          </cell>
          <cell r="AD50" t="str">
            <v/>
          </cell>
          <cell r="AE50" t="str">
            <v/>
          </cell>
          <cell r="AF50" t="str">
            <v/>
          </cell>
          <cell r="AG50" t="str">
            <v/>
          </cell>
        </row>
        <row r="51">
          <cell r="AA51">
            <v>40</v>
          </cell>
          <cell r="AB51" t="str">
            <v/>
          </cell>
          <cell r="AC51" t="str">
            <v/>
          </cell>
          <cell r="AD51" t="str">
            <v/>
          </cell>
          <cell r="AE51" t="str">
            <v/>
          </cell>
          <cell r="AF51" t="str">
            <v/>
          </cell>
          <cell r="AG51" t="str">
            <v/>
          </cell>
        </row>
        <row r="52">
          <cell r="AA52">
            <v>41</v>
          </cell>
          <cell r="AB52" t="str">
            <v/>
          </cell>
          <cell r="AC52" t="str">
            <v/>
          </cell>
          <cell r="AD52" t="str">
            <v/>
          </cell>
          <cell r="AE52" t="str">
            <v/>
          </cell>
          <cell r="AF52" t="str">
            <v/>
          </cell>
          <cell r="AG52" t="str">
            <v/>
          </cell>
        </row>
        <row r="53">
          <cell r="AA53">
            <v>42</v>
          </cell>
          <cell r="AB53" t="str">
            <v/>
          </cell>
          <cell r="AC53" t="str">
            <v/>
          </cell>
          <cell r="AD53" t="str">
            <v/>
          </cell>
          <cell r="AE53" t="str">
            <v/>
          </cell>
          <cell r="AF53" t="str">
            <v/>
          </cell>
          <cell r="AG53" t="str">
            <v/>
          </cell>
        </row>
        <row r="54">
          <cell r="AA54">
            <v>43</v>
          </cell>
          <cell r="AB54" t="str">
            <v/>
          </cell>
          <cell r="AC54" t="str">
            <v/>
          </cell>
          <cell r="AD54" t="str">
            <v/>
          </cell>
          <cell r="AE54" t="str">
            <v/>
          </cell>
          <cell r="AF54" t="str">
            <v/>
          </cell>
          <cell r="AG54" t="str">
            <v/>
          </cell>
        </row>
        <row r="55">
          <cell r="AA55">
            <v>44</v>
          </cell>
          <cell r="AB55" t="str">
            <v/>
          </cell>
          <cell r="AC55" t="str">
            <v/>
          </cell>
          <cell r="AD55" t="str">
            <v/>
          </cell>
          <cell r="AE55" t="str">
            <v/>
          </cell>
          <cell r="AF55" t="str">
            <v/>
          </cell>
          <cell r="AG55" t="str">
            <v/>
          </cell>
        </row>
        <row r="56">
          <cell r="AA56">
            <v>45</v>
          </cell>
          <cell r="AB56" t="str">
            <v/>
          </cell>
          <cell r="AC56" t="str">
            <v/>
          </cell>
          <cell r="AD56" t="str">
            <v/>
          </cell>
          <cell r="AE56" t="str">
            <v/>
          </cell>
          <cell r="AF56" t="str">
            <v/>
          </cell>
          <cell r="AG56" t="str">
            <v/>
          </cell>
        </row>
        <row r="57">
          <cell r="AA57">
            <v>46</v>
          </cell>
          <cell r="AB57" t="str">
            <v/>
          </cell>
          <cell r="AC57" t="str">
            <v/>
          </cell>
          <cell r="AD57" t="str">
            <v/>
          </cell>
          <cell r="AE57" t="str">
            <v/>
          </cell>
          <cell r="AF57" t="str">
            <v/>
          </cell>
          <cell r="AG57" t="str">
            <v/>
          </cell>
        </row>
        <row r="58">
          <cell r="AA58">
            <v>47</v>
          </cell>
          <cell r="AB58" t="str">
            <v/>
          </cell>
          <cell r="AC58" t="str">
            <v/>
          </cell>
          <cell r="AD58" t="str">
            <v/>
          </cell>
          <cell r="AE58" t="str">
            <v/>
          </cell>
          <cell r="AF58" t="str">
            <v/>
          </cell>
          <cell r="AG58" t="str">
            <v/>
          </cell>
        </row>
        <row r="59">
          <cell r="AA59">
            <v>48</v>
          </cell>
          <cell r="AB59" t="str">
            <v/>
          </cell>
          <cell r="AC59" t="str">
            <v/>
          </cell>
          <cell r="AD59" t="str">
            <v/>
          </cell>
          <cell r="AE59" t="str">
            <v/>
          </cell>
          <cell r="AF59" t="str">
            <v/>
          </cell>
          <cell r="AG59" t="str">
            <v/>
          </cell>
        </row>
        <row r="60">
          <cell r="AA60">
            <v>49</v>
          </cell>
          <cell r="AB60" t="str">
            <v/>
          </cell>
          <cell r="AC60" t="str">
            <v/>
          </cell>
          <cell r="AD60" t="str">
            <v/>
          </cell>
          <cell r="AE60" t="str">
            <v/>
          </cell>
          <cell r="AF60" t="str">
            <v/>
          </cell>
          <cell r="AG60" t="str">
            <v/>
          </cell>
        </row>
        <row r="61">
          <cell r="AA61">
            <v>50</v>
          </cell>
          <cell r="AB61" t="str">
            <v/>
          </cell>
          <cell r="AC61" t="str">
            <v/>
          </cell>
          <cell r="AD61" t="str">
            <v/>
          </cell>
          <cell r="AE61" t="str">
            <v/>
          </cell>
          <cell r="AF61" t="str">
            <v/>
          </cell>
          <cell r="AG61" t="str">
            <v/>
          </cell>
        </row>
        <row r="62">
          <cell r="AA62">
            <v>51</v>
          </cell>
          <cell r="AB62" t="str">
            <v>Bilanz</v>
          </cell>
          <cell r="AC62">
            <v>-2.4920154828578234E-10</v>
          </cell>
          <cell r="AD62">
            <v>97815.348859930731</v>
          </cell>
          <cell r="AE62">
            <v>120000.00000000025</v>
          </cell>
          <cell r="AF62">
            <v>217815.34885993105</v>
          </cell>
          <cell r="AG62">
            <v>0</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
      <sheetName val="B - ErgInt"/>
      <sheetName val="B - Fin"/>
      <sheetName val="B - Plan"/>
      <sheetName val="B - Ist"/>
      <sheetName val="B - Milch"/>
      <sheetName val="B - MuKu"/>
      <sheetName val="B - 1xDgl"/>
      <sheetName val="B - WD.1Dgl"/>
      <sheetName val="B - Jog"/>
      <sheetName val="B - FK"/>
      <sheetName val="B - UV"/>
      <sheetName val="B - AV"/>
      <sheetName val="B - MKK1"/>
      <sheetName val="B - MKK2"/>
      <sheetName val="B - 2NGeb"/>
    </sheetNames>
    <sheetDataSet>
      <sheetData sheetId="0"/>
      <sheetData sheetId="1">
        <row r="14">
          <cell r="T14" t="str">
            <v>Daten fehlen!</v>
          </cell>
          <cell r="V14" t="str">
            <v>Daten fehlen!</v>
          </cell>
        </row>
        <row r="15">
          <cell r="T15" t="str">
            <v>Daten fehlen!</v>
          </cell>
          <cell r="V15" t="str">
            <v>Daten fehlen!</v>
          </cell>
        </row>
        <row r="16">
          <cell r="T16" t="str">
            <v>Daten fehlen!</v>
          </cell>
          <cell r="V16" t="str">
            <v>Daten fehlen!</v>
          </cell>
        </row>
        <row r="18">
          <cell r="T18" t="str">
            <v>Daten fehlen!</v>
          </cell>
          <cell r="V18" t="str">
            <v>Daten fehlen!</v>
          </cell>
        </row>
        <row r="19">
          <cell r="T19" t="str">
            <v>Daten fehlen!</v>
          </cell>
          <cell r="V19" t="str">
            <v>Daten fehlen!</v>
          </cell>
        </row>
        <row r="20">
          <cell r="T20" t="str">
            <v>Daten fehlen!</v>
          </cell>
          <cell r="V20" t="str">
            <v>Daten fehlen!</v>
          </cell>
        </row>
        <row r="21">
          <cell r="T21" t="str">
            <v>Daten fehlen!</v>
          </cell>
          <cell r="V21" t="str">
            <v>Daten fehlen!</v>
          </cell>
        </row>
        <row r="38">
          <cell r="T38" t="str">
            <v>Daten fehlen!</v>
          </cell>
        </row>
        <row r="39">
          <cell r="T39" t="str">
            <v>Daten fehlen!</v>
          </cell>
        </row>
        <row r="40">
          <cell r="T40" t="str">
            <v>Daten fehlen!</v>
          </cell>
        </row>
        <row r="42">
          <cell r="T42" t="str">
            <v>Daten fehlen!</v>
          </cell>
        </row>
        <row r="43">
          <cell r="T43" t="str">
            <v>Daten fehlen!</v>
          </cell>
        </row>
        <row r="44">
          <cell r="T44" t="str">
            <v>Daten fehlen!</v>
          </cell>
        </row>
        <row r="45">
          <cell r="T45" t="str">
            <v>Daten fehlen!</v>
          </cell>
        </row>
        <row r="52">
          <cell r="T52" t="str">
            <v>Daten fehlen!</v>
          </cell>
        </row>
        <row r="53">
          <cell r="T53" t="str">
            <v>Daten fehlen!</v>
          </cell>
        </row>
        <row r="54">
          <cell r="T54" t="str">
            <v>Daten fehlen!</v>
          </cell>
        </row>
        <row r="56">
          <cell r="T56" t="str">
            <v>Daten fehlen!</v>
          </cell>
        </row>
        <row r="57">
          <cell r="T57" t="str">
            <v>Daten fehlen!</v>
          </cell>
        </row>
        <row r="58">
          <cell r="T58" t="str">
            <v>Daten fehlen!</v>
          </cell>
        </row>
        <row r="59">
          <cell r="T59" t="str">
            <v>Daten fehlen!</v>
          </cell>
        </row>
        <row r="68">
          <cell r="T68" t="str">
            <v>Daten fehlen!</v>
          </cell>
        </row>
        <row r="69">
          <cell r="T69" t="str">
            <v>Daten fehlen!</v>
          </cell>
        </row>
        <row r="70">
          <cell r="T70" t="str">
            <v>Daten fehlen!</v>
          </cell>
        </row>
        <row r="72">
          <cell r="T72" t="str">
            <v>Daten fehlen!</v>
          </cell>
        </row>
        <row r="73">
          <cell r="T73" t="str">
            <v>Daten fehlen!</v>
          </cell>
        </row>
        <row r="74">
          <cell r="T74" t="str">
            <v>Daten fehlen!</v>
          </cell>
        </row>
        <row r="75">
          <cell r="T75" t="str">
            <v>Daten fehlen!</v>
          </cell>
        </row>
        <row r="80">
          <cell r="T80" t="str">
            <v>Daten fehlen!</v>
          </cell>
        </row>
        <row r="81">
          <cell r="T81" t="str">
            <v>Daten fehlen!</v>
          </cell>
        </row>
        <row r="82">
          <cell r="T82" t="str">
            <v>Daten fehlen!</v>
          </cell>
        </row>
        <row r="84">
          <cell r="T84" t="str">
            <v>Daten fehlen!</v>
          </cell>
        </row>
        <row r="85">
          <cell r="T85" t="str">
            <v>Daten fehlen!</v>
          </cell>
        </row>
        <row r="86">
          <cell r="T86" t="str">
            <v>Daten fehlen!</v>
          </cell>
        </row>
        <row r="87">
          <cell r="T87" t="str">
            <v>Daten fehlen!</v>
          </cell>
        </row>
        <row r="88">
          <cell r="T88" t="str">
            <v>Daten fehlen!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
      <sheetName val="Angaben"/>
      <sheetName val="GB"/>
      <sheetName val="Ist"/>
      <sheetName val="PlanI"/>
      <sheetName val="PlanII"/>
      <sheetName val="Milch"/>
      <sheetName val="MuKu"/>
      <sheetName val="WD.ILeist"/>
      <sheetName val="ILeist"/>
      <sheetName val="Jog"/>
      <sheetName val="MKK1"/>
      <sheetName val="MKK2"/>
      <sheetName val="FK"/>
      <sheetName val="UV"/>
      <sheetName val="AV"/>
      <sheetName val="2NGeb"/>
      <sheetName val="Geb"/>
      <sheetName val="A-Text"/>
      <sheetName val="GBA"/>
      <sheetName val="Annuitätentabelle"/>
      <sheetName val="E-ErgInt"/>
      <sheetName val="E-Plan II"/>
      <sheetName val="E-Fin II"/>
      <sheetName val="E-Plan I"/>
      <sheetName val="E-Fin I"/>
      <sheetName val="E-Ist"/>
      <sheetName val="E-Milch"/>
      <sheetName val="E-MuKu"/>
      <sheetName val="E-WD.ILeist"/>
      <sheetName val="E-ILeist"/>
      <sheetName val="E-MKK1"/>
      <sheetName val="E-MKK2"/>
      <sheetName val="E-Jog"/>
      <sheetName val="E-FK"/>
      <sheetName val="E-UV"/>
      <sheetName val="E-AV"/>
      <sheetName val="E-2NGeb"/>
      <sheetName val="E-Geb"/>
    </sheetNames>
    <sheetDataSet>
      <sheetData sheetId="0" refreshError="1"/>
      <sheetData sheetId="1" refreshError="1"/>
      <sheetData sheetId="2" refreshError="1">
        <row r="199">
          <cell r="Y199" t="str">
            <v>Ab- und Zuschreibung</v>
          </cell>
          <cell r="Z199" t="str">
            <v>Ab- und Zuschreibung gem. Grundzusammenlegungsverfahren der KG – Silz</v>
          </cell>
        </row>
        <row r="200">
          <cell r="Y200" t="str">
            <v>Feuerwehrzone</v>
          </cell>
          <cell r="Z200" t="str">
            <v>Feuerwehrzone Volksschule Silz</v>
          </cell>
        </row>
        <row r="201">
          <cell r="Y201" t="str">
            <v>Fischereirecht</v>
          </cell>
          <cell r="Z201" t="str">
            <v>Grunddienstbarkeit des Rechtes der FISCHEREI und des FISCHFANGS</v>
          </cell>
          <cell r="AB201" t="str">
            <v>an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T1189"/>
  <sheetViews>
    <sheetView showGridLines="0" showRowColHeaders="0" zoomScaleNormal="100" workbookViewId="0">
      <pane ySplit="7" topLeftCell="A953" activePane="bottomLeft" state="frozen"/>
      <selection activeCell="K11" sqref="K11"/>
      <selection pane="bottomLeft" activeCell="L1" sqref="L1"/>
    </sheetView>
  </sheetViews>
  <sheetFormatPr baseColWidth="10" defaultColWidth="0" defaultRowHeight="0" customHeight="1" zeroHeight="1" x14ac:dyDescent="0.2"/>
  <cols>
    <col min="1" max="1" width="2.28515625" style="1" customWidth="1"/>
    <col min="2" max="2" width="33.7109375" style="1" customWidth="1"/>
    <col min="3" max="3" width="8.7109375" style="1" customWidth="1"/>
    <col min="4" max="4" width="10.7109375" style="1" customWidth="1"/>
    <col min="5" max="5" width="1.140625" style="1" customWidth="1"/>
    <col min="6" max="6" width="10" style="1" customWidth="1"/>
    <col min="7" max="7" width="1.140625" style="1" customWidth="1"/>
    <col min="8" max="8" width="10.7109375" style="803" customWidth="1"/>
    <col min="9" max="9" width="13.85546875" style="1" customWidth="1"/>
    <col min="10" max="10" width="7.7109375" style="1" customWidth="1"/>
    <col min="11" max="11" width="1.7109375" style="1" customWidth="1"/>
    <col min="12" max="12" width="7.7109375" style="1" customWidth="1"/>
    <col min="13" max="13" width="4.7109375" style="1" hidden="1" customWidth="1"/>
    <col min="14" max="14" width="2.7109375" style="1" hidden="1" customWidth="1"/>
    <col min="15" max="15" width="4.7109375" style="1" hidden="1" customWidth="1"/>
    <col min="16" max="16" width="10.7109375" style="1" hidden="1" customWidth="1"/>
    <col min="17" max="17" width="1.140625" style="1" hidden="1" customWidth="1"/>
    <col min="18" max="18" width="10" style="1" hidden="1" customWidth="1"/>
    <col min="19" max="19" width="1.140625" style="1" hidden="1" customWidth="1"/>
    <col min="20" max="20" width="10.7109375" style="803" hidden="1" customWidth="1"/>
    <col min="21" max="16384" width="11.42578125" style="1" hidden="1"/>
  </cols>
  <sheetData>
    <row r="1" spans="1:20" ht="32.25" customHeight="1" thickTop="1" thickBot="1" x14ac:dyDescent="0.5">
      <c r="A1" s="682" t="s">
        <v>357</v>
      </c>
      <c r="B1" s="683"/>
      <c r="C1" s="683"/>
      <c r="D1" s="683"/>
      <c r="E1" s="683"/>
      <c r="F1" s="683"/>
      <c r="G1" s="683"/>
      <c r="H1" s="684"/>
      <c r="I1" s="683"/>
      <c r="J1" s="685" t="s">
        <v>358</v>
      </c>
      <c r="K1" s="683"/>
      <c r="L1" s="686" t="s">
        <v>1</v>
      </c>
      <c r="M1" s="1130" t="s">
        <v>359</v>
      </c>
      <c r="N1" s="1130"/>
      <c r="O1" s="1130"/>
      <c r="P1" s="1125" t="s">
        <v>722</v>
      </c>
      <c r="Q1" s="1126"/>
      <c r="R1" s="1127">
        <v>5</v>
      </c>
      <c r="S1" s="1125" t="s">
        <v>723</v>
      </c>
      <c r="T1" s="1128"/>
    </row>
    <row r="2" spans="1:20" ht="32.25" customHeight="1" thickTop="1" x14ac:dyDescent="0.2">
      <c r="A2" s="687"/>
      <c r="B2" s="688"/>
      <c r="C2" s="687"/>
      <c r="D2" s="687"/>
      <c r="E2" s="687"/>
      <c r="F2" s="687"/>
      <c r="G2" s="687"/>
      <c r="H2" s="687"/>
      <c r="I2" s="687"/>
      <c r="J2" s="687"/>
      <c r="K2" s="687"/>
      <c r="L2" s="687"/>
      <c r="N2" s="689" t="str">
        <f>N3</f>
        <v>x</v>
      </c>
      <c r="P2" s="687"/>
      <c r="Q2" s="687"/>
      <c r="R2" s="687"/>
      <c r="S2" s="687"/>
      <c r="T2" s="687"/>
    </row>
    <row r="3" spans="1:20" ht="12.75" x14ac:dyDescent="0.2">
      <c r="A3" s="690"/>
      <c r="B3" s="2" t="s">
        <v>360</v>
      </c>
      <c r="E3" s="3"/>
      <c r="F3" s="3"/>
      <c r="G3" s="3"/>
      <c r="H3" s="691"/>
      <c r="I3" s="692"/>
      <c r="J3" s="693"/>
      <c r="K3" s="692"/>
      <c r="L3" s="694"/>
      <c r="N3" s="695" t="str">
        <f>IF($L$1="","",$L$1)</f>
        <v>x</v>
      </c>
      <c r="Q3" s="3"/>
      <c r="R3" s="3"/>
      <c r="S3" s="3"/>
      <c r="T3" s="691"/>
    </row>
    <row r="4" spans="1:20" ht="3.95" customHeight="1" x14ac:dyDescent="0.2">
      <c r="B4" s="2"/>
      <c r="E4" s="3"/>
      <c r="F4" s="3"/>
      <c r="G4" s="3"/>
      <c r="H4" s="691"/>
      <c r="I4" s="692"/>
      <c r="J4" s="693"/>
      <c r="K4" s="692"/>
      <c r="L4" s="694"/>
      <c r="N4" s="696" t="str">
        <f>N3</f>
        <v>x</v>
      </c>
      <c r="Q4" s="3"/>
      <c r="R4" s="3"/>
      <c r="S4" s="3"/>
      <c r="T4" s="691"/>
    </row>
    <row r="5" spans="1:20" ht="12.75" x14ac:dyDescent="0.2">
      <c r="A5" s="697"/>
      <c r="B5" s="2" t="s">
        <v>361</v>
      </c>
      <c r="E5" s="3"/>
      <c r="F5" s="3"/>
      <c r="G5" s="3"/>
      <c r="H5" s="691"/>
      <c r="I5" s="692"/>
      <c r="J5" s="693"/>
      <c r="K5" s="692"/>
      <c r="L5" s="694"/>
      <c r="N5" s="695" t="str">
        <f>IF($L$1="","",$L$1)</f>
        <v>x</v>
      </c>
      <c r="Q5" s="3"/>
      <c r="R5" s="3"/>
      <c r="S5" s="3"/>
      <c r="T5" s="691"/>
    </row>
    <row r="6" spans="1:20" ht="12.75" x14ac:dyDescent="0.2">
      <c r="E6" s="3"/>
      <c r="F6" s="3"/>
      <c r="G6" s="3"/>
      <c r="H6" s="691"/>
      <c r="I6" s="692"/>
      <c r="J6" s="693"/>
      <c r="K6" s="692"/>
      <c r="L6" s="694"/>
      <c r="N6" s="696" t="str">
        <f>N5</f>
        <v>x</v>
      </c>
      <c r="Q6" s="3"/>
      <c r="R6" s="3"/>
      <c r="S6" s="3"/>
      <c r="T6" s="691"/>
    </row>
    <row r="7" spans="1:20" ht="22.5" x14ac:dyDescent="0.2">
      <c r="A7" s="698" t="s">
        <v>362</v>
      </c>
      <c r="B7" s="699"/>
      <c r="C7" s="700"/>
      <c r="D7" s="701" t="s">
        <v>0</v>
      </c>
      <c r="E7" s="701"/>
      <c r="F7" s="702" t="s">
        <v>363</v>
      </c>
      <c r="G7" s="700"/>
      <c r="H7" s="702" t="s">
        <v>364</v>
      </c>
      <c r="I7" s="703" t="str">
        <f>"Fehler"</f>
        <v>Fehler</v>
      </c>
      <c r="J7" s="704" t="s">
        <v>365</v>
      </c>
      <c r="K7" s="704"/>
      <c r="L7" s="704"/>
      <c r="N7" s="705" t="str">
        <f>IF($L$1="","",$L$1)</f>
        <v>x</v>
      </c>
      <c r="P7" s="701" t="s">
        <v>0</v>
      </c>
      <c r="Q7" s="701"/>
      <c r="R7" s="702" t="s">
        <v>363</v>
      </c>
      <c r="S7" s="700"/>
      <c r="T7" s="702" t="s">
        <v>364</v>
      </c>
    </row>
    <row r="8" spans="1:20" ht="12.75" customHeight="1" x14ac:dyDescent="0.2">
      <c r="A8" s="706" t="s">
        <v>366</v>
      </c>
      <c r="B8" s="706" t="s">
        <v>367</v>
      </c>
      <c r="C8" s="707"/>
      <c r="D8" s="708"/>
      <c r="H8" s="709"/>
      <c r="I8" s="710"/>
      <c r="J8" s="5"/>
      <c r="K8" s="711"/>
      <c r="L8" s="712"/>
      <c r="N8" s="695" t="str">
        <f>IF($L$1="","",$L$1)</f>
        <v>x</v>
      </c>
      <c r="P8" s="708"/>
      <c r="T8" s="709"/>
    </row>
    <row r="9" spans="1:20" ht="12.75" hidden="1" customHeight="1" x14ac:dyDescent="0.2">
      <c r="B9" s="713" t="str">
        <f>IF(Ist!B6="","-",Ist!B6)</f>
        <v>DB Milchkuh</v>
      </c>
      <c r="C9" s="707"/>
      <c r="D9" s="714">
        <f>IF('[1]E-Ist'!$E6="","",'[1]E-Ist'!$E6)</f>
        <v>10610.400000000001</v>
      </c>
      <c r="E9" s="715"/>
      <c r="H9" s="716">
        <f>IF(Ist!$E6="","",Ist!$E6)</f>
        <v>10610.400000000001</v>
      </c>
      <c r="I9" s="717" t="str">
        <f t="shared" ref="I9:I22" si="0">IF(AND(P9="",T9=""),"",IF(T9=P9,"Richtig!",IF(T9="","Fehlt","Falsch")))</f>
        <v>Richtig!</v>
      </c>
      <c r="J9" s="718" t="str">
        <f t="shared" ref="J9:J23" si="1">IF(OR(B9="-",N9="",AND(P9="",T9="")),"-",IF(I9="Richtig!",1,IF(I9="Formel: OK",0.5,IF(OR(I9="Falsch",I9="Fehlt"),0,""))))</f>
        <v>-</v>
      </c>
      <c r="K9" s="711" t="str">
        <f>IF(L9="","","│")</f>
        <v/>
      </c>
      <c r="L9" s="712" t="str">
        <f t="shared" ref="L9:L40" si="2">IF(OR(B9="-",N9="",AND(P9="",T9="")),"",1)</f>
        <v/>
      </c>
      <c r="N9" s="719"/>
      <c r="P9" s="714">
        <f>IF('[1]E-Ist'!$E6="","",'[1]E-Ist'!$E6)</f>
        <v>10610.400000000001</v>
      </c>
      <c r="Q9" s="715"/>
      <c r="T9" s="716">
        <f>IF(Ist!$E6="","",Ist!$E6)</f>
        <v>10610.400000000001</v>
      </c>
    </row>
    <row r="10" spans="1:20" ht="12.75" customHeight="1" x14ac:dyDescent="0.2">
      <c r="B10" s="713" t="str">
        <f>IF(Ist!B7="","-",Ist!B7)</f>
        <v>DB Kalbinnen</v>
      </c>
      <c r="C10" s="707"/>
      <c r="D10" s="714">
        <f>IF('[1]E-Ist'!$E7="","",'[1]E-Ist'!$E7)</f>
        <v>2178.8999999999996</v>
      </c>
      <c r="E10" s="715"/>
      <c r="F10" s="715"/>
      <c r="H10" s="716">
        <f>IF(Ist!$E7="","",Ist!$E7)</f>
        <v>2178.8999999999996</v>
      </c>
      <c r="I10" s="717" t="str">
        <f t="shared" si="0"/>
        <v>Richtig!</v>
      </c>
      <c r="J10" s="718">
        <f t="shared" si="1"/>
        <v>1</v>
      </c>
      <c r="K10" s="711" t="str">
        <f t="shared" ref="K10:K73" si="3">IF(L10="","","│")</f>
        <v>│</v>
      </c>
      <c r="L10" s="712">
        <f t="shared" si="2"/>
        <v>1</v>
      </c>
      <c r="N10" s="719" t="str">
        <f>IF($L$1="","",$L$1)</f>
        <v>x</v>
      </c>
      <c r="P10" s="714">
        <f>IF(ISTEXT(D10),D10,IF(D10="","",ROUND(D10,$R$1)))</f>
        <v>2178.9</v>
      </c>
      <c r="Q10" s="715"/>
      <c r="R10" s="715" t="str">
        <f>IF(ISTEXT(F10),F10,IF(F10="","",ROUND(F10,$R$1)))</f>
        <v/>
      </c>
      <c r="T10" s="716">
        <f>IF(ISTEXT(H10),H10,IF(H10="","",ROUND(H10,$R$1)))</f>
        <v>2178.9</v>
      </c>
    </row>
    <row r="11" spans="1:20" ht="12.75" hidden="1" customHeight="1" x14ac:dyDescent="0.2">
      <c r="B11" s="713" t="str">
        <f>IF(Ist!B8="","-",Ist!B8)</f>
        <v>DB Kartoffel</v>
      </c>
      <c r="C11" s="707"/>
      <c r="D11" s="714">
        <f>IF('[1]E-Ist'!$E8="","",'[1]E-Ist'!$E8)</f>
        <v>837</v>
      </c>
      <c r="E11" s="715"/>
      <c r="F11" s="715"/>
      <c r="H11" s="716">
        <f>IF(Ist!$E8="","",Ist!$E8)</f>
        <v>837</v>
      </c>
      <c r="I11" s="717" t="str">
        <f t="shared" si="0"/>
        <v>Richtig!</v>
      </c>
      <c r="J11" s="718" t="str">
        <f t="shared" si="1"/>
        <v>-</v>
      </c>
      <c r="K11" s="711" t="str">
        <f t="shared" si="3"/>
        <v/>
      </c>
      <c r="L11" s="712" t="str">
        <f t="shared" si="2"/>
        <v/>
      </c>
      <c r="N11" s="719"/>
      <c r="P11" s="714">
        <f t="shared" ref="P11:T74" si="4">IF(ISTEXT(D11),D11,IF(D11="","",ROUND(D11,$R$1)))</f>
        <v>837</v>
      </c>
      <c r="Q11" s="715"/>
      <c r="R11" s="715" t="str">
        <f t="shared" si="4"/>
        <v/>
      </c>
      <c r="T11" s="716">
        <f t="shared" si="4"/>
        <v>837</v>
      </c>
    </row>
    <row r="12" spans="1:20" ht="12.75" hidden="1" customHeight="1" x14ac:dyDescent="0.2">
      <c r="B12" s="713" t="str">
        <f>IF(Ist!B9="","-",Ist!B9)</f>
        <v>-</v>
      </c>
      <c r="C12" s="707"/>
      <c r="D12" s="714" t="str">
        <f>IF('[1]E-Ist'!$E9="","",'[1]E-Ist'!$E9)</f>
        <v/>
      </c>
      <c r="E12" s="715"/>
      <c r="F12" s="715"/>
      <c r="H12" s="716" t="str">
        <f>IF(Ist!$E9="","",Ist!$E9)</f>
        <v/>
      </c>
      <c r="I12" s="717" t="str">
        <f t="shared" si="0"/>
        <v/>
      </c>
      <c r="J12" s="718" t="str">
        <f t="shared" si="1"/>
        <v>-</v>
      </c>
      <c r="K12" s="711" t="str">
        <f t="shared" si="3"/>
        <v/>
      </c>
      <c r="L12" s="712" t="str">
        <f t="shared" si="2"/>
        <v/>
      </c>
      <c r="N12" s="719"/>
      <c r="P12" s="714" t="str">
        <f t="shared" si="4"/>
        <v/>
      </c>
      <c r="Q12" s="715"/>
      <c r="R12" s="715" t="str">
        <f t="shared" si="4"/>
        <v/>
      </c>
      <c r="T12" s="716" t="str">
        <f t="shared" si="4"/>
        <v/>
      </c>
    </row>
    <row r="13" spans="1:20" ht="12.75" hidden="1" customHeight="1" x14ac:dyDescent="0.2">
      <c r="B13" s="713" t="str">
        <f>IF(Ist!B10="","-",Ist!B10)</f>
        <v>-</v>
      </c>
      <c r="C13" s="707"/>
      <c r="D13" s="714" t="str">
        <f>IF('[1]E-Ist'!$E10="","",'[1]E-Ist'!$E10)</f>
        <v/>
      </c>
      <c r="E13" s="715"/>
      <c r="F13" s="715"/>
      <c r="H13" s="716" t="str">
        <f>IF(Ist!$E10="","",Ist!$E10)</f>
        <v/>
      </c>
      <c r="I13" s="717" t="str">
        <f t="shared" si="0"/>
        <v/>
      </c>
      <c r="J13" s="718" t="str">
        <f t="shared" si="1"/>
        <v>-</v>
      </c>
      <c r="K13" s="711" t="str">
        <f t="shared" si="3"/>
        <v/>
      </c>
      <c r="L13" s="712" t="str">
        <f t="shared" si="2"/>
        <v/>
      </c>
      <c r="N13" s="719"/>
      <c r="P13" s="714" t="str">
        <f t="shared" si="4"/>
        <v/>
      </c>
      <c r="Q13" s="715"/>
      <c r="R13" s="715" t="str">
        <f t="shared" si="4"/>
        <v/>
      </c>
      <c r="T13" s="716" t="str">
        <f t="shared" si="4"/>
        <v/>
      </c>
    </row>
    <row r="14" spans="1:20" ht="12.75" hidden="1" customHeight="1" x14ac:dyDescent="0.2">
      <c r="B14" s="713" t="str">
        <f>IF(Ist!B11="","-",Ist!B11)</f>
        <v>-</v>
      </c>
      <c r="C14" s="707"/>
      <c r="D14" s="714" t="str">
        <f>IF('[1]E-Ist'!$E11="","",'[1]E-Ist'!$E11)</f>
        <v/>
      </c>
      <c r="E14" s="715"/>
      <c r="F14" s="715"/>
      <c r="H14" s="716" t="str">
        <f>IF(Ist!$E11="","",Ist!$E11)</f>
        <v/>
      </c>
      <c r="I14" s="717" t="str">
        <f t="shared" si="0"/>
        <v/>
      </c>
      <c r="J14" s="718" t="str">
        <f t="shared" si="1"/>
        <v>-</v>
      </c>
      <c r="K14" s="711" t="str">
        <f t="shared" si="3"/>
        <v/>
      </c>
      <c r="L14" s="712" t="str">
        <f t="shared" si="2"/>
        <v/>
      </c>
      <c r="N14" s="719"/>
      <c r="P14" s="714" t="str">
        <f t="shared" si="4"/>
        <v/>
      </c>
      <c r="Q14" s="715"/>
      <c r="R14" s="715" t="str">
        <f t="shared" si="4"/>
        <v/>
      </c>
      <c r="T14" s="716" t="str">
        <f t="shared" si="4"/>
        <v/>
      </c>
    </row>
    <row r="15" spans="1:20" ht="12.75" hidden="1" customHeight="1" x14ac:dyDescent="0.2">
      <c r="B15" s="713" t="str">
        <f>IF(Ist!B12="","-",Ist!B12)</f>
        <v>-</v>
      </c>
      <c r="C15" s="707"/>
      <c r="D15" s="714" t="str">
        <f>IF('[1]E-Ist'!$E12="","",'[1]E-Ist'!$E12)</f>
        <v/>
      </c>
      <c r="E15" s="715"/>
      <c r="F15" s="715"/>
      <c r="H15" s="716" t="str">
        <f>IF(Ist!$E12="","",Ist!$E12)</f>
        <v/>
      </c>
      <c r="I15" s="717" t="str">
        <f t="shared" si="0"/>
        <v/>
      </c>
      <c r="J15" s="718" t="str">
        <f t="shared" si="1"/>
        <v>-</v>
      </c>
      <c r="K15" s="711" t="str">
        <f t="shared" si="3"/>
        <v/>
      </c>
      <c r="L15" s="712" t="str">
        <f t="shared" si="2"/>
        <v/>
      </c>
      <c r="N15" s="719"/>
      <c r="P15" s="714" t="str">
        <f t="shared" si="4"/>
        <v/>
      </c>
      <c r="Q15" s="715"/>
      <c r="R15" s="715" t="str">
        <f t="shared" si="4"/>
        <v/>
      </c>
      <c r="T15" s="716" t="str">
        <f t="shared" si="4"/>
        <v/>
      </c>
    </row>
    <row r="16" spans="1:20" ht="12.75" hidden="1" customHeight="1" x14ac:dyDescent="0.2">
      <c r="B16" s="713" t="str">
        <f>IF(Ist!B13="","-",Ist!B13)</f>
        <v>VK Feldfutter - Heu</v>
      </c>
      <c r="C16" s="707"/>
      <c r="D16" s="714">
        <f>IF('[1]E-Ist'!$E13="","",'[1]E-Ist'!$E13)</f>
        <v>-332.52</v>
      </c>
      <c r="E16" s="715"/>
      <c r="F16" s="715"/>
      <c r="H16" s="716">
        <f>IF(Ist!$E13="","",Ist!$E13)</f>
        <v>-332.52</v>
      </c>
      <c r="I16" s="717" t="str">
        <f t="shared" si="0"/>
        <v>Richtig!</v>
      </c>
      <c r="J16" s="718" t="str">
        <f t="shared" si="1"/>
        <v>-</v>
      </c>
      <c r="K16" s="711" t="str">
        <f t="shared" si="3"/>
        <v/>
      </c>
      <c r="L16" s="712" t="str">
        <f t="shared" si="2"/>
        <v/>
      </c>
      <c r="N16" s="719"/>
      <c r="P16" s="714">
        <f t="shared" si="4"/>
        <v>-332.52</v>
      </c>
      <c r="Q16" s="715"/>
      <c r="R16" s="715" t="str">
        <f t="shared" si="4"/>
        <v/>
      </c>
      <c r="T16" s="716">
        <f t="shared" si="4"/>
        <v>-332.52</v>
      </c>
    </row>
    <row r="17" spans="1:20" ht="12.75" customHeight="1" x14ac:dyDescent="0.2">
      <c r="B17" s="713" t="str">
        <f>IF(Ist!B14="","-",Ist!B14)</f>
        <v>VK Dauergrünland 3-schnittig</v>
      </c>
      <c r="C17" s="707"/>
      <c r="D17" s="714">
        <f>IF('[1]E-Ist'!$E14="","",'[1]E-Ist'!$E14)</f>
        <v>-5327</v>
      </c>
      <c r="E17" s="715"/>
      <c r="F17" s="715"/>
      <c r="H17" s="716">
        <f>IF(Ist!$E14="","",Ist!$E14)</f>
        <v>-5327</v>
      </c>
      <c r="I17" s="717" t="str">
        <f t="shared" si="0"/>
        <v>Richtig!</v>
      </c>
      <c r="J17" s="718">
        <f t="shared" si="1"/>
        <v>1</v>
      </c>
      <c r="K17" s="711" t="str">
        <f t="shared" si="3"/>
        <v>│</v>
      </c>
      <c r="L17" s="712">
        <f t="shared" si="2"/>
        <v>1</v>
      </c>
      <c r="N17" s="719" t="str">
        <f>IF($L$1="","",$L$1)</f>
        <v>x</v>
      </c>
      <c r="P17" s="714">
        <f t="shared" si="4"/>
        <v>-5327</v>
      </c>
      <c r="Q17" s="715"/>
      <c r="R17" s="715" t="str">
        <f t="shared" si="4"/>
        <v/>
      </c>
      <c r="T17" s="716">
        <f t="shared" si="4"/>
        <v>-5327</v>
      </c>
    </row>
    <row r="18" spans="1:20" ht="12.75" customHeight="1" x14ac:dyDescent="0.2">
      <c r="B18" s="713" t="str">
        <f>IF(Ist!B15="","-",Ist!B15)</f>
        <v>VK Dauergrünland 1-schnittig</v>
      </c>
      <c r="C18" s="707"/>
      <c r="D18" s="714">
        <f>IF('[1]E-Ist'!$E15="","",'[1]E-Ist'!$E15)</f>
        <v>-397.8</v>
      </c>
      <c r="E18" s="715"/>
      <c r="F18" s="715"/>
      <c r="H18" s="716">
        <f>IF(Ist!$E15="","",Ist!$E15)</f>
        <v>-397.8</v>
      </c>
      <c r="I18" s="717" t="str">
        <f t="shared" si="0"/>
        <v>Richtig!</v>
      </c>
      <c r="J18" s="718">
        <f t="shared" si="1"/>
        <v>1</v>
      </c>
      <c r="K18" s="711" t="str">
        <f t="shared" si="3"/>
        <v>│</v>
      </c>
      <c r="L18" s="712">
        <f t="shared" si="2"/>
        <v>1</v>
      </c>
      <c r="N18" s="719" t="str">
        <f>IF($L$1="","",$L$1)</f>
        <v>x</v>
      </c>
      <c r="P18" s="714">
        <f t="shared" si="4"/>
        <v>-397.8</v>
      </c>
      <c r="Q18" s="715"/>
      <c r="R18" s="715" t="str">
        <f t="shared" si="4"/>
        <v/>
      </c>
      <c r="T18" s="716">
        <f t="shared" si="4"/>
        <v>-397.8</v>
      </c>
    </row>
    <row r="19" spans="1:20" ht="12.75" hidden="1" customHeight="1" x14ac:dyDescent="0.2">
      <c r="B19" s="713" t="str">
        <f>IF(Ist!B16="","-",Ist!B16)</f>
        <v>-</v>
      </c>
      <c r="C19" s="707"/>
      <c r="D19" s="714" t="str">
        <f>IF('[1]E-Ist'!$E16="","",'[1]E-Ist'!$E16)</f>
        <v/>
      </c>
      <c r="E19" s="715"/>
      <c r="F19" s="715"/>
      <c r="H19" s="716" t="str">
        <f>IF(Ist!$E16="","",Ist!$E16)</f>
        <v/>
      </c>
      <c r="I19" s="717" t="str">
        <f t="shared" si="0"/>
        <v/>
      </c>
      <c r="J19" s="718" t="str">
        <f t="shared" si="1"/>
        <v>-</v>
      </c>
      <c r="K19" s="711" t="str">
        <f t="shared" si="3"/>
        <v/>
      </c>
      <c r="L19" s="712" t="str">
        <f t="shared" si="2"/>
        <v/>
      </c>
      <c r="N19" s="719"/>
      <c r="P19" s="714" t="str">
        <f t="shared" si="4"/>
        <v/>
      </c>
      <c r="Q19" s="715"/>
      <c r="R19" s="715" t="str">
        <f t="shared" si="4"/>
        <v/>
      </c>
      <c r="T19" s="716" t="str">
        <f t="shared" si="4"/>
        <v/>
      </c>
    </row>
    <row r="20" spans="1:20" ht="12.75" hidden="1" customHeight="1" x14ac:dyDescent="0.2">
      <c r="B20" s="713" t="str">
        <f>IF(Ist!B17="","-",Ist!B17)</f>
        <v>-</v>
      </c>
      <c r="C20" s="707"/>
      <c r="D20" s="714" t="str">
        <f>IF('[1]E-Ist'!$E17="","",'[1]E-Ist'!$E17)</f>
        <v/>
      </c>
      <c r="E20" s="715"/>
      <c r="F20" s="715"/>
      <c r="H20" s="716" t="str">
        <f>IF(Ist!$E17="","",Ist!$E17)</f>
        <v/>
      </c>
      <c r="I20" s="717" t="str">
        <f t="shared" si="0"/>
        <v/>
      </c>
      <c r="J20" s="718" t="str">
        <f t="shared" si="1"/>
        <v>-</v>
      </c>
      <c r="K20" s="711" t="str">
        <f t="shared" si="3"/>
        <v/>
      </c>
      <c r="L20" s="712" t="str">
        <f t="shared" si="2"/>
        <v/>
      </c>
      <c r="N20" s="719"/>
      <c r="P20" s="714" t="str">
        <f t="shared" si="4"/>
        <v/>
      </c>
      <c r="Q20" s="715"/>
      <c r="R20" s="715" t="str">
        <f t="shared" si="4"/>
        <v/>
      </c>
      <c r="T20" s="716" t="str">
        <f t="shared" si="4"/>
        <v/>
      </c>
    </row>
    <row r="21" spans="1:20" ht="12.75" hidden="1" customHeight="1" x14ac:dyDescent="0.2">
      <c r="B21" s="713" t="str">
        <f>IF(Ist!B18="","-",Ist!B18)</f>
        <v>-</v>
      </c>
      <c r="C21" s="707"/>
      <c r="D21" s="714" t="str">
        <f>IF('[1]E-Ist'!$E18="","",'[1]E-Ist'!$E18)</f>
        <v/>
      </c>
      <c r="E21" s="715"/>
      <c r="F21" s="715"/>
      <c r="H21" s="716" t="str">
        <f>IF(Ist!$E18="","",Ist!$E18)</f>
        <v/>
      </c>
      <c r="I21" s="717" t="str">
        <f t="shared" si="0"/>
        <v/>
      </c>
      <c r="J21" s="718" t="str">
        <f t="shared" si="1"/>
        <v>-</v>
      </c>
      <c r="K21" s="711" t="str">
        <f t="shared" si="3"/>
        <v/>
      </c>
      <c r="L21" s="712" t="str">
        <f t="shared" si="2"/>
        <v/>
      </c>
      <c r="N21" s="719"/>
      <c r="P21" s="714" t="str">
        <f t="shared" si="4"/>
        <v/>
      </c>
      <c r="Q21" s="715"/>
      <c r="R21" s="715" t="str">
        <f t="shared" si="4"/>
        <v/>
      </c>
      <c r="T21" s="716" t="str">
        <f t="shared" si="4"/>
        <v/>
      </c>
    </row>
    <row r="22" spans="1:20" ht="12.75" hidden="1" customHeight="1" x14ac:dyDescent="0.2">
      <c r="B22" s="713" t="str">
        <f>IF(Ist!B19="","-",Ist!B19)</f>
        <v xml:space="preserve"> Sonstige Arbeiten</v>
      </c>
      <c r="C22" s="707"/>
      <c r="D22" s="714" t="str">
        <f>IF('[1]E-Ist'!$E19="","",'[1]E-Ist'!$E19)</f>
        <v/>
      </c>
      <c r="E22" s="715"/>
      <c r="F22" s="715"/>
      <c r="H22" s="716" t="str">
        <f>IF(Ist!$E19="","",Ist!$E19)</f>
        <v/>
      </c>
      <c r="I22" s="717" t="str">
        <f t="shared" si="0"/>
        <v/>
      </c>
      <c r="J22" s="718" t="str">
        <f t="shared" si="1"/>
        <v>-</v>
      </c>
      <c r="K22" s="711" t="str">
        <f t="shared" si="3"/>
        <v/>
      </c>
      <c r="L22" s="712" t="str">
        <f t="shared" si="2"/>
        <v/>
      </c>
      <c r="N22" s="719"/>
      <c r="P22" s="714" t="str">
        <f t="shared" si="4"/>
        <v/>
      </c>
      <c r="Q22" s="715"/>
      <c r="R22" s="715" t="str">
        <f t="shared" si="4"/>
        <v/>
      </c>
      <c r="T22" s="716" t="str">
        <f t="shared" si="4"/>
        <v/>
      </c>
    </row>
    <row r="23" spans="1:20" ht="12.75" customHeight="1" x14ac:dyDescent="0.2">
      <c r="B23" s="713" t="str">
        <f>IF(Ist!B20="","-",Ist!B20)</f>
        <v>Gesamt DB</v>
      </c>
      <c r="C23" s="707"/>
      <c r="D23" s="720">
        <f>IF('[1]E-Ist'!$E20="","",'[1]E-Ist'!$E20)</f>
        <v>7568.9800000000005</v>
      </c>
      <c r="E23" s="715"/>
      <c r="F23" s="721">
        <f>SUM(H9:H22)</f>
        <v>7568.9800000000005</v>
      </c>
      <c r="H23" s="722">
        <f>IF(Ist!$E20="","",Ist!$E20)</f>
        <v>7568.9800000000005</v>
      </c>
      <c r="I23" s="717" t="str">
        <f>IF(B23="-","",IF(T23=P23,"Richtig!",IF(AND(P23&lt;&gt;T23,R23=T23),"Formel: OK",IF(T23="","Fehlt","Falsch"))))</f>
        <v>Richtig!</v>
      </c>
      <c r="J23" s="718">
        <f t="shared" si="1"/>
        <v>1</v>
      </c>
      <c r="K23" s="711" t="str">
        <f t="shared" si="3"/>
        <v>│</v>
      </c>
      <c r="L23" s="712">
        <f t="shared" si="2"/>
        <v>1</v>
      </c>
      <c r="N23" s="719" t="str">
        <f>IF($L$1="","",$L$1)</f>
        <v>x</v>
      </c>
      <c r="P23" s="720">
        <f t="shared" si="4"/>
        <v>7568.98</v>
      </c>
      <c r="Q23" s="715"/>
      <c r="R23" s="721">
        <f t="shared" si="4"/>
        <v>7568.98</v>
      </c>
      <c r="T23" s="722">
        <f t="shared" si="4"/>
        <v>7568.98</v>
      </c>
    </row>
    <row r="24" spans="1:20" ht="12.75" customHeight="1" x14ac:dyDescent="0.2">
      <c r="A24" s="707"/>
      <c r="C24" s="707"/>
      <c r="D24" s="723"/>
      <c r="E24" s="715"/>
      <c r="F24" s="715"/>
      <c r="H24" s="724"/>
      <c r="I24" s="717"/>
      <c r="J24" s="717"/>
      <c r="K24" s="711" t="str">
        <f t="shared" si="3"/>
        <v/>
      </c>
      <c r="L24" s="712" t="str">
        <f t="shared" si="2"/>
        <v/>
      </c>
      <c r="N24" s="725" t="str">
        <f>IF($L$1="","",$L$1)</f>
        <v>x</v>
      </c>
      <c r="P24" s="723" t="str">
        <f t="shared" si="4"/>
        <v/>
      </c>
      <c r="Q24" s="715"/>
      <c r="R24" s="715" t="str">
        <f t="shared" si="4"/>
        <v/>
      </c>
      <c r="T24" s="724" t="str">
        <f t="shared" si="4"/>
        <v/>
      </c>
    </row>
    <row r="25" spans="1:20" ht="12.75" customHeight="1" x14ac:dyDescent="0.2">
      <c r="A25" s="706" t="s">
        <v>368</v>
      </c>
      <c r="B25" s="706" t="s">
        <v>369</v>
      </c>
      <c r="C25" s="707"/>
      <c r="D25" s="708"/>
      <c r="H25" s="709"/>
      <c r="I25" s="710"/>
      <c r="J25" s="710"/>
      <c r="K25" s="711" t="str">
        <f t="shared" si="3"/>
        <v/>
      </c>
      <c r="L25" s="712" t="str">
        <f t="shared" si="2"/>
        <v/>
      </c>
      <c r="N25" s="695" t="str">
        <f>IF($L$1="","",$L$1)</f>
        <v>x</v>
      </c>
      <c r="P25" s="708" t="str">
        <f t="shared" si="4"/>
        <v/>
      </c>
      <c r="R25" s="1" t="str">
        <f t="shared" si="4"/>
        <v/>
      </c>
      <c r="T25" s="709" t="str">
        <f t="shared" si="4"/>
        <v/>
      </c>
    </row>
    <row r="26" spans="1:20" ht="12.75" hidden="1" customHeight="1" x14ac:dyDescent="0.2">
      <c r="A26" s="706"/>
      <c r="B26" s="713" t="str">
        <f>IF(Ist!B6="","-",MID(Ist!B6,4,30))</f>
        <v>Milchkuh</v>
      </c>
      <c r="C26" s="707"/>
      <c r="D26" s="714">
        <f>IF('[1]E-Ist'!$G6="","",'[1]E-Ist'!$G6)</f>
        <v>-104232</v>
      </c>
      <c r="E26" s="715"/>
      <c r="H26" s="716">
        <f>IF(Ist!$G6="","",Ist!$G6)</f>
        <v>-104232</v>
      </c>
      <c r="I26" s="717" t="str">
        <f t="shared" ref="I26:I39" si="5">IF(AND(P26="",T26=""),"",IF(T26=P26,"Richtig!",IF(T26="","Fehlt","Falsch")))</f>
        <v>Richtig!</v>
      </c>
      <c r="J26" s="718" t="str">
        <f t="shared" ref="J26:J40" si="6">IF(OR(B26="-",N26="",AND(P26="",T26="")),"-",IF(I26="Richtig!",1,IF(I26="Formel: OK",0.5,IF(OR(I26="Falsch",I26="Fehlt"),0,""))))</f>
        <v>-</v>
      </c>
      <c r="K26" s="711" t="str">
        <f t="shared" si="3"/>
        <v/>
      </c>
      <c r="L26" s="712" t="str">
        <f t="shared" si="2"/>
        <v/>
      </c>
      <c r="N26" s="719"/>
      <c r="P26" s="714">
        <f t="shared" si="4"/>
        <v>-104232</v>
      </c>
      <c r="Q26" s="715"/>
      <c r="R26" s="1" t="str">
        <f t="shared" si="4"/>
        <v/>
      </c>
      <c r="T26" s="716">
        <f t="shared" si="4"/>
        <v>-104232</v>
      </c>
    </row>
    <row r="27" spans="1:20" ht="12.75" hidden="1" customHeight="1" x14ac:dyDescent="0.2">
      <c r="A27" s="706"/>
      <c r="B27" s="713" t="str">
        <f>IF(Ist!B7="","-",MID(Ist!B7,4,30))</f>
        <v>Kalbinnen</v>
      </c>
      <c r="C27" s="707"/>
      <c r="D27" s="714">
        <f>IF('[1]E-Ist'!$G7="","",'[1]E-Ist'!$G7)</f>
        <v>-79515</v>
      </c>
      <c r="E27" s="715"/>
      <c r="H27" s="716">
        <f>IF(Ist!$G7="","",Ist!$G7)</f>
        <v>-79515</v>
      </c>
      <c r="I27" s="717" t="str">
        <f t="shared" si="5"/>
        <v>Richtig!</v>
      </c>
      <c r="J27" s="718" t="str">
        <f t="shared" si="6"/>
        <v>-</v>
      </c>
      <c r="K27" s="711" t="str">
        <f t="shared" si="3"/>
        <v/>
      </c>
      <c r="L27" s="712" t="str">
        <f t="shared" si="2"/>
        <v/>
      </c>
      <c r="N27" s="719"/>
      <c r="P27" s="714">
        <f t="shared" si="4"/>
        <v>-79515</v>
      </c>
      <c r="Q27" s="715"/>
      <c r="R27" s="1" t="str">
        <f t="shared" si="4"/>
        <v/>
      </c>
      <c r="T27" s="716">
        <f t="shared" si="4"/>
        <v>-79515</v>
      </c>
    </row>
    <row r="28" spans="1:20" ht="12.75" hidden="1" customHeight="1" x14ac:dyDescent="0.2">
      <c r="B28" s="713" t="str">
        <f>IF(Ist!B8="","-",MID(Ist!B8,4,30))</f>
        <v>Kartoffel</v>
      </c>
      <c r="C28" s="707"/>
      <c r="D28" s="714">
        <f>IF('[1]E-Ist'!$G8="","",'[1]E-Ist'!$G8)</f>
        <v>0</v>
      </c>
      <c r="E28" s="715"/>
      <c r="H28" s="716">
        <f>IF(Ist!$G8="","",Ist!$G8)</f>
        <v>0</v>
      </c>
      <c r="I28" s="717" t="str">
        <f t="shared" si="5"/>
        <v>Richtig!</v>
      </c>
      <c r="J28" s="718" t="str">
        <f t="shared" si="6"/>
        <v>-</v>
      </c>
      <c r="K28" s="711" t="str">
        <f t="shared" si="3"/>
        <v/>
      </c>
      <c r="L28" s="712" t="str">
        <f t="shared" si="2"/>
        <v/>
      </c>
      <c r="N28" s="719"/>
      <c r="P28" s="714">
        <f t="shared" si="4"/>
        <v>0</v>
      </c>
      <c r="Q28" s="715"/>
      <c r="R28" s="1" t="str">
        <f t="shared" si="4"/>
        <v/>
      </c>
      <c r="T28" s="716">
        <f t="shared" si="4"/>
        <v>0</v>
      </c>
    </row>
    <row r="29" spans="1:20" ht="12.75" hidden="1" customHeight="1" x14ac:dyDescent="0.2">
      <c r="B29" s="713" t="str">
        <f>IF(Ist!B9="","-",MID(Ist!B9,4,30))</f>
        <v>-</v>
      </c>
      <c r="C29" s="707"/>
      <c r="D29" s="714" t="str">
        <f>IF('[1]E-Ist'!$G9="","",'[1]E-Ist'!$G9)</f>
        <v/>
      </c>
      <c r="E29" s="715"/>
      <c r="H29" s="716" t="str">
        <f>IF(Ist!$G9="","",Ist!$G9)</f>
        <v/>
      </c>
      <c r="I29" s="717" t="str">
        <f t="shared" si="5"/>
        <v/>
      </c>
      <c r="J29" s="718" t="str">
        <f t="shared" si="6"/>
        <v>-</v>
      </c>
      <c r="K29" s="711" t="str">
        <f t="shared" si="3"/>
        <v/>
      </c>
      <c r="L29" s="712" t="str">
        <f t="shared" si="2"/>
        <v/>
      </c>
      <c r="N29" s="719"/>
      <c r="P29" s="714" t="str">
        <f t="shared" si="4"/>
        <v/>
      </c>
      <c r="Q29" s="715"/>
      <c r="R29" s="1" t="str">
        <f t="shared" si="4"/>
        <v/>
      </c>
      <c r="T29" s="716" t="str">
        <f t="shared" si="4"/>
        <v/>
      </c>
    </row>
    <row r="30" spans="1:20" ht="12.75" hidden="1" customHeight="1" x14ac:dyDescent="0.2">
      <c r="B30" s="713" t="str">
        <f>IF(Ist!B10="","-",MID(Ist!B10,4,30))</f>
        <v>-</v>
      </c>
      <c r="C30" s="707"/>
      <c r="D30" s="714" t="str">
        <f>IF('[1]E-Ist'!$G10="","",'[1]E-Ist'!$G10)</f>
        <v/>
      </c>
      <c r="E30" s="715"/>
      <c r="H30" s="716" t="str">
        <f>IF(Ist!$G10="","",Ist!$G10)</f>
        <v/>
      </c>
      <c r="I30" s="717" t="str">
        <f t="shared" si="5"/>
        <v/>
      </c>
      <c r="J30" s="718" t="str">
        <f t="shared" si="6"/>
        <v>-</v>
      </c>
      <c r="K30" s="711" t="str">
        <f t="shared" si="3"/>
        <v/>
      </c>
      <c r="L30" s="712" t="str">
        <f t="shared" si="2"/>
        <v/>
      </c>
      <c r="N30" s="719"/>
      <c r="P30" s="714" t="str">
        <f t="shared" si="4"/>
        <v/>
      </c>
      <c r="Q30" s="715"/>
      <c r="R30" s="1" t="str">
        <f t="shared" si="4"/>
        <v/>
      </c>
      <c r="T30" s="716" t="str">
        <f t="shared" si="4"/>
        <v/>
      </c>
    </row>
    <row r="31" spans="1:20" ht="12.75" hidden="1" customHeight="1" x14ac:dyDescent="0.2">
      <c r="B31" s="713" t="str">
        <f>IF(Ist!B11="","-",MID(Ist!B11,4,30))</f>
        <v>-</v>
      </c>
      <c r="C31" s="707"/>
      <c r="D31" s="714" t="str">
        <f>IF('[1]E-Ist'!$G11="","",'[1]E-Ist'!$G11)</f>
        <v/>
      </c>
      <c r="E31" s="715"/>
      <c r="H31" s="716" t="str">
        <f>IF(Ist!$G11="","",Ist!$G11)</f>
        <v/>
      </c>
      <c r="I31" s="717" t="str">
        <f t="shared" si="5"/>
        <v/>
      </c>
      <c r="J31" s="718" t="str">
        <f t="shared" si="6"/>
        <v>-</v>
      </c>
      <c r="K31" s="711" t="str">
        <f t="shared" si="3"/>
        <v/>
      </c>
      <c r="L31" s="712" t="str">
        <f t="shared" si="2"/>
        <v/>
      </c>
      <c r="N31" s="719"/>
      <c r="P31" s="714" t="str">
        <f t="shared" si="4"/>
        <v/>
      </c>
      <c r="Q31" s="715"/>
      <c r="R31" s="1" t="str">
        <f t="shared" si="4"/>
        <v/>
      </c>
      <c r="T31" s="716" t="str">
        <f t="shared" si="4"/>
        <v/>
      </c>
    </row>
    <row r="32" spans="1:20" ht="12.75" hidden="1" customHeight="1" x14ac:dyDescent="0.2">
      <c r="B32" s="713" t="str">
        <f>IF(Ist!B12="","-",MID(Ist!B12,4,30))</f>
        <v>-</v>
      </c>
      <c r="C32" s="707"/>
      <c r="D32" s="714" t="str">
        <f>IF('[1]E-Ist'!$G12="","",'[1]E-Ist'!$G12)</f>
        <v/>
      </c>
      <c r="E32" s="715"/>
      <c r="H32" s="716" t="str">
        <f>IF(Ist!$G12="","",Ist!$G12)</f>
        <v/>
      </c>
      <c r="I32" s="717" t="str">
        <f t="shared" si="5"/>
        <v/>
      </c>
      <c r="J32" s="718" t="str">
        <f t="shared" si="6"/>
        <v>-</v>
      </c>
      <c r="K32" s="711" t="str">
        <f t="shared" si="3"/>
        <v/>
      </c>
      <c r="L32" s="712" t="str">
        <f t="shared" si="2"/>
        <v/>
      </c>
      <c r="N32" s="719"/>
      <c r="P32" s="714" t="str">
        <f t="shared" si="4"/>
        <v/>
      </c>
      <c r="Q32" s="715"/>
      <c r="R32" s="1" t="str">
        <f t="shared" si="4"/>
        <v/>
      </c>
      <c r="T32" s="716" t="str">
        <f t="shared" si="4"/>
        <v/>
      </c>
    </row>
    <row r="33" spans="1:20" ht="12.75" hidden="1" customHeight="1" x14ac:dyDescent="0.2">
      <c r="B33" s="713" t="str">
        <f>IF(Ist!B13="","-",MID(Ist!B13,4,30))</f>
        <v>Feldfutter - Heu</v>
      </c>
      <c r="C33" s="707"/>
      <c r="D33" s="714">
        <f>IF('[1]E-Ist'!$G13="","",'[1]E-Ist'!$G13)</f>
        <v>23296.800000000003</v>
      </c>
      <c r="E33" s="715"/>
      <c r="H33" s="716">
        <f>IF(Ist!$G13="","",Ist!$G13)</f>
        <v>23296.800000000003</v>
      </c>
      <c r="I33" s="717" t="str">
        <f t="shared" si="5"/>
        <v>Richtig!</v>
      </c>
      <c r="J33" s="718" t="str">
        <f t="shared" si="6"/>
        <v>-</v>
      </c>
      <c r="K33" s="711" t="str">
        <f t="shared" si="3"/>
        <v/>
      </c>
      <c r="L33" s="712" t="str">
        <f t="shared" si="2"/>
        <v/>
      </c>
      <c r="N33" s="719"/>
      <c r="P33" s="714">
        <f t="shared" si="4"/>
        <v>23296.799999999999</v>
      </c>
      <c r="Q33" s="715"/>
      <c r="R33" s="1" t="str">
        <f t="shared" si="4"/>
        <v/>
      </c>
      <c r="T33" s="716">
        <f t="shared" si="4"/>
        <v>23296.799999999999</v>
      </c>
    </row>
    <row r="34" spans="1:20" ht="12.75" customHeight="1" x14ac:dyDescent="0.2">
      <c r="B34" s="713" t="str">
        <f>IF(Ist!B14="","-",MID(Ist!B14,4,30))</f>
        <v>Dauergrünland 3-schnittig</v>
      </c>
      <c r="C34" s="707"/>
      <c r="D34" s="714">
        <f>IF('[1]E-Ist'!$G14="","",'[1]E-Ist'!$G14)</f>
        <v>189143.5</v>
      </c>
      <c r="E34" s="715"/>
      <c r="H34" s="716">
        <f>IF(Ist!$G14="","",Ist!$G14)</f>
        <v>189143.5</v>
      </c>
      <c r="I34" s="717" t="str">
        <f t="shared" si="5"/>
        <v>Richtig!</v>
      </c>
      <c r="J34" s="718">
        <f t="shared" si="6"/>
        <v>1</v>
      </c>
      <c r="K34" s="711" t="str">
        <f t="shared" si="3"/>
        <v>│</v>
      </c>
      <c r="L34" s="712">
        <f t="shared" si="2"/>
        <v>1</v>
      </c>
      <c r="N34" s="719" t="str">
        <f>IF($L$1="","",$L$1)</f>
        <v>x</v>
      </c>
      <c r="P34" s="714">
        <f t="shared" si="4"/>
        <v>189143.5</v>
      </c>
      <c r="Q34" s="715"/>
      <c r="R34" s="1" t="str">
        <f t="shared" si="4"/>
        <v/>
      </c>
      <c r="T34" s="716">
        <f t="shared" si="4"/>
        <v>189143.5</v>
      </c>
    </row>
    <row r="35" spans="1:20" ht="12.75" customHeight="1" x14ac:dyDescent="0.2">
      <c r="B35" s="713" t="str">
        <f>IF(Ist!B15="","-",MID(Ist!B15,4,30))</f>
        <v>Dauergrünland 1-schnittig</v>
      </c>
      <c r="C35" s="707"/>
      <c r="D35" s="714">
        <f>IF('[1]E-Ist'!$G15="","",'[1]E-Ist'!$G15)</f>
        <v>32558</v>
      </c>
      <c r="E35" s="715"/>
      <c r="H35" s="716">
        <f>IF(Ist!$G15="","",Ist!$G15)</f>
        <v>32558</v>
      </c>
      <c r="I35" s="717" t="str">
        <f t="shared" si="5"/>
        <v>Richtig!</v>
      </c>
      <c r="J35" s="718">
        <f t="shared" si="6"/>
        <v>1</v>
      </c>
      <c r="K35" s="711" t="str">
        <f t="shared" si="3"/>
        <v>│</v>
      </c>
      <c r="L35" s="712">
        <f t="shared" si="2"/>
        <v>1</v>
      </c>
      <c r="N35" s="719" t="str">
        <f>IF($L$1="","",$L$1)</f>
        <v>x</v>
      </c>
      <c r="P35" s="714">
        <f t="shared" si="4"/>
        <v>32558</v>
      </c>
      <c r="Q35" s="715"/>
      <c r="R35" s="1" t="str">
        <f t="shared" si="4"/>
        <v/>
      </c>
      <c r="T35" s="716">
        <f t="shared" si="4"/>
        <v>32558</v>
      </c>
    </row>
    <row r="36" spans="1:20" ht="12.75" hidden="1" customHeight="1" x14ac:dyDescent="0.2">
      <c r="B36" s="713" t="str">
        <f>IF(Ist!B16="","-",MID(Ist!B16,4,30))</f>
        <v>-</v>
      </c>
      <c r="C36" s="707"/>
      <c r="D36" s="714" t="str">
        <f>IF('[1]E-Ist'!$G16="","",'[1]E-Ist'!$G16)</f>
        <v/>
      </c>
      <c r="E36" s="715"/>
      <c r="H36" s="716" t="str">
        <f>IF(Ist!$G16="","",Ist!$G16)</f>
        <v/>
      </c>
      <c r="I36" s="717" t="str">
        <f t="shared" si="5"/>
        <v/>
      </c>
      <c r="J36" s="718" t="str">
        <f t="shared" si="6"/>
        <v>-</v>
      </c>
      <c r="K36" s="711" t="str">
        <f t="shared" si="3"/>
        <v/>
      </c>
      <c r="L36" s="712" t="str">
        <f t="shared" si="2"/>
        <v/>
      </c>
      <c r="N36" s="719"/>
      <c r="P36" s="714" t="str">
        <f t="shared" si="4"/>
        <v/>
      </c>
      <c r="Q36" s="715"/>
      <c r="R36" s="1" t="str">
        <f t="shared" si="4"/>
        <v/>
      </c>
      <c r="T36" s="716" t="str">
        <f t="shared" si="4"/>
        <v/>
      </c>
    </row>
    <row r="37" spans="1:20" ht="12.75" hidden="1" customHeight="1" x14ac:dyDescent="0.2">
      <c r="B37" s="713" t="str">
        <f>IF(Ist!B17="","-",MID(Ist!B17,4,30))</f>
        <v>-</v>
      </c>
      <c r="C37" s="707"/>
      <c r="D37" s="714" t="str">
        <f>IF('[1]E-Ist'!$G17="","",'[1]E-Ist'!$G17)</f>
        <v/>
      </c>
      <c r="E37" s="715"/>
      <c r="H37" s="716" t="str">
        <f>IF(Ist!$G17="","",Ist!$G17)</f>
        <v/>
      </c>
      <c r="I37" s="717" t="str">
        <f t="shared" si="5"/>
        <v/>
      </c>
      <c r="J37" s="718" t="str">
        <f t="shared" si="6"/>
        <v>-</v>
      </c>
      <c r="K37" s="711" t="str">
        <f t="shared" si="3"/>
        <v/>
      </c>
      <c r="L37" s="712" t="str">
        <f t="shared" si="2"/>
        <v/>
      </c>
      <c r="N37" s="719"/>
      <c r="P37" s="714" t="str">
        <f t="shared" si="4"/>
        <v/>
      </c>
      <c r="Q37" s="715"/>
      <c r="R37" s="1" t="str">
        <f t="shared" si="4"/>
        <v/>
      </c>
      <c r="T37" s="716" t="str">
        <f t="shared" si="4"/>
        <v/>
      </c>
    </row>
    <row r="38" spans="1:20" ht="12.75" hidden="1" customHeight="1" x14ac:dyDescent="0.2">
      <c r="B38" s="713" t="str">
        <f>IF(Ist!B18="","-",MID(Ist!B18,4,30))</f>
        <v>-</v>
      </c>
      <c r="C38" s="707"/>
      <c r="D38" s="714" t="str">
        <f>IF('[1]E-Ist'!$G18="","",'[1]E-Ist'!$G18)</f>
        <v/>
      </c>
      <c r="E38" s="715"/>
      <c r="H38" s="716" t="str">
        <f>IF(Ist!$G18="","",Ist!$G18)</f>
        <v/>
      </c>
      <c r="I38" s="717" t="str">
        <f t="shared" si="5"/>
        <v/>
      </c>
      <c r="J38" s="718" t="str">
        <f t="shared" si="6"/>
        <v>-</v>
      </c>
      <c r="K38" s="711" t="str">
        <f t="shared" si="3"/>
        <v/>
      </c>
      <c r="L38" s="712" t="str">
        <f t="shared" si="2"/>
        <v/>
      </c>
      <c r="N38" s="719"/>
      <c r="P38" s="714" t="str">
        <f t="shared" si="4"/>
        <v/>
      </c>
      <c r="Q38" s="715"/>
      <c r="R38" s="1" t="str">
        <f t="shared" si="4"/>
        <v/>
      </c>
      <c r="T38" s="716" t="str">
        <f t="shared" si="4"/>
        <v/>
      </c>
    </row>
    <row r="39" spans="1:20" ht="12.75" hidden="1" customHeight="1" x14ac:dyDescent="0.2">
      <c r="B39" s="713" t="str">
        <f>IF(Ist!B19="","-",MID(Ist!B19,4,30))</f>
        <v>nstige Arbeiten</v>
      </c>
      <c r="C39" s="707"/>
      <c r="D39" s="714" t="str">
        <f>IF('[1]E-Ist'!$G19="","",'[1]E-Ist'!$G19)</f>
        <v/>
      </c>
      <c r="E39" s="715"/>
      <c r="H39" s="716" t="str">
        <f>IF(Ist!$G19="","",Ist!$G19)</f>
        <v/>
      </c>
      <c r="I39" s="717" t="str">
        <f t="shared" si="5"/>
        <v/>
      </c>
      <c r="J39" s="718" t="str">
        <f t="shared" si="6"/>
        <v>-</v>
      </c>
      <c r="K39" s="711" t="str">
        <f t="shared" si="3"/>
        <v/>
      </c>
      <c r="L39" s="712" t="str">
        <f t="shared" si="2"/>
        <v/>
      </c>
      <c r="N39" s="719"/>
      <c r="P39" s="714" t="str">
        <f t="shared" si="4"/>
        <v/>
      </c>
      <c r="Q39" s="715"/>
      <c r="R39" s="1" t="str">
        <f t="shared" si="4"/>
        <v/>
      </c>
      <c r="T39" s="716" t="str">
        <f t="shared" si="4"/>
        <v/>
      </c>
    </row>
    <row r="40" spans="1:20" ht="12.75" customHeight="1" x14ac:dyDescent="0.2">
      <c r="B40" s="713" t="str">
        <f>IF(Ist!F23="","-",Ist!F23)</f>
        <v xml:space="preserve"> +/- Ges.
Energie</v>
      </c>
      <c r="C40" s="707"/>
      <c r="D40" s="720">
        <f>IF('[1]E-Ist'!$G23="","",'[1]E-Ist'!$G23)</f>
        <v>61251.299999999988</v>
      </c>
      <c r="E40" s="715"/>
      <c r="F40" s="721">
        <f>SUM(H26:H39)</f>
        <v>61251.299999999988</v>
      </c>
      <c r="H40" s="722">
        <f>IF(Ist!$G23="","",Ist!$G23)</f>
        <v>61251.299999999988</v>
      </c>
      <c r="I40" s="717" t="str">
        <f>IF(B40="-","",IF(T40=P40,"Richtig!",IF(AND(P40&lt;&gt;T40,R40=T40),"Formel: OK",IF(T40="","Fehlt","Falsch"))))</f>
        <v>Richtig!</v>
      </c>
      <c r="J40" s="718">
        <f t="shared" si="6"/>
        <v>1</v>
      </c>
      <c r="K40" s="711" t="str">
        <f t="shared" si="3"/>
        <v>│</v>
      </c>
      <c r="L40" s="712">
        <f t="shared" si="2"/>
        <v>1</v>
      </c>
      <c r="N40" s="719" t="str">
        <f>IF($L$1="","",$L$1)</f>
        <v>x</v>
      </c>
      <c r="P40" s="720">
        <f t="shared" si="4"/>
        <v>61251.3</v>
      </c>
      <c r="Q40" s="715"/>
      <c r="R40" s="721">
        <f t="shared" si="4"/>
        <v>61251.3</v>
      </c>
      <c r="T40" s="722">
        <f t="shared" si="4"/>
        <v>61251.3</v>
      </c>
    </row>
    <row r="41" spans="1:20" ht="12.75" customHeight="1" x14ac:dyDescent="0.2">
      <c r="A41" s="707"/>
      <c r="B41" s="707"/>
      <c r="C41" s="707"/>
      <c r="D41" s="723"/>
      <c r="E41" s="715"/>
      <c r="F41" s="715"/>
      <c r="H41" s="724"/>
      <c r="I41" s="717"/>
      <c r="J41" s="717"/>
      <c r="K41" s="711" t="str">
        <f t="shared" si="3"/>
        <v/>
      </c>
      <c r="L41" s="712" t="str">
        <f t="shared" ref="L41:L70" si="7">IF(OR(B41="-",N41="",AND(P41="",T41="")),"",1)</f>
        <v/>
      </c>
      <c r="N41" s="725" t="str">
        <f>IF($L$1="","",$L$1)</f>
        <v>x</v>
      </c>
      <c r="P41" s="723" t="str">
        <f t="shared" si="4"/>
        <v/>
      </c>
      <c r="Q41" s="715"/>
      <c r="R41" s="715" t="str">
        <f t="shared" si="4"/>
        <v/>
      </c>
      <c r="T41" s="724" t="str">
        <f t="shared" si="4"/>
        <v/>
      </c>
    </row>
    <row r="42" spans="1:20" ht="12.75" customHeight="1" x14ac:dyDescent="0.2">
      <c r="A42" s="706" t="s">
        <v>370</v>
      </c>
      <c r="B42" s="706" t="s">
        <v>371</v>
      </c>
      <c r="C42" s="707"/>
      <c r="D42" s="708"/>
      <c r="H42" s="709"/>
      <c r="I42" s="710"/>
      <c r="J42" s="710"/>
      <c r="K42" s="711" t="str">
        <f t="shared" si="3"/>
        <v/>
      </c>
      <c r="L42" s="712" t="str">
        <f t="shared" si="7"/>
        <v/>
      </c>
      <c r="N42" s="695" t="str">
        <f>IF($L$1="","",$L$1)</f>
        <v>x</v>
      </c>
      <c r="P42" s="708" t="str">
        <f t="shared" si="4"/>
        <v/>
      </c>
      <c r="R42" s="1" t="str">
        <f t="shared" si="4"/>
        <v/>
      </c>
      <c r="T42" s="709" t="str">
        <f t="shared" si="4"/>
        <v/>
      </c>
    </row>
    <row r="43" spans="1:20" ht="12.75" hidden="1" customHeight="1" x14ac:dyDescent="0.2">
      <c r="A43" s="707"/>
      <c r="B43" s="2" t="str">
        <f>IF(Ist!B6="","-",MID(Ist!B6,4,30))</f>
        <v>Milchkuh</v>
      </c>
      <c r="C43" s="707"/>
      <c r="D43" s="714">
        <f>IF('[1]E-Ist'!$I6="","",'[1]E-Ist'!$I6)</f>
        <v>1900.1999999999998</v>
      </c>
      <c r="E43" s="715"/>
      <c r="F43" s="715"/>
      <c r="H43" s="716">
        <f>IF(Ist!$I6="","",Ist!$I6)</f>
        <v>1900.1999999999998</v>
      </c>
      <c r="I43" s="717" t="str">
        <f t="shared" ref="I43:I56" si="8">IF(AND(P43="",T43=""),"",IF(T43=P43,"Richtig!",IF(T43="","Fehlt","Falsch")))</f>
        <v>Richtig!</v>
      </c>
      <c r="J43" s="718" t="str">
        <f t="shared" ref="J43:J57" si="9">IF(OR(B43="-",N43="",AND(P43="",T43="")),"-",IF(I43="Richtig!",1,IF(I43="Formel: OK",0.5,IF(OR(I43="Falsch",I43="Fehlt"),0,""))))</f>
        <v>-</v>
      </c>
      <c r="K43" s="711" t="str">
        <f t="shared" si="3"/>
        <v/>
      </c>
      <c r="L43" s="712" t="str">
        <f t="shared" si="7"/>
        <v/>
      </c>
      <c r="N43" s="719"/>
      <c r="P43" s="714">
        <f t="shared" si="4"/>
        <v>1900.2</v>
      </c>
      <c r="Q43" s="715"/>
      <c r="R43" s="715" t="str">
        <f t="shared" si="4"/>
        <v/>
      </c>
      <c r="T43" s="716">
        <f t="shared" si="4"/>
        <v>1900.2</v>
      </c>
    </row>
    <row r="44" spans="1:20" ht="12.75" customHeight="1" x14ac:dyDescent="0.2">
      <c r="A44" s="707"/>
      <c r="B44" s="2" t="str">
        <f>IF(Ist!B7="","-",MID(Ist!B7,4,30))</f>
        <v>Kalbinnen</v>
      </c>
      <c r="C44" s="707"/>
      <c r="D44" s="714">
        <f>IF('[1]E-Ist'!$I7="","",'[1]E-Ist'!$I7)</f>
        <v>167.39999999999998</v>
      </c>
      <c r="E44" s="715"/>
      <c r="F44" s="715"/>
      <c r="H44" s="716">
        <f>IF(Ist!$I7="","",Ist!$I7)</f>
        <v>167.39999999999998</v>
      </c>
      <c r="I44" s="717" t="str">
        <f t="shared" si="8"/>
        <v>Richtig!</v>
      </c>
      <c r="J44" s="718">
        <f t="shared" si="9"/>
        <v>1</v>
      </c>
      <c r="K44" s="711" t="str">
        <f t="shared" si="3"/>
        <v>│</v>
      </c>
      <c r="L44" s="712">
        <f t="shared" si="7"/>
        <v>1</v>
      </c>
      <c r="N44" s="719" t="str">
        <f>IF($L$1="","",$L$1)</f>
        <v>x</v>
      </c>
      <c r="P44" s="714">
        <f t="shared" si="4"/>
        <v>167.4</v>
      </c>
      <c r="Q44" s="715"/>
      <c r="R44" s="715" t="str">
        <f t="shared" si="4"/>
        <v/>
      </c>
      <c r="T44" s="716">
        <f t="shared" si="4"/>
        <v>167.4</v>
      </c>
    </row>
    <row r="45" spans="1:20" ht="12.75" hidden="1" customHeight="1" x14ac:dyDescent="0.2">
      <c r="A45" s="707"/>
      <c r="B45" s="2" t="str">
        <f>IF(Ist!B8="","-",MID(Ist!B8,4,30))</f>
        <v>Kartoffel</v>
      </c>
      <c r="C45" s="707"/>
      <c r="D45" s="714">
        <f>IF('[1]E-Ist'!$I8="","",'[1]E-Ist'!$I8)</f>
        <v>79.099999999999994</v>
      </c>
      <c r="E45" s="715"/>
      <c r="F45" s="715"/>
      <c r="H45" s="716">
        <f>IF(Ist!$I8="","",Ist!$I8)</f>
        <v>79.099999999999994</v>
      </c>
      <c r="I45" s="717" t="str">
        <f t="shared" si="8"/>
        <v>Richtig!</v>
      </c>
      <c r="J45" s="718" t="str">
        <f t="shared" si="9"/>
        <v>-</v>
      </c>
      <c r="K45" s="711" t="str">
        <f t="shared" si="3"/>
        <v/>
      </c>
      <c r="L45" s="712" t="str">
        <f t="shared" si="7"/>
        <v/>
      </c>
      <c r="N45" s="719"/>
      <c r="P45" s="714">
        <f t="shared" si="4"/>
        <v>79.099999999999994</v>
      </c>
      <c r="Q45" s="715"/>
      <c r="R45" s="715" t="str">
        <f t="shared" si="4"/>
        <v/>
      </c>
      <c r="T45" s="716">
        <f t="shared" si="4"/>
        <v>79.099999999999994</v>
      </c>
    </row>
    <row r="46" spans="1:20" ht="12.75" hidden="1" customHeight="1" x14ac:dyDescent="0.2">
      <c r="A46" s="707"/>
      <c r="B46" s="2" t="str">
        <f>IF(Ist!B9="","-",MID(Ist!B9,4,30))</f>
        <v>-</v>
      </c>
      <c r="C46" s="707"/>
      <c r="D46" s="714" t="str">
        <f>IF('[1]E-Ist'!$I9="","",'[1]E-Ist'!$I9)</f>
        <v/>
      </c>
      <c r="E46" s="715"/>
      <c r="F46" s="715"/>
      <c r="H46" s="716" t="str">
        <f>IF(Ist!$I9="","",Ist!$I9)</f>
        <v/>
      </c>
      <c r="I46" s="717" t="str">
        <f t="shared" si="8"/>
        <v/>
      </c>
      <c r="J46" s="718" t="str">
        <f t="shared" si="9"/>
        <v>-</v>
      </c>
      <c r="K46" s="711" t="str">
        <f t="shared" si="3"/>
        <v/>
      </c>
      <c r="L46" s="712" t="str">
        <f t="shared" si="7"/>
        <v/>
      </c>
      <c r="N46" s="719"/>
      <c r="P46" s="714" t="str">
        <f t="shared" si="4"/>
        <v/>
      </c>
      <c r="Q46" s="715"/>
      <c r="R46" s="715" t="str">
        <f t="shared" si="4"/>
        <v/>
      </c>
      <c r="T46" s="716" t="str">
        <f t="shared" si="4"/>
        <v/>
      </c>
    </row>
    <row r="47" spans="1:20" ht="12.75" hidden="1" customHeight="1" x14ac:dyDescent="0.2">
      <c r="A47" s="707"/>
      <c r="B47" s="2" t="str">
        <f>IF(Ist!B10="","-",MID(Ist!B10,4,30))</f>
        <v>-</v>
      </c>
      <c r="C47" s="707"/>
      <c r="D47" s="714" t="str">
        <f>IF('[1]E-Ist'!$I10="","",'[1]E-Ist'!$I10)</f>
        <v/>
      </c>
      <c r="E47" s="715"/>
      <c r="F47" s="715"/>
      <c r="H47" s="716" t="str">
        <f>IF(Ist!$I10="","",Ist!$I10)</f>
        <v/>
      </c>
      <c r="I47" s="717" t="str">
        <f t="shared" si="8"/>
        <v/>
      </c>
      <c r="J47" s="718" t="str">
        <f t="shared" si="9"/>
        <v>-</v>
      </c>
      <c r="K47" s="711" t="str">
        <f t="shared" si="3"/>
        <v/>
      </c>
      <c r="L47" s="712" t="str">
        <f t="shared" si="7"/>
        <v/>
      </c>
      <c r="N47" s="719"/>
      <c r="P47" s="714" t="str">
        <f t="shared" si="4"/>
        <v/>
      </c>
      <c r="Q47" s="715"/>
      <c r="R47" s="715" t="str">
        <f t="shared" si="4"/>
        <v/>
      </c>
      <c r="T47" s="716" t="str">
        <f t="shared" si="4"/>
        <v/>
      </c>
    </row>
    <row r="48" spans="1:20" ht="12.75" hidden="1" customHeight="1" x14ac:dyDescent="0.2">
      <c r="A48" s="707"/>
      <c r="B48" s="2" t="str">
        <f>IF(Ist!B11="","-",MID(Ist!B11,4,30))</f>
        <v>-</v>
      </c>
      <c r="C48" s="707"/>
      <c r="D48" s="714" t="str">
        <f>IF('[1]E-Ist'!$I11="","",'[1]E-Ist'!$I11)</f>
        <v/>
      </c>
      <c r="E48" s="715"/>
      <c r="F48" s="715"/>
      <c r="H48" s="716" t="str">
        <f>IF(Ist!$I11="","",Ist!$I11)</f>
        <v/>
      </c>
      <c r="I48" s="717" t="str">
        <f t="shared" si="8"/>
        <v/>
      </c>
      <c r="J48" s="718" t="str">
        <f t="shared" si="9"/>
        <v>-</v>
      </c>
      <c r="K48" s="711" t="str">
        <f t="shared" si="3"/>
        <v/>
      </c>
      <c r="L48" s="712" t="str">
        <f t="shared" si="7"/>
        <v/>
      </c>
      <c r="N48" s="719"/>
      <c r="P48" s="714" t="str">
        <f t="shared" si="4"/>
        <v/>
      </c>
      <c r="Q48" s="715"/>
      <c r="R48" s="715" t="str">
        <f t="shared" si="4"/>
        <v/>
      </c>
      <c r="T48" s="716" t="str">
        <f t="shared" si="4"/>
        <v/>
      </c>
    </row>
    <row r="49" spans="1:20" ht="12.75" hidden="1" customHeight="1" x14ac:dyDescent="0.2">
      <c r="A49" s="707"/>
      <c r="B49" s="2" t="str">
        <f>IF(Ist!B12="","-",MID(Ist!B12,4,30))</f>
        <v>-</v>
      </c>
      <c r="C49" s="707"/>
      <c r="D49" s="714" t="str">
        <f>IF('[1]E-Ist'!$I12="","",'[1]E-Ist'!$I12)</f>
        <v/>
      </c>
      <c r="E49" s="715"/>
      <c r="F49" s="715"/>
      <c r="H49" s="716" t="str">
        <f>IF(Ist!$I12="","",Ist!$I12)</f>
        <v/>
      </c>
      <c r="I49" s="717" t="str">
        <f t="shared" si="8"/>
        <v/>
      </c>
      <c r="J49" s="718" t="str">
        <f t="shared" si="9"/>
        <v>-</v>
      </c>
      <c r="K49" s="711" t="str">
        <f t="shared" si="3"/>
        <v/>
      </c>
      <c r="L49" s="712" t="str">
        <f t="shared" si="7"/>
        <v/>
      </c>
      <c r="N49" s="719"/>
      <c r="P49" s="714" t="str">
        <f t="shared" si="4"/>
        <v/>
      </c>
      <c r="Q49" s="715"/>
      <c r="R49" s="715" t="str">
        <f t="shared" si="4"/>
        <v/>
      </c>
      <c r="T49" s="716" t="str">
        <f t="shared" si="4"/>
        <v/>
      </c>
    </row>
    <row r="50" spans="1:20" ht="12.75" hidden="1" customHeight="1" x14ac:dyDescent="0.2">
      <c r="A50" s="707"/>
      <c r="B50" s="2" t="str">
        <f>IF(Ist!B13="","-",MID(Ist!B13,4,30))</f>
        <v>Feldfutter - Heu</v>
      </c>
      <c r="C50" s="707"/>
      <c r="D50" s="714">
        <f>IF('[1]E-Ist'!$I13="","",'[1]E-Ist'!$I13)</f>
        <v>17.559999999999999</v>
      </c>
      <c r="E50" s="715"/>
      <c r="F50" s="715"/>
      <c r="H50" s="716">
        <f>IF(Ist!$I13="","",Ist!$I13)</f>
        <v>17.559999999999999</v>
      </c>
      <c r="I50" s="717" t="str">
        <f t="shared" si="8"/>
        <v>Richtig!</v>
      </c>
      <c r="J50" s="718" t="str">
        <f t="shared" si="9"/>
        <v>-</v>
      </c>
      <c r="K50" s="711" t="str">
        <f t="shared" si="3"/>
        <v/>
      </c>
      <c r="L50" s="712" t="str">
        <f t="shared" si="7"/>
        <v/>
      </c>
      <c r="N50" s="719"/>
      <c r="P50" s="714">
        <f t="shared" si="4"/>
        <v>17.559999999999999</v>
      </c>
      <c r="Q50" s="715"/>
      <c r="R50" s="715" t="str">
        <f t="shared" si="4"/>
        <v/>
      </c>
      <c r="T50" s="716">
        <f t="shared" si="4"/>
        <v>17.559999999999999</v>
      </c>
    </row>
    <row r="51" spans="1:20" ht="12.75" customHeight="1" x14ac:dyDescent="0.2">
      <c r="A51" s="707"/>
      <c r="B51" s="2" t="str">
        <f>IF(Ist!B14="","-",MID(Ist!B14,4,30))</f>
        <v>Dauergrünland 3-schnittig</v>
      </c>
      <c r="C51" s="707"/>
      <c r="D51" s="714">
        <f>IF('[1]E-Ist'!$I14="","",'[1]E-Ist'!$I14)</f>
        <v>319.2</v>
      </c>
      <c r="E51" s="715"/>
      <c r="F51" s="715"/>
      <c r="H51" s="716">
        <f>IF(Ist!$I14="","",Ist!$I14)</f>
        <v>319.2</v>
      </c>
      <c r="I51" s="717" t="str">
        <f t="shared" si="8"/>
        <v>Richtig!</v>
      </c>
      <c r="J51" s="718">
        <f t="shared" si="9"/>
        <v>1</v>
      </c>
      <c r="K51" s="711" t="str">
        <f t="shared" si="3"/>
        <v>│</v>
      </c>
      <c r="L51" s="712">
        <f t="shared" si="7"/>
        <v>1</v>
      </c>
      <c r="N51" s="719" t="str">
        <f>IF($L$1="","",$L$1)</f>
        <v>x</v>
      </c>
      <c r="P51" s="714">
        <f t="shared" si="4"/>
        <v>319.2</v>
      </c>
      <c r="Q51" s="715"/>
      <c r="R51" s="715" t="str">
        <f t="shared" si="4"/>
        <v/>
      </c>
      <c r="T51" s="716">
        <f t="shared" si="4"/>
        <v>319.2</v>
      </c>
    </row>
    <row r="52" spans="1:20" ht="12.75" customHeight="1" x14ac:dyDescent="0.2">
      <c r="A52" s="707"/>
      <c r="B52" s="2" t="str">
        <f>IF(Ist!B15="","-",MID(Ist!B15,4,30))</f>
        <v>Dauergrünland 1-schnittig</v>
      </c>
      <c r="C52" s="707"/>
      <c r="D52" s="714">
        <f>IF('[1]E-Ist'!$I15="","",'[1]E-Ist'!$I15)</f>
        <v>36.799999999999997</v>
      </c>
      <c r="E52" s="715"/>
      <c r="F52" s="715"/>
      <c r="H52" s="716">
        <f>IF(Ist!$I15="","",Ist!$I15)</f>
        <v>36.799999999999997</v>
      </c>
      <c r="I52" s="717" t="str">
        <f t="shared" si="8"/>
        <v>Richtig!</v>
      </c>
      <c r="J52" s="718">
        <f t="shared" si="9"/>
        <v>1</v>
      </c>
      <c r="K52" s="711" t="str">
        <f t="shared" si="3"/>
        <v>│</v>
      </c>
      <c r="L52" s="712">
        <f t="shared" si="7"/>
        <v>1</v>
      </c>
      <c r="N52" s="719" t="str">
        <f>IF($L$1="","",$L$1)</f>
        <v>x</v>
      </c>
      <c r="P52" s="714">
        <f t="shared" si="4"/>
        <v>36.799999999999997</v>
      </c>
      <c r="Q52" s="715"/>
      <c r="R52" s="715" t="str">
        <f t="shared" si="4"/>
        <v/>
      </c>
      <c r="T52" s="716">
        <f t="shared" si="4"/>
        <v>36.799999999999997</v>
      </c>
    </row>
    <row r="53" spans="1:20" ht="12.75" hidden="1" customHeight="1" x14ac:dyDescent="0.2">
      <c r="A53" s="707"/>
      <c r="B53" s="2" t="str">
        <f>IF(Ist!B16="","-",MID(Ist!B16,4,30))</f>
        <v>-</v>
      </c>
      <c r="C53" s="707"/>
      <c r="D53" s="714" t="str">
        <f>IF('[1]E-Ist'!$I16="","",'[1]E-Ist'!$I16)</f>
        <v/>
      </c>
      <c r="E53" s="715"/>
      <c r="F53" s="715"/>
      <c r="H53" s="716" t="str">
        <f>IF(Ist!$I16="","",Ist!$I16)</f>
        <v/>
      </c>
      <c r="I53" s="717" t="str">
        <f t="shared" si="8"/>
        <v/>
      </c>
      <c r="J53" s="718" t="str">
        <f t="shared" si="9"/>
        <v>-</v>
      </c>
      <c r="K53" s="711" t="str">
        <f t="shared" si="3"/>
        <v/>
      </c>
      <c r="L53" s="712" t="str">
        <f t="shared" si="7"/>
        <v/>
      </c>
      <c r="N53" s="719"/>
      <c r="P53" s="714" t="str">
        <f t="shared" si="4"/>
        <v/>
      </c>
      <c r="Q53" s="715"/>
      <c r="R53" s="715" t="str">
        <f t="shared" si="4"/>
        <v/>
      </c>
      <c r="T53" s="716" t="str">
        <f t="shared" si="4"/>
        <v/>
      </c>
    </row>
    <row r="54" spans="1:20" ht="12.75" hidden="1" customHeight="1" x14ac:dyDescent="0.2">
      <c r="A54" s="707"/>
      <c r="B54" s="2" t="str">
        <f>IF(Ist!B17="","-",MID(Ist!B17,4,30))</f>
        <v>-</v>
      </c>
      <c r="C54" s="707"/>
      <c r="D54" s="714" t="str">
        <f>IF('[1]E-Ist'!$I17="","",'[1]E-Ist'!$I17)</f>
        <v/>
      </c>
      <c r="E54" s="715"/>
      <c r="F54" s="715"/>
      <c r="H54" s="716" t="str">
        <f>IF(Ist!$I17="","",Ist!$I17)</f>
        <v/>
      </c>
      <c r="I54" s="717" t="str">
        <f t="shared" si="8"/>
        <v/>
      </c>
      <c r="J54" s="718" t="str">
        <f t="shared" si="9"/>
        <v>-</v>
      </c>
      <c r="K54" s="711" t="str">
        <f t="shared" si="3"/>
        <v/>
      </c>
      <c r="L54" s="712" t="str">
        <f t="shared" si="7"/>
        <v/>
      </c>
      <c r="N54" s="719"/>
      <c r="P54" s="714" t="str">
        <f t="shared" si="4"/>
        <v/>
      </c>
      <c r="Q54" s="715"/>
      <c r="R54" s="715" t="str">
        <f t="shared" si="4"/>
        <v/>
      </c>
      <c r="T54" s="716" t="str">
        <f t="shared" si="4"/>
        <v/>
      </c>
    </row>
    <row r="55" spans="1:20" ht="12.75" hidden="1" customHeight="1" x14ac:dyDescent="0.2">
      <c r="A55" s="707"/>
      <c r="B55" s="2" t="str">
        <f>IF(Ist!B18="","-",MID(Ist!B18,4,30))</f>
        <v>-</v>
      </c>
      <c r="C55" s="707"/>
      <c r="D55" s="714" t="str">
        <f>IF('[1]E-Ist'!$I18="","",'[1]E-Ist'!$I18)</f>
        <v/>
      </c>
      <c r="E55" s="715"/>
      <c r="F55" s="715"/>
      <c r="H55" s="716" t="str">
        <f>IF(Ist!$I18="","",Ist!$I18)</f>
        <v/>
      </c>
      <c r="I55" s="717" t="str">
        <f t="shared" si="8"/>
        <v/>
      </c>
      <c r="J55" s="718" t="str">
        <f t="shared" si="9"/>
        <v>-</v>
      </c>
      <c r="K55" s="711" t="str">
        <f t="shared" si="3"/>
        <v/>
      </c>
      <c r="L55" s="712" t="str">
        <f t="shared" si="7"/>
        <v/>
      </c>
      <c r="N55" s="719"/>
      <c r="P55" s="714" t="str">
        <f t="shared" si="4"/>
        <v/>
      </c>
      <c r="Q55" s="715"/>
      <c r="R55" s="715" t="str">
        <f t="shared" si="4"/>
        <v/>
      </c>
      <c r="T55" s="716" t="str">
        <f t="shared" si="4"/>
        <v/>
      </c>
    </row>
    <row r="56" spans="1:20" ht="12.75" hidden="1" customHeight="1" x14ac:dyDescent="0.2">
      <c r="A56" s="707"/>
      <c r="B56" s="2" t="str">
        <f>IF(Ist!B19="","-",MID(Ist!B19,4,30))</f>
        <v>nstige Arbeiten</v>
      </c>
      <c r="C56" s="707"/>
      <c r="D56" s="714">
        <f>IF('[1]E-Ist'!$I19="","",'[1]E-Ist'!$I19)</f>
        <v>433.5</v>
      </c>
      <c r="E56" s="715"/>
      <c r="F56" s="715"/>
      <c r="H56" s="716">
        <f>IF(Ist!$I19="","",Ist!$I19)</f>
        <v>433.5</v>
      </c>
      <c r="I56" s="717" t="str">
        <f t="shared" si="8"/>
        <v>Richtig!</v>
      </c>
      <c r="J56" s="718" t="str">
        <f t="shared" si="9"/>
        <v>-</v>
      </c>
      <c r="K56" s="711" t="str">
        <f t="shared" si="3"/>
        <v/>
      </c>
      <c r="L56" s="712" t="str">
        <f t="shared" si="7"/>
        <v/>
      </c>
      <c r="N56" s="719"/>
      <c r="P56" s="714">
        <f t="shared" si="4"/>
        <v>433.5</v>
      </c>
      <c r="Q56" s="715"/>
      <c r="R56" s="715" t="str">
        <f t="shared" si="4"/>
        <v/>
      </c>
      <c r="T56" s="716">
        <f t="shared" si="4"/>
        <v>433.5</v>
      </c>
    </row>
    <row r="57" spans="1:20" ht="12.75" customHeight="1" x14ac:dyDescent="0.2">
      <c r="A57" s="707"/>
      <c r="B57" s="2" t="s">
        <v>372</v>
      </c>
      <c r="C57" s="707"/>
      <c r="D57" s="720">
        <f>IF('[1]E-Ist'!$I23="","",'[1]E-Ist'!$I23)</f>
        <v>2953.7599999999998</v>
      </c>
      <c r="E57" s="715"/>
      <c r="F57" s="721">
        <f>SUM(H43:H56)</f>
        <v>2953.7599999999998</v>
      </c>
      <c r="H57" s="722">
        <f>IF(Ist!$I23="","",Ist!$I23)</f>
        <v>2953.7599999999998</v>
      </c>
      <c r="I57" s="717" t="str">
        <f>IF(B57="-","",IF(T57=P57,"Richtig!",IF(AND(P57&lt;&gt;T57,R57=T57),"Formel: OK",IF(T57="","Fehlt","Falsch"))))</f>
        <v>Richtig!</v>
      </c>
      <c r="J57" s="718">
        <f t="shared" si="9"/>
        <v>1</v>
      </c>
      <c r="K57" s="711" t="str">
        <f t="shared" si="3"/>
        <v>│</v>
      </c>
      <c r="L57" s="712">
        <f t="shared" si="7"/>
        <v>1</v>
      </c>
      <c r="N57" s="719" t="str">
        <f>IF($L$1="","",$L$1)</f>
        <v>x</v>
      </c>
      <c r="P57" s="720">
        <f t="shared" si="4"/>
        <v>2953.76</v>
      </c>
      <c r="Q57" s="715"/>
      <c r="R57" s="721">
        <f t="shared" si="4"/>
        <v>2953.76</v>
      </c>
      <c r="T57" s="722">
        <f t="shared" si="4"/>
        <v>2953.76</v>
      </c>
    </row>
    <row r="58" spans="1:20" ht="12.75" customHeight="1" x14ac:dyDescent="0.2">
      <c r="A58" s="707"/>
      <c r="B58" s="2"/>
      <c r="C58" s="707"/>
      <c r="D58" s="723"/>
      <c r="E58" s="715"/>
      <c r="F58" s="715"/>
      <c r="H58" s="724"/>
      <c r="I58" s="717"/>
      <c r="J58" s="717"/>
      <c r="K58" s="711" t="str">
        <f t="shared" si="3"/>
        <v/>
      </c>
      <c r="L58" s="712" t="str">
        <f t="shared" si="7"/>
        <v/>
      </c>
      <c r="N58" s="725" t="str">
        <f>IF($L$1="","",$L$1)</f>
        <v>x</v>
      </c>
      <c r="P58" s="723" t="str">
        <f t="shared" si="4"/>
        <v/>
      </c>
      <c r="Q58" s="715"/>
      <c r="R58" s="715" t="str">
        <f t="shared" si="4"/>
        <v/>
      </c>
      <c r="T58" s="724" t="str">
        <f t="shared" si="4"/>
        <v/>
      </c>
    </row>
    <row r="59" spans="1:20" ht="12.75" customHeight="1" x14ac:dyDescent="0.2">
      <c r="A59" s="706" t="s">
        <v>373</v>
      </c>
      <c r="B59" s="706" t="s">
        <v>374</v>
      </c>
      <c r="C59" s="707"/>
      <c r="D59" s="708"/>
      <c r="H59" s="709"/>
      <c r="I59" s="710"/>
      <c r="J59" s="710"/>
      <c r="K59" s="711" t="str">
        <f t="shared" si="3"/>
        <v/>
      </c>
      <c r="L59" s="712" t="str">
        <f t="shared" si="7"/>
        <v/>
      </c>
      <c r="N59" s="695" t="str">
        <f>IF($L$1="","",$L$1)</f>
        <v>x</v>
      </c>
      <c r="P59" s="708" t="str">
        <f t="shared" si="4"/>
        <v/>
      </c>
      <c r="R59" s="1" t="str">
        <f t="shared" si="4"/>
        <v/>
      </c>
      <c r="T59" s="709" t="str">
        <f t="shared" si="4"/>
        <v/>
      </c>
    </row>
    <row r="60" spans="1:20" ht="12.75" customHeight="1" x14ac:dyDescent="0.2">
      <c r="A60" s="706"/>
      <c r="B60" s="2" t="str">
        <f>IF(Ist!B26="","-",Ist!B26)</f>
        <v>Summe Sonstige Erträge</v>
      </c>
      <c r="C60" s="707"/>
      <c r="D60" s="714">
        <f>IF('[1]E-Ist'!$E26="","",'[1]E-Ist'!$E26)</f>
        <v>290</v>
      </c>
      <c r="E60" s="715"/>
      <c r="F60" s="715"/>
      <c r="H60" s="716">
        <f>IF(Ist!$E26="","",Ist!$E26)</f>
        <v>290</v>
      </c>
      <c r="I60" s="717" t="str">
        <f>IF(AND(P60="",T60=""),"",IF(T60=P60,"Richtig!",IF(T60="","Fehlt","Falsch")))</f>
        <v>Richtig!</v>
      </c>
      <c r="J60" s="718">
        <f t="shared" ref="J60:J65" si="10">IF(OR(B60="-",N60="",AND(P60="",T60="")),"-",IF(I60="Richtig!",1,IF(I60="Formel: OK",0.5,IF(OR(I60="Falsch",I60="Fehlt"),0,""))))</f>
        <v>1</v>
      </c>
      <c r="K60" s="711" t="str">
        <f t="shared" si="3"/>
        <v>│</v>
      </c>
      <c r="L60" s="712">
        <f t="shared" si="7"/>
        <v>1</v>
      </c>
      <c r="N60" s="719" t="str">
        <f t="shared" ref="N60:N75" si="11">IF($L$1="","",$L$1)</f>
        <v>x</v>
      </c>
      <c r="P60" s="714">
        <f t="shared" si="4"/>
        <v>290</v>
      </c>
      <c r="Q60" s="715"/>
      <c r="R60" s="715" t="str">
        <f t="shared" si="4"/>
        <v/>
      </c>
      <c r="T60" s="716">
        <f t="shared" si="4"/>
        <v>290</v>
      </c>
    </row>
    <row r="61" spans="1:20" ht="12.75" customHeight="1" x14ac:dyDescent="0.2">
      <c r="A61" s="707"/>
      <c r="B61" s="2" t="str">
        <f>IF(Ist!B35="","-",Ist!B35)</f>
        <v>SUMME FÖRDERUNGEN</v>
      </c>
      <c r="C61" s="707"/>
      <c r="D61" s="714">
        <f>IF('[1]E-Ist'!$E35="","",'[1]E-Ist'!$E35)</f>
        <v>5559</v>
      </c>
      <c r="E61" s="715"/>
      <c r="F61" s="715"/>
      <c r="H61" s="716">
        <f>IF(Ist!$E35="","",Ist!$E35)</f>
        <v>5559</v>
      </c>
      <c r="I61" s="717" t="str">
        <f>IF(AND(P61="",T61=""),"",IF(T61=P61,"Richtig!",IF(T61="","Fehlt","Falsch")))</f>
        <v>Richtig!</v>
      </c>
      <c r="J61" s="718">
        <f t="shared" si="10"/>
        <v>1</v>
      </c>
      <c r="K61" s="711" t="str">
        <f t="shared" si="3"/>
        <v>│</v>
      </c>
      <c r="L61" s="712">
        <f t="shared" si="7"/>
        <v>1</v>
      </c>
      <c r="N61" s="719" t="str">
        <f t="shared" si="11"/>
        <v>x</v>
      </c>
      <c r="P61" s="714">
        <f t="shared" si="4"/>
        <v>5559</v>
      </c>
      <c r="Q61" s="715"/>
      <c r="R61" s="715" t="str">
        <f t="shared" si="4"/>
        <v/>
      </c>
      <c r="T61" s="716">
        <f t="shared" si="4"/>
        <v>5559</v>
      </c>
    </row>
    <row r="62" spans="1:20" ht="12.75" customHeight="1" x14ac:dyDescent="0.2">
      <c r="A62" s="707"/>
      <c r="B62" s="2" t="str">
        <f>IF(Ist!B37="","-",Ist!B37)</f>
        <v>GDB einschl. Förd. und sonst. Erträge</v>
      </c>
      <c r="C62" s="707"/>
      <c r="D62" s="720">
        <f>IF('[1]E-Ist'!$E37="","",'[1]E-Ist'!$E37)</f>
        <v>13417.98</v>
      </c>
      <c r="E62" s="715"/>
      <c r="F62" s="721">
        <f>SUM(H23,H60,H61)</f>
        <v>13417.98</v>
      </c>
      <c r="H62" s="722">
        <f>IF(Ist!$E37="","",Ist!$E37)</f>
        <v>13417.98</v>
      </c>
      <c r="I62" s="717" t="str">
        <f>IF(B62="-","",IF(T62=P62,"Richtig!",IF(AND(P62&lt;&gt;T62,R62=T62),"Formel: OK",IF(T62="","Fehlt","Falsch"))))</f>
        <v>Richtig!</v>
      </c>
      <c r="J62" s="718">
        <f t="shared" si="10"/>
        <v>1</v>
      </c>
      <c r="K62" s="711" t="str">
        <f t="shared" si="3"/>
        <v>│</v>
      </c>
      <c r="L62" s="712">
        <f t="shared" si="7"/>
        <v>1</v>
      </c>
      <c r="N62" s="719" t="str">
        <f t="shared" si="11"/>
        <v>x</v>
      </c>
      <c r="P62" s="720">
        <f t="shared" si="4"/>
        <v>13417.98</v>
      </c>
      <c r="Q62" s="715"/>
      <c r="R62" s="721">
        <f t="shared" si="4"/>
        <v>13417.98</v>
      </c>
      <c r="T62" s="722">
        <f t="shared" si="4"/>
        <v>13417.98</v>
      </c>
    </row>
    <row r="63" spans="1:20" ht="12.75" customHeight="1" x14ac:dyDescent="0.2">
      <c r="A63" s="707"/>
      <c r="B63" s="2" t="str">
        <f>IF(Ist!B39="","-",Ist!B39)</f>
        <v>LANDWIRTSCHAFTLICHES EINKOMMEN - Gesamt</v>
      </c>
      <c r="C63" s="707"/>
      <c r="D63" s="720">
        <f>IF('[1]E-Ist'!$E39="","",'[1]E-Ist'!$E39)</f>
        <v>2862.7708084163896</v>
      </c>
      <c r="E63" s="715"/>
      <c r="F63" s="721">
        <f>SUM(F62,Ist!E38)</f>
        <v>2862.7708084163896</v>
      </c>
      <c r="H63" s="722">
        <f>IF(Ist!$E39="","",Ist!$E39)</f>
        <v>2862.7708084163896</v>
      </c>
      <c r="I63" s="717" t="str">
        <f>IF(B63="-","",IF(T63=P63,"Richtig!",IF(AND(P63&lt;&gt;T63,R63=T63),"Formel: OK",IF(T63="","Fehlt","Falsch"))))</f>
        <v>Richtig!</v>
      </c>
      <c r="J63" s="718">
        <f t="shared" si="10"/>
        <v>1</v>
      </c>
      <c r="K63" s="711" t="str">
        <f t="shared" si="3"/>
        <v>│</v>
      </c>
      <c r="L63" s="712">
        <f t="shared" si="7"/>
        <v>1</v>
      </c>
      <c r="N63" s="719" t="str">
        <f t="shared" si="11"/>
        <v>x</v>
      </c>
      <c r="P63" s="720">
        <f t="shared" si="4"/>
        <v>2862.77081</v>
      </c>
      <c r="Q63" s="715"/>
      <c r="R63" s="721">
        <f t="shared" si="4"/>
        <v>2862.77081</v>
      </c>
      <c r="T63" s="722">
        <f t="shared" si="4"/>
        <v>2862.77081</v>
      </c>
    </row>
    <row r="64" spans="1:20" ht="12.75" customHeight="1" x14ac:dyDescent="0.2">
      <c r="A64" s="707"/>
      <c r="B64" s="2" t="str">
        <f>IF(Ist!B40="","-",Ist!B40)</f>
        <v>LANDWIRTSCHAFTLICHES EINKOMMEN - EK/Akh</v>
      </c>
      <c r="C64" s="707"/>
      <c r="D64" s="720">
        <f>IF('[1]E-Ist'!$E40="","",'[1]E-Ist'!$E40)</f>
        <v>0.96919546896714348</v>
      </c>
      <c r="E64" s="715"/>
      <c r="F64" s="721">
        <f>IF(OR(H63="",H57=""),"-",H63/H57)</f>
        <v>0.96919546896714348</v>
      </c>
      <c r="H64" s="722">
        <f>IF(Ist!$E40="","",Ist!$E40)</f>
        <v>0.96919546896714348</v>
      </c>
      <c r="I64" s="717" t="str">
        <f>IF(B64="-","",IF(T64=P64,"Richtig!",IF(AND(P64&lt;&gt;T64,R64=T64),"Formel: OK",IF(T64="","Fehlt","Falsch"))))</f>
        <v>Richtig!</v>
      </c>
      <c r="J64" s="718">
        <f t="shared" si="10"/>
        <v>1</v>
      </c>
      <c r="K64" s="711" t="str">
        <f t="shared" si="3"/>
        <v>│</v>
      </c>
      <c r="L64" s="712">
        <f t="shared" si="7"/>
        <v>1</v>
      </c>
      <c r="N64" s="719" t="str">
        <f t="shared" si="11"/>
        <v>x</v>
      </c>
      <c r="P64" s="720">
        <f t="shared" si="4"/>
        <v>0.96919999999999995</v>
      </c>
      <c r="Q64" s="715"/>
      <c r="R64" s="721">
        <f t="shared" si="4"/>
        <v>0.96919999999999995</v>
      </c>
      <c r="T64" s="722">
        <f t="shared" si="4"/>
        <v>0.96919999999999995</v>
      </c>
    </row>
    <row r="65" spans="1:20" ht="12.75" customHeight="1" x14ac:dyDescent="0.2">
      <c r="A65" s="707"/>
      <c r="B65" s="2" t="str">
        <f>IF(Ist!B43="","-",Ist!B43)</f>
        <v>GESAMTEINKOMMEN</v>
      </c>
      <c r="C65" s="707"/>
      <c r="D65" s="720">
        <f>IF('[1]E-Ist'!$E43="","",'[1]E-Ist'!$E43)</f>
        <v>35622.77080841639</v>
      </c>
      <c r="E65" s="715"/>
      <c r="F65" s="721">
        <f>SUM(H63,Ist!E41:E42)</f>
        <v>35622.77080841639</v>
      </c>
      <c r="H65" s="722">
        <f>IF(Ist!$E43="","",Ist!$E43)</f>
        <v>35622.77080841639</v>
      </c>
      <c r="I65" s="717" t="str">
        <f>IF(B65="-","",IF(T65=P65,"Richtig!",IF(AND(P65&lt;&gt;T65,R65=T65),"Formel: OK",IF(T65="","Fehlt","Falsch"))))</f>
        <v>Richtig!</v>
      </c>
      <c r="J65" s="718">
        <f t="shared" si="10"/>
        <v>1</v>
      </c>
      <c r="K65" s="711" t="str">
        <f t="shared" si="3"/>
        <v>│</v>
      </c>
      <c r="L65" s="712">
        <f t="shared" si="7"/>
        <v>1</v>
      </c>
      <c r="N65" s="719" t="str">
        <f t="shared" si="11"/>
        <v>x</v>
      </c>
      <c r="P65" s="720">
        <f t="shared" si="4"/>
        <v>35622.770810000002</v>
      </c>
      <c r="Q65" s="715"/>
      <c r="R65" s="721">
        <f t="shared" si="4"/>
        <v>35622.770810000002</v>
      </c>
      <c r="T65" s="722">
        <f t="shared" si="4"/>
        <v>35622.770810000002</v>
      </c>
    </row>
    <row r="66" spans="1:20" ht="12.75" customHeight="1" x14ac:dyDescent="0.2">
      <c r="A66" s="707"/>
      <c r="B66" s="707"/>
      <c r="C66" s="707"/>
      <c r="D66" s="708"/>
      <c r="H66" s="709"/>
      <c r="I66" s="710"/>
      <c r="J66" s="710"/>
      <c r="K66" s="711" t="str">
        <f t="shared" si="3"/>
        <v/>
      </c>
      <c r="L66" s="712" t="str">
        <f t="shared" si="7"/>
        <v/>
      </c>
      <c r="N66" s="725" t="str">
        <f t="shared" si="11"/>
        <v>x</v>
      </c>
      <c r="P66" s="708" t="str">
        <f t="shared" si="4"/>
        <v/>
      </c>
      <c r="R66" s="1" t="str">
        <f t="shared" si="4"/>
        <v/>
      </c>
      <c r="T66" s="709" t="str">
        <f t="shared" si="4"/>
        <v/>
      </c>
    </row>
    <row r="67" spans="1:20" ht="12.75" customHeight="1" x14ac:dyDescent="0.2">
      <c r="A67" s="706" t="s">
        <v>375</v>
      </c>
      <c r="B67" s="706" t="s">
        <v>376</v>
      </c>
      <c r="C67" s="707"/>
      <c r="D67" s="708"/>
      <c r="H67" s="709"/>
      <c r="I67" s="710"/>
      <c r="J67" s="710"/>
      <c r="K67" s="711" t="str">
        <f t="shared" si="3"/>
        <v/>
      </c>
      <c r="L67" s="712" t="str">
        <f t="shared" si="7"/>
        <v/>
      </c>
      <c r="N67" s="695" t="str">
        <f t="shared" si="11"/>
        <v>x</v>
      </c>
      <c r="P67" s="708" t="str">
        <f t="shared" si="4"/>
        <v/>
      </c>
      <c r="R67" s="1" t="str">
        <f t="shared" si="4"/>
        <v/>
      </c>
      <c r="T67" s="709" t="str">
        <f t="shared" si="4"/>
        <v/>
      </c>
    </row>
    <row r="68" spans="1:20" ht="12.75" customHeight="1" x14ac:dyDescent="0.2">
      <c r="A68" s="707"/>
      <c r="B68" s="2" t="str">
        <f>IF(Ist!F32="","-",Ist!F32)</f>
        <v>Vorläufige Kapitaldienstgrenze</v>
      </c>
      <c r="C68" s="707"/>
      <c r="D68" s="720">
        <f>IF('[1]E-Ist'!$I32="","",'[1]E-Ist'!$I32)</f>
        <v>13986.77080841639</v>
      </c>
      <c r="E68" s="715"/>
      <c r="F68" s="721">
        <f>SUM(H65,Ist!I30:I31)</f>
        <v>13986.77080841639</v>
      </c>
      <c r="H68" s="722">
        <f>IF(Ist!$I32="","",Ist!$I32)</f>
        <v>13986.77080841639</v>
      </c>
      <c r="I68" s="717" t="str">
        <f>IF(B68="-","",IF(T68=P68,"Richtig!",IF(AND(P68&lt;&gt;T68,R68=T68),"Formel: OK",IF(T68="","Fehlt","Falsch"))))</f>
        <v>Richtig!</v>
      </c>
      <c r="J68" s="718">
        <f>IF(OR(B68="-",N68="",AND(P68="",T68="")),"-",IF(I68="Richtig!",1,IF(I68="Formel: OK",0.5,IF(OR(I68="Falsch",I68="Fehlt"),0,""))))</f>
        <v>1</v>
      </c>
      <c r="K68" s="711" t="str">
        <f t="shared" si="3"/>
        <v>│</v>
      </c>
      <c r="L68" s="712">
        <f t="shared" si="7"/>
        <v>1</v>
      </c>
      <c r="N68" s="719" t="str">
        <f t="shared" si="11"/>
        <v>x</v>
      </c>
      <c r="P68" s="720">
        <f t="shared" si="4"/>
        <v>13986.77081</v>
      </c>
      <c r="Q68" s="715"/>
      <c r="R68" s="721">
        <f t="shared" si="4"/>
        <v>13986.77081</v>
      </c>
      <c r="T68" s="722">
        <f t="shared" si="4"/>
        <v>13986.77081</v>
      </c>
    </row>
    <row r="69" spans="1:20" ht="12.75" customHeight="1" x14ac:dyDescent="0.2">
      <c r="A69" s="707"/>
      <c r="B69" s="2" t="str">
        <f>IF(Ist!F35="","-",Ist!F35)</f>
        <v>Kapitaldienstgrenze</v>
      </c>
      <c r="C69" s="707"/>
      <c r="D69" s="720">
        <f>IF('[1]E-Ist'!$I35="","",'[1]E-Ist'!$I35)</f>
        <v>17394.973604651164</v>
      </c>
      <c r="E69" s="715"/>
      <c r="F69" s="721">
        <f>SUM(H68,Ist!I33)</f>
        <v>17394.973604651164</v>
      </c>
      <c r="H69" s="722">
        <f>IF(Ist!$I35="","",Ist!$I35)</f>
        <v>17394.973604651164</v>
      </c>
      <c r="I69" s="717" t="str">
        <f>IF(B69="-","",IF(T69=P69,"Richtig!",IF(AND(P69&lt;&gt;T69,R69=T69),"Formel: OK",IF(T69="","Fehlt","Falsch"))))</f>
        <v>Richtig!</v>
      </c>
      <c r="J69" s="718">
        <f>IF(OR(B69="-",N69="",AND(P69="",T69="")),"-",IF(I69="Richtig!",1,IF(I69="Formel: OK",0.5,IF(OR(I69="Falsch",I69="Fehlt"),0,""))))</f>
        <v>1</v>
      </c>
      <c r="K69" s="711" t="str">
        <f t="shared" si="3"/>
        <v>│</v>
      </c>
      <c r="L69" s="712">
        <f t="shared" si="7"/>
        <v>1</v>
      </c>
      <c r="N69" s="719" t="str">
        <f t="shared" si="11"/>
        <v>x</v>
      </c>
      <c r="P69" s="720">
        <f t="shared" si="4"/>
        <v>17394.973600000001</v>
      </c>
      <c r="Q69" s="715"/>
      <c r="R69" s="721">
        <f t="shared" si="4"/>
        <v>17394.973600000001</v>
      </c>
      <c r="T69" s="722">
        <f t="shared" si="4"/>
        <v>17394.973600000001</v>
      </c>
    </row>
    <row r="70" spans="1:20" ht="12.75" customHeight="1" x14ac:dyDescent="0.2">
      <c r="A70" s="707"/>
      <c r="B70" s="707"/>
      <c r="C70" s="707"/>
      <c r="D70" s="708"/>
      <c r="H70" s="709"/>
      <c r="I70" s="710"/>
      <c r="J70" s="710"/>
      <c r="K70" s="711" t="str">
        <f t="shared" si="3"/>
        <v/>
      </c>
      <c r="L70" s="712" t="str">
        <f t="shared" si="7"/>
        <v/>
      </c>
      <c r="N70" s="725" t="str">
        <f t="shared" si="11"/>
        <v>x</v>
      </c>
      <c r="P70" s="708" t="str">
        <f t="shared" si="4"/>
        <v/>
      </c>
      <c r="R70" s="1" t="str">
        <f t="shared" si="4"/>
        <v/>
      </c>
      <c r="T70" s="709" t="str">
        <f t="shared" si="4"/>
        <v/>
      </c>
    </row>
    <row r="71" spans="1:20" ht="22.5" x14ac:dyDescent="0.2">
      <c r="A71" s="698" t="str">
        <f>PlanI!B1</f>
        <v>Berechnung geplanten Investition</v>
      </c>
      <c r="B71" s="699"/>
      <c r="C71" s="700"/>
      <c r="D71" s="701" t="s">
        <v>0</v>
      </c>
      <c r="E71" s="701"/>
      <c r="F71" s="702" t="s">
        <v>363</v>
      </c>
      <c r="G71" s="700"/>
      <c r="H71" s="702" t="s">
        <v>364</v>
      </c>
      <c r="I71" s="703" t="str">
        <f>"Fehler"</f>
        <v>Fehler</v>
      </c>
      <c r="J71" s="704" t="s">
        <v>365</v>
      </c>
      <c r="K71" s="704"/>
      <c r="L71" s="704"/>
      <c r="N71" s="705" t="str">
        <f t="shared" si="11"/>
        <v>x</v>
      </c>
      <c r="P71" s="701" t="str">
        <f t="shared" si="4"/>
        <v>Ergebnis</v>
      </c>
      <c r="Q71" s="701"/>
      <c r="R71" s="702" t="str">
        <f t="shared" si="4"/>
        <v>Formel-
prüfung</v>
      </c>
      <c r="S71" s="700"/>
      <c r="T71" s="702" t="str">
        <f t="shared" si="4"/>
        <v>Deine Be-rechnung</v>
      </c>
    </row>
    <row r="72" spans="1:20" ht="12.75" customHeight="1" x14ac:dyDescent="0.2">
      <c r="A72" s="706" t="s">
        <v>366</v>
      </c>
      <c r="B72" s="726" t="str">
        <f>PlanI!E4</f>
        <v>Jährl. Afa</v>
      </c>
      <c r="C72" s="707"/>
      <c r="D72" s="708"/>
      <c r="H72" s="709"/>
      <c r="I72" s="710"/>
      <c r="J72" s="710"/>
      <c r="K72" s="711" t="str">
        <f t="shared" si="3"/>
        <v/>
      </c>
      <c r="L72" s="712" t="str">
        <f t="shared" ref="L72:L103" si="12">IF(OR(B72="-",N72="",AND(P72="",T72="")),"",1)</f>
        <v/>
      </c>
      <c r="N72" s="695" t="str">
        <f t="shared" si="11"/>
        <v>x</v>
      </c>
      <c r="P72" s="708" t="str">
        <f t="shared" si="4"/>
        <v/>
      </c>
      <c r="R72" s="1" t="str">
        <f t="shared" si="4"/>
        <v/>
      </c>
      <c r="T72" s="709" t="str">
        <f t="shared" si="4"/>
        <v/>
      </c>
    </row>
    <row r="73" spans="1:20" ht="12.75" customHeight="1" x14ac:dyDescent="0.2">
      <c r="B73" s="713" t="str">
        <f>IF(PlanI!$B5="","-",PlanI!$B5)</f>
        <v>Neubau Wirtschaftsgebäude</v>
      </c>
      <c r="C73" s="727" t="s">
        <v>377</v>
      </c>
      <c r="D73" s="714">
        <f>IF('[1]E-Plan I'!$E5="","",'[1]E-Plan I'!$E5)</f>
        <v>5250</v>
      </c>
      <c r="E73" s="715"/>
      <c r="H73" s="716">
        <f>IF(PlanI!$E5="","",PlanI!$E5)</f>
        <v>5250</v>
      </c>
      <c r="I73" s="717" t="str">
        <f>IF(AND(P73="",T73=""),"",IF(P73=T73,"Richtig!",IF(T73="","Fehlt","Falsch")))</f>
        <v>Richtig!</v>
      </c>
      <c r="J73" s="718">
        <f t="shared" ref="J73:J80" si="13">IF(OR(B73="-",N73="",AND(P73="",T73="")),"-",IF(I73="Richtig!",1,IF(I73="Formel: OK",0.5,IF(OR(I73="Falsch",I73="Fehlt"),0,""))))</f>
        <v>1</v>
      </c>
      <c r="K73" s="711" t="str">
        <f t="shared" si="3"/>
        <v>│</v>
      </c>
      <c r="L73" s="712">
        <f t="shared" si="12"/>
        <v>1</v>
      </c>
      <c r="N73" s="719" t="str">
        <f t="shared" si="11"/>
        <v>x</v>
      </c>
      <c r="P73" s="714">
        <f t="shared" si="4"/>
        <v>5250</v>
      </c>
      <c r="Q73" s="715"/>
      <c r="R73" s="1" t="str">
        <f t="shared" si="4"/>
        <v/>
      </c>
      <c r="T73" s="716">
        <f t="shared" si="4"/>
        <v>5250</v>
      </c>
    </row>
    <row r="74" spans="1:20" ht="12.75" x14ac:dyDescent="0.2">
      <c r="B74" s="713" t="str">
        <f>IF(PlanI!$B6="","-",PlanI!$B6)</f>
        <v>Ausstattung</v>
      </c>
      <c r="C74" s="727" t="s">
        <v>377</v>
      </c>
      <c r="D74" s="714">
        <f>IF('[1]E-Plan I'!$E6="","",'[1]E-Plan I'!$E6)</f>
        <v>875</v>
      </c>
      <c r="E74" s="715"/>
      <c r="H74" s="716">
        <f>IF(PlanI!$E6="","",PlanI!$E6)</f>
        <v>875</v>
      </c>
      <c r="I74" s="717" t="str">
        <f>IF(AND(P74="",T74=""),"",IF(P74=T74,"Richtig!",IF(T74="","Fehlt","Falsch")))</f>
        <v>Richtig!</v>
      </c>
      <c r="J74" s="718">
        <f t="shared" si="13"/>
        <v>1</v>
      </c>
      <c r="K74" s="711" t="str">
        <f t="shared" ref="K74:K137" si="14">IF(L74="","","│")</f>
        <v>│</v>
      </c>
      <c r="L74" s="712">
        <f t="shared" si="12"/>
        <v>1</v>
      </c>
      <c r="N74" s="719" t="str">
        <f t="shared" si="11"/>
        <v>x</v>
      </c>
      <c r="P74" s="714">
        <f t="shared" si="4"/>
        <v>875</v>
      </c>
      <c r="Q74" s="715"/>
      <c r="R74" s="1" t="str">
        <f t="shared" si="4"/>
        <v/>
      </c>
      <c r="T74" s="716">
        <f t="shared" si="4"/>
        <v>875</v>
      </c>
    </row>
    <row r="75" spans="1:20" ht="12.75" x14ac:dyDescent="0.2">
      <c r="B75" s="713" t="str">
        <f>IF(PlanI!$B7="","-",PlanI!$B7)</f>
        <v>Tierzukauf</v>
      </c>
      <c r="C75" s="727" t="s">
        <v>377</v>
      </c>
      <c r="D75" s="714">
        <f>IF('[1]E-Plan I'!$E7="","",'[1]E-Plan I'!$E7)</f>
        <v>3332</v>
      </c>
      <c r="E75" s="715"/>
      <c r="H75" s="716">
        <f>IF(PlanI!$E7="","",PlanI!$E7)</f>
        <v>3332</v>
      </c>
      <c r="I75" s="717" t="str">
        <f>IF(AND(P75="",T75=""),"",IF(P75=T75,"Richtig!",IF(T75="","Fehlt","Falsch")))</f>
        <v>Richtig!</v>
      </c>
      <c r="J75" s="718">
        <f t="shared" si="13"/>
        <v>1</v>
      </c>
      <c r="K75" s="711" t="str">
        <f t="shared" si="14"/>
        <v>│</v>
      </c>
      <c r="L75" s="712">
        <f t="shared" si="12"/>
        <v>1</v>
      </c>
      <c r="N75" s="719" t="str">
        <f t="shared" si="11"/>
        <v>x</v>
      </c>
      <c r="P75" s="714">
        <f t="shared" ref="P75:T138" si="15">IF(ISTEXT(D75),D75,IF(D75="","",ROUND(D75,$R$1)))</f>
        <v>3332</v>
      </c>
      <c r="Q75" s="715"/>
      <c r="R75" s="1" t="str">
        <f t="shared" si="15"/>
        <v/>
      </c>
      <c r="T75" s="716">
        <f t="shared" si="15"/>
        <v>3332</v>
      </c>
    </row>
    <row r="76" spans="1:20" ht="12.75" hidden="1" customHeight="1" x14ac:dyDescent="0.2">
      <c r="B76" s="713" t="str">
        <f>IF(PlanI!$B8="","-",PlanI!$B8)</f>
        <v>-</v>
      </c>
      <c r="C76" s="727" t="s">
        <v>377</v>
      </c>
      <c r="D76" s="714" t="str">
        <f>IF('[1]E-Plan I'!$E8="","",'[1]E-Plan I'!$E8)</f>
        <v/>
      </c>
      <c r="E76" s="715"/>
      <c r="H76" s="716" t="str">
        <f>IF(PlanI!$E8="","",PlanI!$E8)</f>
        <v/>
      </c>
      <c r="I76" s="717" t="str">
        <f>IF(AND(P76="",T76=""),"",IF(P76=T76,"Richtig!",IF(T76="","Fehlt","Falsch")))</f>
        <v/>
      </c>
      <c r="J76" s="718" t="str">
        <f t="shared" si="13"/>
        <v>-</v>
      </c>
      <c r="K76" s="711" t="str">
        <f t="shared" si="14"/>
        <v/>
      </c>
      <c r="L76" s="712" t="str">
        <f t="shared" si="12"/>
        <v/>
      </c>
      <c r="N76" s="719"/>
      <c r="P76" s="714" t="str">
        <f t="shared" si="15"/>
        <v/>
      </c>
      <c r="Q76" s="715"/>
      <c r="R76" s="1" t="str">
        <f t="shared" si="15"/>
        <v/>
      </c>
      <c r="T76" s="716" t="str">
        <f t="shared" si="15"/>
        <v/>
      </c>
    </row>
    <row r="77" spans="1:20" ht="12.75" hidden="1" customHeight="1" x14ac:dyDescent="0.2">
      <c r="B77" s="713" t="str">
        <f>IF(PlanI!$B9="","-",PlanI!$B9)</f>
        <v>-</v>
      </c>
      <c r="C77" s="727" t="s">
        <v>377</v>
      </c>
      <c r="D77" s="714" t="str">
        <f>IF('[1]E-Plan I'!$E9="","",'[1]E-Plan I'!$E9)</f>
        <v/>
      </c>
      <c r="E77" s="715"/>
      <c r="H77" s="716" t="str">
        <f>IF(PlanI!$E9="","",PlanI!$E9)</f>
        <v/>
      </c>
      <c r="I77" s="717" t="str">
        <f>IF(AND(P77="",T77=""),"",IF(P77=T77,"Richtig!",IF(T77="","Fehlt","Falsch")))</f>
        <v/>
      </c>
      <c r="J77" s="718" t="str">
        <f t="shared" si="13"/>
        <v>-</v>
      </c>
      <c r="K77" s="711" t="str">
        <f t="shared" si="14"/>
        <v/>
      </c>
      <c r="L77" s="712" t="str">
        <f t="shared" si="12"/>
        <v/>
      </c>
      <c r="N77" s="719"/>
      <c r="P77" s="714" t="str">
        <f t="shared" si="15"/>
        <v/>
      </c>
      <c r="Q77" s="715"/>
      <c r="R77" s="1" t="str">
        <f t="shared" si="15"/>
        <v/>
      </c>
      <c r="T77" s="716" t="str">
        <f t="shared" si="15"/>
        <v/>
      </c>
    </row>
    <row r="78" spans="1:20" ht="12.75" customHeight="1" x14ac:dyDescent="0.2">
      <c r="B78" s="713" t="str">
        <f>IF(PlanI!D12="","-",PlanI!D12)</f>
        <v>∑ Afa</v>
      </c>
      <c r="C78" s="727" t="s">
        <v>377</v>
      </c>
      <c r="D78" s="720">
        <f>IF('[1]E-Plan I'!$E12="","",'[1]E-Plan I'!$E12)</f>
        <v>9457</v>
      </c>
      <c r="E78" s="715"/>
      <c r="F78" s="721">
        <f>SUM(H73:H77)</f>
        <v>9457</v>
      </c>
      <c r="H78" s="722">
        <f>IF(PlanI!$E12="","",PlanI!$E12)</f>
        <v>9457</v>
      </c>
      <c r="I78" s="717" t="str">
        <f>IF(B78="-","",IF(P78=T78,"Richtig!",IF(AND(P78&lt;&gt;T78,R78=T78),"Formel: OK",IF(T78="","Fehlt","Falsch"))))</f>
        <v>Richtig!</v>
      </c>
      <c r="J78" s="718">
        <f t="shared" si="13"/>
        <v>1</v>
      </c>
      <c r="K78" s="711" t="str">
        <f t="shared" si="14"/>
        <v>│</v>
      </c>
      <c r="L78" s="712">
        <f t="shared" si="12"/>
        <v>1</v>
      </c>
      <c r="N78" s="719" t="str">
        <f t="shared" ref="N78:N83" si="16">IF($L$1="","",$L$1)</f>
        <v>x</v>
      </c>
      <c r="P78" s="720">
        <f t="shared" si="15"/>
        <v>9457</v>
      </c>
      <c r="Q78" s="715"/>
      <c r="R78" s="721">
        <f t="shared" si="15"/>
        <v>9457</v>
      </c>
      <c r="T78" s="722">
        <f t="shared" si="15"/>
        <v>9457</v>
      </c>
    </row>
    <row r="79" spans="1:20" ht="12.75" x14ac:dyDescent="0.2">
      <c r="B79" s="713" t="str">
        <f>IF(PlanI!B12="","-",PlanI!B12)</f>
        <v>Investitionssumme</v>
      </c>
      <c r="C79" s="727" t="s">
        <v>377</v>
      </c>
      <c r="D79" s="714">
        <f>IF('[1]E-Plan I'!$C12="","",'[1]E-Plan I'!$C12)</f>
        <v>193242</v>
      </c>
      <c r="E79" s="715"/>
      <c r="H79" s="716">
        <f>IF(PlanI!$C12="","",PlanI!$C12)</f>
        <v>193242</v>
      </c>
      <c r="I79" s="717" t="str">
        <f>IF(AND(P79="",T79=""),"",IF(P79=T79,"Richtig!",IF(T79="","Fehlt","Falsch")))</f>
        <v>Richtig!</v>
      </c>
      <c r="J79" s="718">
        <f t="shared" si="13"/>
        <v>1</v>
      </c>
      <c r="K79" s="711" t="str">
        <f t="shared" si="14"/>
        <v>│</v>
      </c>
      <c r="L79" s="712">
        <f t="shared" si="12"/>
        <v>1</v>
      </c>
      <c r="N79" s="719" t="str">
        <f t="shared" si="16"/>
        <v>x</v>
      </c>
      <c r="P79" s="714">
        <f t="shared" si="15"/>
        <v>193242</v>
      </c>
      <c r="Q79" s="715"/>
      <c r="R79" s="1" t="str">
        <f t="shared" si="15"/>
        <v/>
      </c>
      <c r="T79" s="716">
        <f t="shared" si="15"/>
        <v>193242</v>
      </c>
    </row>
    <row r="80" spans="1:20" ht="12.75" x14ac:dyDescent="0.2">
      <c r="B80" s="713" t="str">
        <f>IF(PlanI!F12="","-",PlanI!F12)</f>
        <v>Finanzbedarf</v>
      </c>
      <c r="C80" s="727" t="s">
        <v>377</v>
      </c>
      <c r="D80" s="714">
        <f>IF('[1]E-Plan I'!$G12="","",'[1]E-Plan I'!$G12)</f>
        <v>193242</v>
      </c>
      <c r="E80" s="715"/>
      <c r="H80" s="716">
        <f>IF(PlanI!$G12="","",PlanI!$G12)</f>
        <v>193242</v>
      </c>
      <c r="I80" s="717" t="str">
        <f>IF(AND(P80="",T80=""),"",IF(P80=T80,"Richtig!",IF(T80="","Fehlt","Falsch")))</f>
        <v>Richtig!</v>
      </c>
      <c r="J80" s="718">
        <f t="shared" si="13"/>
        <v>1</v>
      </c>
      <c r="K80" s="711" t="str">
        <f t="shared" si="14"/>
        <v>│</v>
      </c>
      <c r="L80" s="712">
        <f t="shared" si="12"/>
        <v>1</v>
      </c>
      <c r="N80" s="719" t="str">
        <f t="shared" si="16"/>
        <v>x</v>
      </c>
      <c r="P80" s="714">
        <f t="shared" si="15"/>
        <v>193242</v>
      </c>
      <c r="Q80" s="715"/>
      <c r="R80" s="1" t="str">
        <f t="shared" si="15"/>
        <v/>
      </c>
      <c r="T80" s="716">
        <f t="shared" si="15"/>
        <v>193242</v>
      </c>
    </row>
    <row r="81" spans="1:20" ht="12.75" customHeight="1" x14ac:dyDescent="0.2">
      <c r="A81" s="707"/>
      <c r="C81" s="727"/>
      <c r="D81" s="723"/>
      <c r="E81" s="715"/>
      <c r="F81" s="715"/>
      <c r="H81" s="724"/>
      <c r="I81" s="717"/>
      <c r="J81" s="717"/>
      <c r="K81" s="711" t="str">
        <f t="shared" si="14"/>
        <v/>
      </c>
      <c r="L81" s="712" t="str">
        <f t="shared" si="12"/>
        <v/>
      </c>
      <c r="N81" s="725" t="str">
        <f t="shared" si="16"/>
        <v>x</v>
      </c>
      <c r="P81" s="723" t="str">
        <f t="shared" si="15"/>
        <v/>
      </c>
      <c r="Q81" s="715"/>
      <c r="R81" s="715" t="str">
        <f t="shared" si="15"/>
        <v/>
      </c>
      <c r="T81" s="724" t="str">
        <f t="shared" si="15"/>
        <v/>
      </c>
    </row>
    <row r="82" spans="1:20" ht="12.75" customHeight="1" x14ac:dyDescent="0.2">
      <c r="A82" s="706" t="s">
        <v>368</v>
      </c>
      <c r="B82" s="726" t="str">
        <f>PlanI!D18</f>
        <v>Deckungsbeitrag (+) bzw. Variable Kosten (-)</v>
      </c>
      <c r="C82" s="727"/>
      <c r="D82" s="708"/>
      <c r="H82" s="709"/>
      <c r="I82" s="710"/>
      <c r="J82" s="710"/>
      <c r="K82" s="711" t="str">
        <f t="shared" si="14"/>
        <v/>
      </c>
      <c r="L82" s="712" t="str">
        <f t="shared" si="12"/>
        <v/>
      </c>
      <c r="N82" s="695" t="str">
        <f t="shared" si="16"/>
        <v>x</v>
      </c>
      <c r="P82" s="708" t="str">
        <f t="shared" si="15"/>
        <v/>
      </c>
      <c r="R82" s="1" t="str">
        <f t="shared" si="15"/>
        <v/>
      </c>
      <c r="T82" s="709" t="str">
        <f t="shared" si="15"/>
        <v/>
      </c>
    </row>
    <row r="83" spans="1:20" ht="12.75" customHeight="1" x14ac:dyDescent="0.2">
      <c r="B83" s="713" t="str">
        <f>IF(PlanI!B21="","-",PlanI!B21)</f>
        <v>DB Mutterkuh</v>
      </c>
      <c r="C83" s="727" t="s">
        <v>377</v>
      </c>
      <c r="D83" s="720">
        <f>IF('[1]E-Plan I'!$E21="","",'[1]E-Plan I'!$E21)</f>
        <v>20165.400000000001</v>
      </c>
      <c r="E83" s="715"/>
      <c r="F83" s="721">
        <f>IF(OR(PlanI!C21="",PlanI!D21=""),"-",PlanI!C21*PlanI!D21)</f>
        <v>20165.400000000001</v>
      </c>
      <c r="H83" s="722">
        <f>IF(PlanI!$E21="","",PlanI!$E21)</f>
        <v>20165.400000000001</v>
      </c>
      <c r="I83" s="717" t="str">
        <f t="shared" ref="I83:I97" si="17">IF(B83="-","",IF(P83=T83,"Richtig!",IF(AND(P83&lt;&gt;T83,R83=T83),"Formel: OK",IF(T83="","Fehlt","Falsch"))))</f>
        <v>Richtig!</v>
      </c>
      <c r="J83" s="718">
        <f t="shared" ref="J83:J97" si="18">IF(OR(B83="-",N83="",AND(P83="",T83="")),"-",IF(I83="Richtig!",1,IF(I83="Formel: OK",0.5,IF(OR(I83="Falsch",I83="Fehlt"),0,""))))</f>
        <v>1</v>
      </c>
      <c r="K83" s="711" t="str">
        <f t="shared" si="14"/>
        <v>│</v>
      </c>
      <c r="L83" s="712">
        <f t="shared" si="12"/>
        <v>1</v>
      </c>
      <c r="N83" s="719" t="str">
        <f t="shared" si="16"/>
        <v>x</v>
      </c>
      <c r="P83" s="720">
        <f t="shared" si="15"/>
        <v>20165.400000000001</v>
      </c>
      <c r="Q83" s="715"/>
      <c r="R83" s="721">
        <f t="shared" si="15"/>
        <v>20165.400000000001</v>
      </c>
      <c r="T83" s="722">
        <f t="shared" si="15"/>
        <v>20165.400000000001</v>
      </c>
    </row>
    <row r="84" spans="1:20" ht="12.75" customHeight="1" x14ac:dyDescent="0.2">
      <c r="B84" s="713" t="str">
        <f>IF(PlanI!B22="","-",PlanI!B22)</f>
        <v>DB Kartoffel</v>
      </c>
      <c r="C84" s="727" t="s">
        <v>377</v>
      </c>
      <c r="D84" s="720">
        <f>IF('[1]E-Plan I'!$E22="","",'[1]E-Plan I'!$E22)</f>
        <v>4268.7</v>
      </c>
      <c r="E84" s="715"/>
      <c r="F84" s="721">
        <f>IF(OR(PlanI!C22="",PlanI!D22=""),"-",PlanI!C22*PlanI!D22)</f>
        <v>4268.7</v>
      </c>
      <c r="H84" s="722">
        <f>IF(PlanI!$E22="","",PlanI!$E22)</f>
        <v>4268.7</v>
      </c>
      <c r="I84" s="717" t="str">
        <f t="shared" si="17"/>
        <v>Richtig!</v>
      </c>
      <c r="J84" s="718">
        <f t="shared" si="18"/>
        <v>1</v>
      </c>
      <c r="K84" s="711" t="str">
        <f t="shared" si="14"/>
        <v>│</v>
      </c>
      <c r="L84" s="712">
        <f t="shared" si="12"/>
        <v>1</v>
      </c>
      <c r="N84" s="719" t="str">
        <f>IF($L$1="","",$L$1)</f>
        <v>x</v>
      </c>
      <c r="P84" s="720">
        <f t="shared" si="15"/>
        <v>4268.7</v>
      </c>
      <c r="Q84" s="715"/>
      <c r="R84" s="721">
        <f t="shared" si="15"/>
        <v>4268.7</v>
      </c>
      <c r="T84" s="722">
        <f t="shared" si="15"/>
        <v>4268.7</v>
      </c>
    </row>
    <row r="85" spans="1:20" ht="12.75" hidden="1" customHeight="1" x14ac:dyDescent="0.2">
      <c r="B85" s="713" t="str">
        <f>IF(PlanI!B23="","-",PlanI!B23)</f>
        <v>-</v>
      </c>
      <c r="C85" s="727" t="s">
        <v>377</v>
      </c>
      <c r="D85" s="720" t="str">
        <f>IF('[1]E-Plan I'!$E23="","",'[1]E-Plan I'!$E23)</f>
        <v/>
      </c>
      <c r="E85" s="715"/>
      <c r="F85" s="721" t="str">
        <f>IF(OR(PlanI!C23="",PlanI!D23=""),"-",PlanI!C23*PlanI!D23)</f>
        <v>-</v>
      </c>
      <c r="H85" s="722" t="str">
        <f>IF(PlanI!$E23="","",PlanI!$E23)</f>
        <v/>
      </c>
      <c r="I85" s="717" t="str">
        <f t="shared" si="17"/>
        <v/>
      </c>
      <c r="J85" s="718" t="str">
        <f t="shared" si="18"/>
        <v>-</v>
      </c>
      <c r="K85" s="711" t="str">
        <f t="shared" si="14"/>
        <v/>
      </c>
      <c r="L85" s="712" t="str">
        <f t="shared" si="12"/>
        <v/>
      </c>
      <c r="N85" s="719"/>
      <c r="P85" s="720" t="str">
        <f t="shared" si="15"/>
        <v/>
      </c>
      <c r="Q85" s="715"/>
      <c r="R85" s="721" t="str">
        <f t="shared" si="15"/>
        <v>-</v>
      </c>
      <c r="T85" s="722" t="str">
        <f t="shared" si="15"/>
        <v/>
      </c>
    </row>
    <row r="86" spans="1:20" ht="12.75" hidden="1" customHeight="1" x14ac:dyDescent="0.2">
      <c r="B86" s="713" t="str">
        <f>IF(PlanI!B24="","-",PlanI!B24)</f>
        <v>-</v>
      </c>
      <c r="C86" s="727" t="s">
        <v>377</v>
      </c>
      <c r="D86" s="720" t="str">
        <f>IF('[1]E-Plan I'!$E24="","",'[1]E-Plan I'!$E24)</f>
        <v/>
      </c>
      <c r="E86" s="715"/>
      <c r="F86" s="721" t="str">
        <f>IF(OR(PlanI!C24="",PlanI!D24=""),"-",PlanI!C24*PlanI!D24)</f>
        <v>-</v>
      </c>
      <c r="H86" s="722" t="str">
        <f>IF(PlanI!$E24="","",PlanI!$E24)</f>
        <v/>
      </c>
      <c r="I86" s="717" t="str">
        <f t="shared" si="17"/>
        <v/>
      </c>
      <c r="J86" s="718" t="str">
        <f t="shared" si="18"/>
        <v>-</v>
      </c>
      <c r="K86" s="711" t="str">
        <f t="shared" si="14"/>
        <v/>
      </c>
      <c r="L86" s="712" t="str">
        <f t="shared" si="12"/>
        <v/>
      </c>
      <c r="N86" s="719"/>
      <c r="P86" s="720" t="str">
        <f t="shared" si="15"/>
        <v/>
      </c>
      <c r="Q86" s="715"/>
      <c r="R86" s="721" t="str">
        <f t="shared" si="15"/>
        <v>-</v>
      </c>
      <c r="T86" s="722" t="str">
        <f t="shared" si="15"/>
        <v/>
      </c>
    </row>
    <row r="87" spans="1:20" ht="12.75" hidden="1" customHeight="1" x14ac:dyDescent="0.2">
      <c r="B87" s="713" t="str">
        <f>IF(PlanI!B25="","-",PlanI!B25)</f>
        <v>-</v>
      </c>
      <c r="C87" s="727" t="s">
        <v>377</v>
      </c>
      <c r="D87" s="720" t="str">
        <f>IF('[1]E-Plan I'!$E25="","",'[1]E-Plan I'!$E25)</f>
        <v/>
      </c>
      <c r="E87" s="715"/>
      <c r="F87" s="721" t="str">
        <f>IF(OR(PlanI!C25="",PlanI!D25=""),"-",PlanI!C25*PlanI!D25)</f>
        <v>-</v>
      </c>
      <c r="H87" s="722" t="str">
        <f>IF(PlanI!$E25="","",PlanI!$E25)</f>
        <v/>
      </c>
      <c r="I87" s="717" t="str">
        <f t="shared" si="17"/>
        <v/>
      </c>
      <c r="J87" s="718" t="str">
        <f t="shared" si="18"/>
        <v>-</v>
      </c>
      <c r="K87" s="711" t="str">
        <f t="shared" si="14"/>
        <v/>
      </c>
      <c r="L87" s="712" t="str">
        <f t="shared" si="12"/>
        <v/>
      </c>
      <c r="N87" s="719"/>
      <c r="P87" s="720" t="str">
        <f t="shared" si="15"/>
        <v/>
      </c>
      <c r="Q87" s="715"/>
      <c r="R87" s="721" t="str">
        <f t="shared" si="15"/>
        <v>-</v>
      </c>
      <c r="T87" s="722" t="str">
        <f t="shared" si="15"/>
        <v/>
      </c>
    </row>
    <row r="88" spans="1:20" ht="12.75" hidden="1" customHeight="1" x14ac:dyDescent="0.2">
      <c r="B88" s="713" t="str">
        <f>IF(PlanI!B26="","-",PlanI!B26)</f>
        <v>-</v>
      </c>
      <c r="C88" s="727" t="s">
        <v>377</v>
      </c>
      <c r="D88" s="720" t="str">
        <f>IF('[1]E-Plan I'!$E26="","",'[1]E-Plan I'!$E26)</f>
        <v/>
      </c>
      <c r="E88" s="715"/>
      <c r="F88" s="721" t="str">
        <f>IF(OR(PlanI!C26="",PlanI!D26=""),"-",PlanI!C26*PlanI!D26)</f>
        <v>-</v>
      </c>
      <c r="H88" s="722" t="str">
        <f>IF(PlanI!$E26="","",PlanI!$E26)</f>
        <v/>
      </c>
      <c r="I88" s="717" t="str">
        <f t="shared" si="17"/>
        <v/>
      </c>
      <c r="J88" s="718" t="str">
        <f t="shared" si="18"/>
        <v>-</v>
      </c>
      <c r="K88" s="711" t="str">
        <f t="shared" si="14"/>
        <v/>
      </c>
      <c r="L88" s="712" t="str">
        <f t="shared" si="12"/>
        <v/>
      </c>
      <c r="N88" s="719"/>
      <c r="P88" s="720" t="str">
        <f t="shared" si="15"/>
        <v/>
      </c>
      <c r="Q88" s="715"/>
      <c r="R88" s="721" t="str">
        <f t="shared" si="15"/>
        <v>-</v>
      </c>
      <c r="T88" s="722" t="str">
        <f t="shared" si="15"/>
        <v/>
      </c>
    </row>
    <row r="89" spans="1:20" ht="12.75" hidden="1" customHeight="1" x14ac:dyDescent="0.2">
      <c r="B89" s="713" t="str">
        <f>IF(PlanI!B27="","-",PlanI!B27)</f>
        <v>-</v>
      </c>
      <c r="C89" s="727" t="s">
        <v>377</v>
      </c>
      <c r="D89" s="720" t="str">
        <f>IF('[1]E-Plan I'!$E27="","",'[1]E-Plan I'!$E27)</f>
        <v/>
      </c>
      <c r="E89" s="715"/>
      <c r="F89" s="721" t="str">
        <f>IF(OR(PlanI!C27="",PlanI!D27=""),"-",PlanI!C27*PlanI!D27)</f>
        <v>-</v>
      </c>
      <c r="H89" s="722" t="str">
        <f>IF(PlanI!$E27="","",PlanI!$E27)</f>
        <v/>
      </c>
      <c r="I89" s="717" t="str">
        <f t="shared" si="17"/>
        <v/>
      </c>
      <c r="J89" s="718" t="str">
        <f t="shared" si="18"/>
        <v>-</v>
      </c>
      <c r="K89" s="711" t="str">
        <f t="shared" si="14"/>
        <v/>
      </c>
      <c r="L89" s="712" t="str">
        <f t="shared" si="12"/>
        <v/>
      </c>
      <c r="N89" s="719"/>
      <c r="P89" s="720" t="str">
        <f t="shared" si="15"/>
        <v/>
      </c>
      <c r="Q89" s="715"/>
      <c r="R89" s="721" t="str">
        <f t="shared" si="15"/>
        <v>-</v>
      </c>
      <c r="T89" s="722" t="str">
        <f t="shared" si="15"/>
        <v/>
      </c>
    </row>
    <row r="90" spans="1:20" ht="12.75" hidden="1" customHeight="1" x14ac:dyDescent="0.2">
      <c r="B90" s="713" t="str">
        <f>IF(PlanI!B28="","-",PlanI!B28)</f>
        <v>VK Feldfutter - Heu</v>
      </c>
      <c r="C90" s="727" t="s">
        <v>377</v>
      </c>
      <c r="D90" s="720">
        <f>IF('[1]E-Plan I'!$E28="","",'[1]E-Plan I'!$E28)</f>
        <v>-931.05600000000004</v>
      </c>
      <c r="E90" s="715"/>
      <c r="F90" s="721">
        <f>IF(OR(PlanI!C28="",PlanI!D28=""),"-",PlanI!C28*-PlanI!D28)</f>
        <v>-931.05600000000004</v>
      </c>
      <c r="H90" s="722">
        <f>IF(PlanI!$E28="","",PlanI!$E28)</f>
        <v>-931.05600000000004</v>
      </c>
      <c r="I90" s="717" t="str">
        <f t="shared" si="17"/>
        <v>Richtig!</v>
      </c>
      <c r="J90" s="718" t="str">
        <f t="shared" si="18"/>
        <v>-</v>
      </c>
      <c r="K90" s="711" t="str">
        <f t="shared" si="14"/>
        <v/>
      </c>
      <c r="L90" s="712" t="str">
        <f t="shared" si="12"/>
        <v/>
      </c>
      <c r="N90" s="719"/>
      <c r="P90" s="720">
        <f t="shared" si="15"/>
        <v>-931.05600000000004</v>
      </c>
      <c r="Q90" s="715"/>
      <c r="R90" s="721">
        <f t="shared" si="15"/>
        <v>-931.05600000000004</v>
      </c>
      <c r="T90" s="722">
        <f t="shared" si="15"/>
        <v>-931.05600000000004</v>
      </c>
    </row>
    <row r="91" spans="1:20" ht="12.75" customHeight="1" x14ac:dyDescent="0.2">
      <c r="B91" s="713" t="str">
        <f>IF(PlanI!B29="","-",PlanI!B29)</f>
        <v>VK Dauergrünland 3-schnittig</v>
      </c>
      <c r="C91" s="727" t="s">
        <v>377</v>
      </c>
      <c r="D91" s="720">
        <f>IF('[1]E-Plan I'!$E29="","",'[1]E-Plan I'!$E29)</f>
        <v>-6392.4</v>
      </c>
      <c r="E91" s="715"/>
      <c r="F91" s="721">
        <f>IF(OR(PlanI!C29="",PlanI!D29=""),"-",PlanI!C29*-PlanI!D29)</f>
        <v>-6392.4</v>
      </c>
      <c r="H91" s="722">
        <f>IF(PlanI!$E29="","",PlanI!$E29)</f>
        <v>-6392.4</v>
      </c>
      <c r="I91" s="717" t="str">
        <f t="shared" si="17"/>
        <v>Richtig!</v>
      </c>
      <c r="J91" s="718">
        <f t="shared" si="18"/>
        <v>1</v>
      </c>
      <c r="K91" s="711" t="str">
        <f t="shared" si="14"/>
        <v>│</v>
      </c>
      <c r="L91" s="712">
        <f t="shared" si="12"/>
        <v>1</v>
      </c>
      <c r="N91" s="719" t="str">
        <f>IF($L$1="","",$L$1)</f>
        <v>x</v>
      </c>
      <c r="P91" s="720">
        <f t="shared" si="15"/>
        <v>-6392.4</v>
      </c>
      <c r="Q91" s="715"/>
      <c r="R91" s="721">
        <f t="shared" si="15"/>
        <v>-6392.4</v>
      </c>
      <c r="T91" s="722">
        <f t="shared" si="15"/>
        <v>-6392.4</v>
      </c>
    </row>
    <row r="92" spans="1:20" ht="12.75" hidden="1" customHeight="1" x14ac:dyDescent="0.2">
      <c r="B92" s="713" t="str">
        <f>IF(PlanI!B30="","-",PlanI!B30)</f>
        <v>VK Dauergrünland 1-schnittig</v>
      </c>
      <c r="C92" s="727" t="s">
        <v>377</v>
      </c>
      <c r="D92" s="720">
        <f>IF('[1]E-Plan I'!$E30="","",'[1]E-Plan I'!$E30)</f>
        <v>-348.07499999999999</v>
      </c>
      <c r="E92" s="715"/>
      <c r="F92" s="721">
        <f>IF(OR(PlanI!C30="",PlanI!D30=""),"-",PlanI!C30*-PlanI!D30)</f>
        <v>-348.07499999999999</v>
      </c>
      <c r="H92" s="722">
        <f>IF(PlanI!$E30="","",PlanI!$E30)</f>
        <v>-348.07499999999999</v>
      </c>
      <c r="I92" s="717" t="str">
        <f t="shared" si="17"/>
        <v>Richtig!</v>
      </c>
      <c r="J92" s="718" t="str">
        <f t="shared" si="18"/>
        <v>-</v>
      </c>
      <c r="K92" s="711" t="str">
        <f t="shared" si="14"/>
        <v/>
      </c>
      <c r="L92" s="712" t="str">
        <f t="shared" si="12"/>
        <v/>
      </c>
      <c r="N92" s="719"/>
      <c r="P92" s="720">
        <f t="shared" si="15"/>
        <v>-348.07499999999999</v>
      </c>
      <c r="Q92" s="715"/>
      <c r="R92" s="721">
        <f t="shared" si="15"/>
        <v>-348.07499999999999</v>
      </c>
      <c r="T92" s="722">
        <f t="shared" si="15"/>
        <v>-348.07499999999999</v>
      </c>
    </row>
    <row r="93" spans="1:20" ht="12.75" hidden="1" customHeight="1" x14ac:dyDescent="0.2">
      <c r="B93" s="713" t="str">
        <f>IF(PlanI!B31="","-",PlanI!B31)</f>
        <v>-</v>
      </c>
      <c r="C93" s="727" t="s">
        <v>377</v>
      </c>
      <c r="D93" s="720" t="str">
        <f>IF('[1]E-Plan I'!$E31="","",'[1]E-Plan I'!$E31)</f>
        <v/>
      </c>
      <c r="E93" s="715"/>
      <c r="F93" s="721" t="str">
        <f>IF(OR(PlanI!C31="",PlanI!D31=""),"-",PlanI!C31*-PlanI!D31)</f>
        <v>-</v>
      </c>
      <c r="H93" s="722" t="str">
        <f>IF(PlanI!$E31="","",PlanI!$E31)</f>
        <v/>
      </c>
      <c r="I93" s="717" t="str">
        <f t="shared" si="17"/>
        <v/>
      </c>
      <c r="J93" s="718" t="str">
        <f t="shared" si="18"/>
        <v>-</v>
      </c>
      <c r="K93" s="711" t="str">
        <f t="shared" si="14"/>
        <v/>
      </c>
      <c r="L93" s="712" t="str">
        <f t="shared" si="12"/>
        <v/>
      </c>
      <c r="N93" s="719"/>
      <c r="P93" s="720" t="str">
        <f t="shared" si="15"/>
        <v/>
      </c>
      <c r="Q93" s="715"/>
      <c r="R93" s="721" t="str">
        <f t="shared" si="15"/>
        <v>-</v>
      </c>
      <c r="T93" s="722" t="str">
        <f t="shared" si="15"/>
        <v/>
      </c>
    </row>
    <row r="94" spans="1:20" ht="12.75" hidden="1" customHeight="1" x14ac:dyDescent="0.2">
      <c r="B94" s="713" t="str">
        <f>IF(PlanI!B32="","-",PlanI!B32)</f>
        <v>-</v>
      </c>
      <c r="C94" s="727" t="s">
        <v>377</v>
      </c>
      <c r="D94" s="720" t="str">
        <f>IF('[1]E-Plan I'!$E32="","",'[1]E-Plan I'!$E32)</f>
        <v/>
      </c>
      <c r="E94" s="715"/>
      <c r="F94" s="721" t="str">
        <f>IF(OR(PlanI!C32="",PlanI!D32=""),"-",PlanI!C32*-PlanI!D32)</f>
        <v>-</v>
      </c>
      <c r="H94" s="722" t="str">
        <f>IF(PlanI!$E32="","",PlanI!$E32)</f>
        <v/>
      </c>
      <c r="I94" s="717" t="str">
        <f t="shared" si="17"/>
        <v/>
      </c>
      <c r="J94" s="718" t="str">
        <f t="shared" si="18"/>
        <v>-</v>
      </c>
      <c r="K94" s="711" t="str">
        <f t="shared" si="14"/>
        <v/>
      </c>
      <c r="L94" s="712" t="str">
        <f t="shared" si="12"/>
        <v/>
      </c>
      <c r="N94" s="719"/>
      <c r="P94" s="720" t="str">
        <f t="shared" si="15"/>
        <v/>
      </c>
      <c r="Q94" s="715"/>
      <c r="R94" s="721" t="str">
        <f t="shared" si="15"/>
        <v>-</v>
      </c>
      <c r="T94" s="722" t="str">
        <f t="shared" si="15"/>
        <v/>
      </c>
    </row>
    <row r="95" spans="1:20" ht="12.75" hidden="1" customHeight="1" x14ac:dyDescent="0.2">
      <c r="B95" s="713" t="str">
        <f>IF(PlanI!B33="","-",PlanI!B33)</f>
        <v>-</v>
      </c>
      <c r="C95" s="727" t="s">
        <v>377</v>
      </c>
      <c r="D95" s="720" t="str">
        <f>IF('[1]E-Plan I'!$E33="","",'[1]E-Plan I'!$E33)</f>
        <v/>
      </c>
      <c r="E95" s="715"/>
      <c r="F95" s="721" t="str">
        <f>IF(OR(PlanI!C33="",PlanI!D33=""),"-",PlanI!C33*-PlanI!D33)</f>
        <v>-</v>
      </c>
      <c r="H95" s="722" t="str">
        <f>IF(PlanI!$E33="","",PlanI!$E33)</f>
        <v/>
      </c>
      <c r="I95" s="717" t="str">
        <f t="shared" si="17"/>
        <v/>
      </c>
      <c r="J95" s="718" t="str">
        <f t="shared" si="18"/>
        <v>-</v>
      </c>
      <c r="K95" s="711" t="str">
        <f t="shared" si="14"/>
        <v/>
      </c>
      <c r="L95" s="712" t="str">
        <f t="shared" si="12"/>
        <v/>
      </c>
      <c r="N95" s="719"/>
      <c r="P95" s="720" t="str">
        <f t="shared" si="15"/>
        <v/>
      </c>
      <c r="Q95" s="715"/>
      <c r="R95" s="721" t="str">
        <f t="shared" si="15"/>
        <v>-</v>
      </c>
      <c r="T95" s="722" t="str">
        <f t="shared" si="15"/>
        <v/>
      </c>
    </row>
    <row r="96" spans="1:20" ht="12.75" hidden="1" customHeight="1" x14ac:dyDescent="0.2">
      <c r="B96" s="713" t="str">
        <f>IF(PlanI!B34="","-",PlanI!B34)</f>
        <v xml:space="preserve"> Sonstige Arbeiten</v>
      </c>
      <c r="C96" s="727" t="s">
        <v>377</v>
      </c>
      <c r="D96" s="720" t="str">
        <f>IF('[1]E-Plan I'!$E34="","",'[1]E-Plan I'!$E34)</f>
        <v/>
      </c>
      <c r="E96" s="715"/>
      <c r="F96" s="721" t="str">
        <f>IF(OR(PlanI!C34="",PlanI!D34=""),"-",PlanI!C34*-PlanI!D34)</f>
        <v>-</v>
      </c>
      <c r="H96" s="722" t="str">
        <f>IF(PlanI!$E34="","",PlanI!$E34)</f>
        <v/>
      </c>
      <c r="I96" s="717" t="str">
        <f t="shared" si="17"/>
        <v>Richtig!</v>
      </c>
      <c r="J96" s="718" t="str">
        <f t="shared" si="18"/>
        <v>-</v>
      </c>
      <c r="K96" s="711" t="str">
        <f t="shared" si="14"/>
        <v/>
      </c>
      <c r="L96" s="712" t="str">
        <f t="shared" si="12"/>
        <v/>
      </c>
      <c r="N96" s="719"/>
      <c r="P96" s="720" t="str">
        <f t="shared" si="15"/>
        <v/>
      </c>
      <c r="Q96" s="715"/>
      <c r="R96" s="721" t="str">
        <f t="shared" si="15"/>
        <v>-</v>
      </c>
      <c r="T96" s="722" t="str">
        <f t="shared" si="15"/>
        <v/>
      </c>
    </row>
    <row r="97" spans="1:20" ht="12.75" customHeight="1" x14ac:dyDescent="0.2">
      <c r="B97" s="713" t="str">
        <f>IF(PlanI!B35="","-",PlanI!B35)</f>
        <v>Gesamt DB</v>
      </c>
      <c r="C97" s="727" t="s">
        <v>377</v>
      </c>
      <c r="D97" s="720">
        <f>IF('[1]E-Plan I'!$E35="","",'[1]E-Plan I'!$E35)</f>
        <v>16762.569</v>
      </c>
      <c r="E97" s="715"/>
      <c r="F97" s="721">
        <f>IF(AND(H83="",H84="",H85="",H86="",H87="",H88="",H89="",H90="",H91="",H92="",H93="",H94="",H95="",H96=""),"-",SUM(H83:H96))</f>
        <v>16762.569</v>
      </c>
      <c r="H97" s="722">
        <f>IF(PlanI!$E35="","",PlanI!$E35)</f>
        <v>16762.569</v>
      </c>
      <c r="I97" s="717" t="str">
        <f t="shared" si="17"/>
        <v>Richtig!</v>
      </c>
      <c r="J97" s="718">
        <f t="shared" si="18"/>
        <v>1</v>
      </c>
      <c r="K97" s="711" t="str">
        <f t="shared" si="14"/>
        <v>│</v>
      </c>
      <c r="L97" s="712">
        <f t="shared" si="12"/>
        <v>1</v>
      </c>
      <c r="N97" s="719" t="str">
        <f>IF($L$1="","",$L$1)</f>
        <v>x</v>
      </c>
      <c r="P97" s="720">
        <f t="shared" si="15"/>
        <v>16762.569</v>
      </c>
      <c r="Q97" s="715"/>
      <c r="R97" s="721">
        <f t="shared" si="15"/>
        <v>16762.569</v>
      </c>
      <c r="T97" s="722">
        <f t="shared" si="15"/>
        <v>16762.569</v>
      </c>
    </row>
    <row r="98" spans="1:20" ht="12.75" customHeight="1" x14ac:dyDescent="0.2">
      <c r="A98" s="707"/>
      <c r="C98" s="727"/>
      <c r="D98" s="723"/>
      <c r="E98" s="715"/>
      <c r="F98" s="715"/>
      <c r="H98" s="724"/>
      <c r="I98" s="717"/>
      <c r="J98" s="717"/>
      <c r="K98" s="711" t="str">
        <f t="shared" si="14"/>
        <v/>
      </c>
      <c r="L98" s="712" t="str">
        <f t="shared" si="12"/>
        <v/>
      </c>
      <c r="N98" s="725" t="str">
        <f>IF($L$1="","",$L$1)</f>
        <v>x</v>
      </c>
      <c r="P98" s="723" t="str">
        <f t="shared" si="15"/>
        <v/>
      </c>
      <c r="Q98" s="715"/>
      <c r="R98" s="715" t="str">
        <f t="shared" si="15"/>
        <v/>
      </c>
      <c r="T98" s="724" t="str">
        <f t="shared" si="15"/>
        <v/>
      </c>
    </row>
    <row r="99" spans="1:20" ht="12.75" customHeight="1" x14ac:dyDescent="0.2">
      <c r="A99" s="706" t="s">
        <v>370</v>
      </c>
      <c r="B99" s="726" t="str">
        <f>PlanI!F18</f>
        <v>Ertrag (+) bzw Bedarf (-) an KStE oder MJ NEL</v>
      </c>
      <c r="C99" s="727"/>
      <c r="D99" s="708"/>
      <c r="H99" s="709"/>
      <c r="I99" s="710"/>
      <c r="J99" s="710"/>
      <c r="K99" s="711" t="str">
        <f t="shared" si="14"/>
        <v/>
      </c>
      <c r="L99" s="712" t="str">
        <f t="shared" si="12"/>
        <v/>
      </c>
      <c r="N99" s="695" t="str">
        <f>IF($L$1="","",$L$1)</f>
        <v>x</v>
      </c>
      <c r="P99" s="708" t="str">
        <f t="shared" si="15"/>
        <v/>
      </c>
      <c r="R99" s="1" t="str">
        <f t="shared" si="15"/>
        <v/>
      </c>
      <c r="T99" s="709" t="str">
        <f t="shared" si="15"/>
        <v/>
      </c>
    </row>
    <row r="100" spans="1:20" ht="12.75" x14ac:dyDescent="0.2">
      <c r="B100" s="713" t="str">
        <f>IF(PlanI!B21="","-",PlanI!B21)</f>
        <v>DB Mutterkuh</v>
      </c>
      <c r="C100" s="727" t="s">
        <v>377</v>
      </c>
      <c r="D100" s="720">
        <f>IF('[1]E-Plan I'!$G21="","",'[1]E-Plan I'!$G21)</f>
        <v>-473800</v>
      </c>
      <c r="E100" s="715"/>
      <c r="F100" s="721">
        <f>IF(OR(PlanI!$C21="",PlanI!F21=""),"-",PlanI!$C21*-PlanI!F21)</f>
        <v>-473800</v>
      </c>
      <c r="H100" s="722">
        <f>IF(PlanI!$G21="","",PlanI!$G21)</f>
        <v>-473800</v>
      </c>
      <c r="I100" s="717" t="str">
        <f t="shared" ref="I100:I114" si="19">IF(B100="-","",IF(P100=T100,"Richtig!",IF(AND(P100&lt;&gt;T100,R100=T100),"Formel: OK",IF(T100="","Fehlt","Falsch"))))</f>
        <v>Richtig!</v>
      </c>
      <c r="J100" s="718">
        <f t="shared" ref="J100:J114" si="20">IF(OR(B100="-",N100="",AND(P100="",T100="")),"-",IF(I100="Richtig!",1,IF(I100="Formel: OK",0.5,IF(OR(I100="Falsch",I100="Fehlt"),0,""))))</f>
        <v>1</v>
      </c>
      <c r="K100" s="711" t="str">
        <f t="shared" si="14"/>
        <v>│</v>
      </c>
      <c r="L100" s="712">
        <f t="shared" si="12"/>
        <v>1</v>
      </c>
      <c r="N100" s="719" t="str">
        <f>IF($L$1="","",$L$1)</f>
        <v>x</v>
      </c>
      <c r="P100" s="720">
        <f t="shared" si="15"/>
        <v>-473800</v>
      </c>
      <c r="Q100" s="715"/>
      <c r="R100" s="721">
        <f t="shared" si="15"/>
        <v>-473800</v>
      </c>
      <c r="T100" s="722">
        <f t="shared" si="15"/>
        <v>-473800</v>
      </c>
    </row>
    <row r="101" spans="1:20" ht="12.75" x14ac:dyDescent="0.2">
      <c r="B101" s="713" t="str">
        <f>IF(PlanI!B22="","-",PlanI!B22)</f>
        <v>DB Kartoffel</v>
      </c>
      <c r="C101" s="727" t="s">
        <v>377</v>
      </c>
      <c r="D101" s="720">
        <f>IF('[1]E-Plan I'!$G22="","",'[1]E-Plan I'!$G22)</f>
        <v>0</v>
      </c>
      <c r="E101" s="715"/>
      <c r="F101" s="721">
        <f>IF(OR(PlanI!$C22="",PlanI!F22=""),"-",PlanI!$C22*-PlanI!F22)</f>
        <v>0</v>
      </c>
      <c r="H101" s="722">
        <f>IF(PlanI!$G22="","",PlanI!$G22)</f>
        <v>0</v>
      </c>
      <c r="I101" s="717" t="str">
        <f t="shared" si="19"/>
        <v>Richtig!</v>
      </c>
      <c r="J101" s="718">
        <f t="shared" si="20"/>
        <v>1</v>
      </c>
      <c r="K101" s="711" t="str">
        <f t="shared" si="14"/>
        <v>│</v>
      </c>
      <c r="L101" s="712">
        <f t="shared" si="12"/>
        <v>1</v>
      </c>
      <c r="N101" s="719" t="str">
        <f>IF($L$1="","",$L$1)</f>
        <v>x</v>
      </c>
      <c r="P101" s="720">
        <f t="shared" si="15"/>
        <v>0</v>
      </c>
      <c r="Q101" s="715"/>
      <c r="R101" s="721">
        <f t="shared" si="15"/>
        <v>0</v>
      </c>
      <c r="T101" s="722">
        <f t="shared" si="15"/>
        <v>0</v>
      </c>
    </row>
    <row r="102" spans="1:20" ht="12.75" hidden="1" customHeight="1" x14ac:dyDescent="0.2">
      <c r="B102" s="713" t="str">
        <f>IF(PlanI!B23="","-",PlanI!B23)</f>
        <v>-</v>
      </c>
      <c r="C102" s="727" t="s">
        <v>377</v>
      </c>
      <c r="D102" s="720" t="str">
        <f>IF('[1]E-Plan I'!$G23="","",'[1]E-Plan I'!$G23)</f>
        <v/>
      </c>
      <c r="E102" s="715"/>
      <c r="F102" s="721" t="str">
        <f>IF(OR(PlanI!$C23="",PlanI!F23=""),"-",PlanI!$C23*-PlanI!F23)</f>
        <v>-</v>
      </c>
      <c r="H102" s="722" t="str">
        <f>IF(PlanI!$G23="","",PlanI!$G23)</f>
        <v/>
      </c>
      <c r="I102" s="717" t="str">
        <f t="shared" si="19"/>
        <v/>
      </c>
      <c r="J102" s="718" t="str">
        <f t="shared" si="20"/>
        <v>-</v>
      </c>
      <c r="K102" s="711" t="str">
        <f t="shared" si="14"/>
        <v/>
      </c>
      <c r="L102" s="712" t="str">
        <f t="shared" si="12"/>
        <v/>
      </c>
      <c r="N102" s="719"/>
      <c r="P102" s="720" t="str">
        <f t="shared" si="15"/>
        <v/>
      </c>
      <c r="Q102" s="715"/>
      <c r="R102" s="721" t="str">
        <f t="shared" si="15"/>
        <v>-</v>
      </c>
      <c r="T102" s="722" t="str">
        <f t="shared" si="15"/>
        <v/>
      </c>
    </row>
    <row r="103" spans="1:20" ht="12.75" hidden="1" customHeight="1" x14ac:dyDescent="0.2">
      <c r="B103" s="713" t="str">
        <f>IF(PlanI!B24="","-",PlanI!B24)</f>
        <v>-</v>
      </c>
      <c r="C103" s="727" t="s">
        <v>377</v>
      </c>
      <c r="D103" s="720" t="str">
        <f>IF('[1]E-Plan I'!$G24="","",'[1]E-Plan I'!$G24)</f>
        <v/>
      </c>
      <c r="E103" s="715"/>
      <c r="F103" s="721" t="str">
        <f>IF(OR(PlanI!$C24="",PlanI!F24=""),"-",PlanI!$C24*-PlanI!F24)</f>
        <v>-</v>
      </c>
      <c r="H103" s="722" t="str">
        <f>IF(PlanI!$G24="","",PlanI!$G24)</f>
        <v/>
      </c>
      <c r="I103" s="717" t="str">
        <f t="shared" si="19"/>
        <v/>
      </c>
      <c r="J103" s="718" t="str">
        <f t="shared" si="20"/>
        <v>-</v>
      </c>
      <c r="K103" s="711" t="str">
        <f t="shared" si="14"/>
        <v/>
      </c>
      <c r="L103" s="712" t="str">
        <f t="shared" si="12"/>
        <v/>
      </c>
      <c r="N103" s="719"/>
      <c r="P103" s="720" t="str">
        <f t="shared" si="15"/>
        <v/>
      </c>
      <c r="Q103" s="715"/>
      <c r="R103" s="721" t="str">
        <f t="shared" si="15"/>
        <v>-</v>
      </c>
      <c r="T103" s="722" t="str">
        <f t="shared" si="15"/>
        <v/>
      </c>
    </row>
    <row r="104" spans="1:20" ht="12.75" hidden="1" customHeight="1" x14ac:dyDescent="0.2">
      <c r="B104" s="713" t="str">
        <f>IF(PlanI!B25="","-",PlanI!B25)</f>
        <v>-</v>
      </c>
      <c r="C104" s="727" t="s">
        <v>377</v>
      </c>
      <c r="D104" s="720" t="str">
        <f>IF('[1]E-Plan I'!$G25="","",'[1]E-Plan I'!$G25)</f>
        <v/>
      </c>
      <c r="E104" s="715"/>
      <c r="F104" s="721" t="str">
        <f>IF(OR(PlanI!$C25="",PlanI!F25=""),"-",PlanI!$C25*-PlanI!F25)</f>
        <v>-</v>
      </c>
      <c r="H104" s="722" t="str">
        <f>IF(PlanI!$G25="","",PlanI!$G25)</f>
        <v/>
      </c>
      <c r="I104" s="717" t="str">
        <f t="shared" si="19"/>
        <v/>
      </c>
      <c r="J104" s="718" t="str">
        <f t="shared" si="20"/>
        <v>-</v>
      </c>
      <c r="K104" s="711" t="str">
        <f t="shared" si="14"/>
        <v/>
      </c>
      <c r="L104" s="712" t="str">
        <f t="shared" ref="L104:L135" si="21">IF(OR(B104="-",N104="",AND(P104="",T104="")),"",1)</f>
        <v/>
      </c>
      <c r="N104" s="719"/>
      <c r="P104" s="720" t="str">
        <f t="shared" si="15"/>
        <v/>
      </c>
      <c r="Q104" s="715"/>
      <c r="R104" s="721" t="str">
        <f t="shared" si="15"/>
        <v>-</v>
      </c>
      <c r="T104" s="722" t="str">
        <f t="shared" si="15"/>
        <v/>
      </c>
    </row>
    <row r="105" spans="1:20" ht="12.75" hidden="1" customHeight="1" x14ac:dyDescent="0.2">
      <c r="B105" s="713" t="str">
        <f>IF(PlanI!B26="","-",PlanI!B26)</f>
        <v>-</v>
      </c>
      <c r="C105" s="727" t="s">
        <v>377</v>
      </c>
      <c r="D105" s="720" t="str">
        <f>IF('[1]E-Plan I'!$G26="","",'[1]E-Plan I'!$G26)</f>
        <v/>
      </c>
      <c r="E105" s="715"/>
      <c r="F105" s="721" t="str">
        <f>IF(OR(PlanI!$C26="",PlanI!F26=""),"-",PlanI!$C26*-PlanI!F26)</f>
        <v>-</v>
      </c>
      <c r="H105" s="722" t="str">
        <f>IF(PlanI!$G26="","",PlanI!$G26)</f>
        <v/>
      </c>
      <c r="I105" s="717" t="str">
        <f t="shared" si="19"/>
        <v/>
      </c>
      <c r="J105" s="718" t="str">
        <f t="shared" si="20"/>
        <v>-</v>
      </c>
      <c r="K105" s="711" t="str">
        <f t="shared" si="14"/>
        <v/>
      </c>
      <c r="L105" s="712" t="str">
        <f t="shared" si="21"/>
        <v/>
      </c>
      <c r="N105" s="719"/>
      <c r="P105" s="720" t="str">
        <f t="shared" si="15"/>
        <v/>
      </c>
      <c r="Q105" s="715"/>
      <c r="R105" s="721" t="str">
        <f t="shared" si="15"/>
        <v>-</v>
      </c>
      <c r="T105" s="722" t="str">
        <f t="shared" si="15"/>
        <v/>
      </c>
    </row>
    <row r="106" spans="1:20" ht="12.75" hidden="1" customHeight="1" x14ac:dyDescent="0.2">
      <c r="B106" s="713" t="str">
        <f>IF(PlanI!B27="","-",PlanI!B27)</f>
        <v>-</v>
      </c>
      <c r="C106" s="727" t="s">
        <v>377</v>
      </c>
      <c r="D106" s="720" t="str">
        <f>IF('[1]E-Plan I'!$G27="","",'[1]E-Plan I'!$G27)</f>
        <v/>
      </c>
      <c r="E106" s="715"/>
      <c r="F106" s="721" t="str">
        <f>IF(OR(PlanI!$C27="",PlanI!F27=""),"-",PlanI!$C27*-PlanI!F27)</f>
        <v>-</v>
      </c>
      <c r="H106" s="722" t="str">
        <f>IF(PlanI!$G27="","",PlanI!$G27)</f>
        <v/>
      </c>
      <c r="I106" s="717" t="str">
        <f t="shared" si="19"/>
        <v/>
      </c>
      <c r="J106" s="718" t="str">
        <f t="shared" si="20"/>
        <v>-</v>
      </c>
      <c r="K106" s="711" t="str">
        <f t="shared" si="14"/>
        <v/>
      </c>
      <c r="L106" s="712" t="str">
        <f t="shared" si="21"/>
        <v/>
      </c>
      <c r="N106" s="719"/>
      <c r="P106" s="720" t="str">
        <f t="shared" si="15"/>
        <v/>
      </c>
      <c r="Q106" s="715"/>
      <c r="R106" s="721" t="str">
        <f t="shared" si="15"/>
        <v>-</v>
      </c>
      <c r="T106" s="722" t="str">
        <f t="shared" si="15"/>
        <v/>
      </c>
    </row>
    <row r="107" spans="1:20" ht="12.75" hidden="1" customHeight="1" x14ac:dyDescent="0.2">
      <c r="B107" s="713" t="str">
        <f>IF(PlanI!B28="","-",PlanI!B28)</f>
        <v>VK Feldfutter - Heu</v>
      </c>
      <c r="C107" s="727" t="s">
        <v>377</v>
      </c>
      <c r="D107" s="720">
        <f>IF('[1]E-Plan I'!$G28="","",'[1]E-Plan I'!$G28)</f>
        <v>139780.80000000002</v>
      </c>
      <c r="E107" s="715"/>
      <c r="F107" s="721">
        <f>IF(OR(PlanI!$C28="",PlanI!F28=""),"-",PlanI!$C28*PlanI!F28)</f>
        <v>139780.80000000002</v>
      </c>
      <c r="H107" s="722">
        <f>IF(PlanI!$G28="","",PlanI!$G28)</f>
        <v>139780.80000000002</v>
      </c>
      <c r="I107" s="717" t="str">
        <f t="shared" si="19"/>
        <v>Richtig!</v>
      </c>
      <c r="J107" s="718" t="str">
        <f t="shared" si="20"/>
        <v>-</v>
      </c>
      <c r="K107" s="711" t="str">
        <f t="shared" si="14"/>
        <v/>
      </c>
      <c r="L107" s="712" t="str">
        <f t="shared" si="21"/>
        <v/>
      </c>
      <c r="N107" s="719"/>
      <c r="P107" s="720">
        <f t="shared" si="15"/>
        <v>139780.79999999999</v>
      </c>
      <c r="Q107" s="715"/>
      <c r="R107" s="721">
        <f t="shared" si="15"/>
        <v>139780.79999999999</v>
      </c>
      <c r="T107" s="722">
        <f t="shared" si="15"/>
        <v>139780.79999999999</v>
      </c>
    </row>
    <row r="108" spans="1:20" ht="12.75" x14ac:dyDescent="0.2">
      <c r="B108" s="713" t="str">
        <f>IF(PlanI!B29="","-",PlanI!B29)</f>
        <v>VK Dauergrünland 3-schnittig</v>
      </c>
      <c r="C108" s="727" t="s">
        <v>377</v>
      </c>
      <c r="D108" s="720">
        <f>IF('[1]E-Plan I'!$G29="","",'[1]E-Plan I'!$G29)</f>
        <v>486369</v>
      </c>
      <c r="E108" s="715"/>
      <c r="F108" s="721">
        <f>IF(OR(PlanI!$C29="",PlanI!F29=""),"-",PlanI!$C29*PlanI!F29)</f>
        <v>486369</v>
      </c>
      <c r="H108" s="722">
        <f>IF(PlanI!$G29="","",PlanI!$G29)</f>
        <v>486369</v>
      </c>
      <c r="I108" s="717" t="str">
        <f t="shared" si="19"/>
        <v>Richtig!</v>
      </c>
      <c r="J108" s="718">
        <f t="shared" si="20"/>
        <v>1</v>
      </c>
      <c r="K108" s="711" t="str">
        <f t="shared" si="14"/>
        <v>│</v>
      </c>
      <c r="L108" s="712">
        <f t="shared" si="21"/>
        <v>1</v>
      </c>
      <c r="N108" s="719" t="str">
        <f>IF($L$1="","",$L$1)</f>
        <v>x</v>
      </c>
      <c r="P108" s="720">
        <f t="shared" si="15"/>
        <v>486369</v>
      </c>
      <c r="Q108" s="715"/>
      <c r="R108" s="721">
        <f t="shared" si="15"/>
        <v>486369</v>
      </c>
      <c r="T108" s="722">
        <f t="shared" si="15"/>
        <v>486369</v>
      </c>
    </row>
    <row r="109" spans="1:20" ht="12.75" hidden="1" customHeight="1" x14ac:dyDescent="0.2">
      <c r="B109" s="713" t="str">
        <f>IF(PlanI!B30="","-",PlanI!B30)</f>
        <v>VK Dauergrünland 1-schnittig</v>
      </c>
      <c r="C109" s="727" t="s">
        <v>377</v>
      </c>
      <c r="D109" s="720">
        <f>IF('[1]E-Plan I'!$G30="","",'[1]E-Plan I'!$G30)</f>
        <v>61046.25</v>
      </c>
      <c r="E109" s="715"/>
      <c r="F109" s="721">
        <f>IF(OR(PlanI!$C30="",PlanI!F30=""),"-",PlanI!$C30*PlanI!F30)</f>
        <v>61046.25</v>
      </c>
      <c r="H109" s="722">
        <f>IF(PlanI!$G30="","",PlanI!$G30)</f>
        <v>61046.25</v>
      </c>
      <c r="I109" s="717" t="str">
        <f t="shared" si="19"/>
        <v>Richtig!</v>
      </c>
      <c r="J109" s="718" t="str">
        <f t="shared" si="20"/>
        <v>-</v>
      </c>
      <c r="K109" s="711" t="str">
        <f t="shared" si="14"/>
        <v/>
      </c>
      <c r="L109" s="712" t="str">
        <f t="shared" si="21"/>
        <v/>
      </c>
      <c r="N109" s="719"/>
      <c r="P109" s="720">
        <f t="shared" si="15"/>
        <v>61046.25</v>
      </c>
      <c r="Q109" s="715"/>
      <c r="R109" s="721">
        <f t="shared" si="15"/>
        <v>61046.25</v>
      </c>
      <c r="T109" s="722">
        <f t="shared" si="15"/>
        <v>61046.25</v>
      </c>
    </row>
    <row r="110" spans="1:20" ht="12.75" hidden="1" customHeight="1" x14ac:dyDescent="0.2">
      <c r="B110" s="713" t="str">
        <f>IF(PlanI!B31="","-",PlanI!B31)</f>
        <v>-</v>
      </c>
      <c r="C110" s="727" t="s">
        <v>377</v>
      </c>
      <c r="D110" s="720" t="str">
        <f>IF('[1]E-Plan I'!$G31="","",'[1]E-Plan I'!$G31)</f>
        <v/>
      </c>
      <c r="E110" s="715"/>
      <c r="F110" s="721" t="str">
        <f>IF(OR(PlanI!$C31="",PlanI!F31=""),"-",PlanI!$C31*PlanI!F31)</f>
        <v>-</v>
      </c>
      <c r="H110" s="722" t="str">
        <f>IF(PlanI!$G31="","",PlanI!$G31)</f>
        <v/>
      </c>
      <c r="I110" s="717" t="str">
        <f t="shared" si="19"/>
        <v/>
      </c>
      <c r="J110" s="718" t="str">
        <f t="shared" si="20"/>
        <v>-</v>
      </c>
      <c r="K110" s="711" t="str">
        <f t="shared" si="14"/>
        <v/>
      </c>
      <c r="L110" s="712" t="str">
        <f t="shared" si="21"/>
        <v/>
      </c>
      <c r="N110" s="719"/>
      <c r="P110" s="720" t="str">
        <f t="shared" si="15"/>
        <v/>
      </c>
      <c r="Q110" s="715"/>
      <c r="R110" s="721" t="str">
        <f t="shared" si="15"/>
        <v>-</v>
      </c>
      <c r="T110" s="722" t="str">
        <f t="shared" si="15"/>
        <v/>
      </c>
    </row>
    <row r="111" spans="1:20" ht="12.75" hidden="1" customHeight="1" x14ac:dyDescent="0.2">
      <c r="B111" s="713" t="str">
        <f>IF(PlanI!B32="","-",PlanI!B32)</f>
        <v>-</v>
      </c>
      <c r="C111" s="727" t="s">
        <v>377</v>
      </c>
      <c r="D111" s="720" t="str">
        <f>IF('[1]E-Plan I'!$G32="","",'[1]E-Plan I'!$G32)</f>
        <v/>
      </c>
      <c r="E111" s="715"/>
      <c r="F111" s="721" t="str">
        <f>IF(OR(PlanI!$C32="",PlanI!F32=""),"-",PlanI!$C32*PlanI!F32)</f>
        <v>-</v>
      </c>
      <c r="H111" s="722" t="str">
        <f>IF(PlanI!$G32="","",PlanI!$G32)</f>
        <v/>
      </c>
      <c r="I111" s="717" t="str">
        <f t="shared" si="19"/>
        <v/>
      </c>
      <c r="J111" s="718" t="str">
        <f t="shared" si="20"/>
        <v>-</v>
      </c>
      <c r="K111" s="711" t="str">
        <f t="shared" si="14"/>
        <v/>
      </c>
      <c r="L111" s="712" t="str">
        <f t="shared" si="21"/>
        <v/>
      </c>
      <c r="N111" s="719"/>
      <c r="P111" s="720" t="str">
        <f t="shared" si="15"/>
        <v/>
      </c>
      <c r="Q111" s="715"/>
      <c r="R111" s="721" t="str">
        <f t="shared" si="15"/>
        <v>-</v>
      </c>
      <c r="T111" s="722" t="str">
        <f t="shared" si="15"/>
        <v/>
      </c>
    </row>
    <row r="112" spans="1:20" ht="12.75" hidden="1" customHeight="1" x14ac:dyDescent="0.2">
      <c r="B112" s="713" t="str">
        <f>IF(PlanI!B33="","-",PlanI!B33)</f>
        <v>-</v>
      </c>
      <c r="C112" s="727" t="s">
        <v>377</v>
      </c>
      <c r="D112" s="720" t="str">
        <f>IF('[1]E-Plan I'!$G33="","",'[1]E-Plan I'!$G33)</f>
        <v/>
      </c>
      <c r="E112" s="715"/>
      <c r="F112" s="721" t="str">
        <f>IF(OR(PlanI!$C33="",PlanI!F33=""),"-",PlanI!$C33*PlanI!F33)</f>
        <v>-</v>
      </c>
      <c r="H112" s="722" t="str">
        <f>IF(PlanI!$G33="","",PlanI!$G33)</f>
        <v/>
      </c>
      <c r="I112" s="717" t="str">
        <f t="shared" si="19"/>
        <v/>
      </c>
      <c r="J112" s="718" t="str">
        <f t="shared" si="20"/>
        <v>-</v>
      </c>
      <c r="K112" s="711" t="str">
        <f t="shared" si="14"/>
        <v/>
      </c>
      <c r="L112" s="712" t="str">
        <f t="shared" si="21"/>
        <v/>
      </c>
      <c r="N112" s="719"/>
      <c r="P112" s="720" t="str">
        <f t="shared" si="15"/>
        <v/>
      </c>
      <c r="Q112" s="715"/>
      <c r="R112" s="721" t="str">
        <f t="shared" si="15"/>
        <v>-</v>
      </c>
      <c r="T112" s="722" t="str">
        <f t="shared" si="15"/>
        <v/>
      </c>
    </row>
    <row r="113" spans="1:20" ht="12.75" hidden="1" customHeight="1" x14ac:dyDescent="0.2">
      <c r="B113" s="713" t="str">
        <f>IF(PlanI!B34="","-",PlanI!B34)</f>
        <v xml:space="preserve"> Sonstige Arbeiten</v>
      </c>
      <c r="C113" s="727" t="s">
        <v>377</v>
      </c>
      <c r="D113" s="720" t="str">
        <f>IF('[1]E-Plan I'!$G34="","",'[1]E-Plan I'!$G34)</f>
        <v/>
      </c>
      <c r="E113" s="715"/>
      <c r="F113" s="721" t="str">
        <f>IF(OR(PlanI!$C34="",PlanI!F34=""),"-",PlanI!$C34*PlanI!F34)</f>
        <v>-</v>
      </c>
      <c r="H113" s="722" t="str">
        <f>IF(PlanI!$G34="","",PlanI!$G34)</f>
        <v/>
      </c>
      <c r="I113" s="717" t="str">
        <f t="shared" si="19"/>
        <v>Richtig!</v>
      </c>
      <c r="J113" s="718" t="str">
        <f t="shared" si="20"/>
        <v>-</v>
      </c>
      <c r="K113" s="711" t="str">
        <f t="shared" si="14"/>
        <v/>
      </c>
      <c r="L113" s="712" t="str">
        <f t="shared" si="21"/>
        <v/>
      </c>
      <c r="N113" s="719"/>
      <c r="P113" s="720" t="str">
        <f t="shared" si="15"/>
        <v/>
      </c>
      <c r="Q113" s="715"/>
      <c r="R113" s="721" t="str">
        <f t="shared" si="15"/>
        <v>-</v>
      </c>
      <c r="T113" s="722" t="str">
        <f t="shared" si="15"/>
        <v/>
      </c>
    </row>
    <row r="114" spans="1:20" ht="12.75" customHeight="1" x14ac:dyDescent="0.2">
      <c r="B114" s="713" t="str">
        <f>IF(PlanI!F38="","-",PlanI!F38)</f>
        <v xml:space="preserve"> +/- Ges.
Energie</v>
      </c>
      <c r="C114" s="727" t="s">
        <v>377</v>
      </c>
      <c r="D114" s="720">
        <f>IF('[1]E-Plan I'!$G38="","",'[1]E-Plan I'!$G38)</f>
        <v>213396.05000000005</v>
      </c>
      <c r="E114" s="715"/>
      <c r="F114" s="721">
        <f>IF(AND(H100="",H101="",H102="",H103="",H104="",H105="",H106="",H107="",H108="",H109="",H110="",H111="",H112="",H113=""),"-",SUM(H100:H113))</f>
        <v>213396.05000000005</v>
      </c>
      <c r="H114" s="722">
        <f>IF(PlanI!$G38="","",PlanI!$G38)</f>
        <v>213396.05000000005</v>
      </c>
      <c r="I114" s="717" t="str">
        <f t="shared" si="19"/>
        <v>Richtig!</v>
      </c>
      <c r="J114" s="718">
        <f t="shared" si="20"/>
        <v>1</v>
      </c>
      <c r="K114" s="711" t="str">
        <f t="shared" si="14"/>
        <v>│</v>
      </c>
      <c r="L114" s="712">
        <f t="shared" si="21"/>
        <v>1</v>
      </c>
      <c r="N114" s="719" t="str">
        <f>IF($L$1="","",$L$1)</f>
        <v>x</v>
      </c>
      <c r="P114" s="720">
        <f t="shared" si="15"/>
        <v>213396.05</v>
      </c>
      <c r="Q114" s="715"/>
      <c r="R114" s="721">
        <f t="shared" si="15"/>
        <v>213396.05</v>
      </c>
      <c r="T114" s="722">
        <f t="shared" si="15"/>
        <v>213396.05</v>
      </c>
    </row>
    <row r="115" spans="1:20" ht="12.75" customHeight="1" x14ac:dyDescent="0.2">
      <c r="A115" s="707"/>
      <c r="C115" s="727"/>
      <c r="D115" s="723"/>
      <c r="E115" s="715"/>
      <c r="F115" s="715"/>
      <c r="H115" s="724"/>
      <c r="I115" s="717"/>
      <c r="J115" s="717"/>
      <c r="K115" s="711" t="str">
        <f t="shared" si="14"/>
        <v/>
      </c>
      <c r="L115" s="712" t="str">
        <f t="shared" si="21"/>
        <v/>
      </c>
      <c r="N115" s="725" t="str">
        <f>IF($L$1="","",$L$1)</f>
        <v>x</v>
      </c>
      <c r="P115" s="723" t="str">
        <f t="shared" si="15"/>
        <v/>
      </c>
      <c r="Q115" s="715"/>
      <c r="R115" s="715" t="str">
        <f t="shared" si="15"/>
        <v/>
      </c>
      <c r="T115" s="724" t="str">
        <f t="shared" si="15"/>
        <v/>
      </c>
    </row>
    <row r="116" spans="1:20" ht="12.75" customHeight="1" x14ac:dyDescent="0.2">
      <c r="A116" s="706" t="s">
        <v>373</v>
      </c>
      <c r="B116" s="726" t="str">
        <f>PlanI!H18</f>
        <v>Jahresarbeitszeit 
in Akh</v>
      </c>
      <c r="C116" s="727"/>
      <c r="D116" s="708"/>
      <c r="H116" s="709"/>
      <c r="I116" s="710"/>
      <c r="J116" s="710"/>
      <c r="K116" s="711" t="str">
        <f t="shared" si="14"/>
        <v/>
      </c>
      <c r="L116" s="712" t="str">
        <f t="shared" si="21"/>
        <v/>
      </c>
      <c r="N116" s="695" t="str">
        <f>IF($L$1="","",$L$1)</f>
        <v>x</v>
      </c>
      <c r="P116" s="708" t="str">
        <f t="shared" si="15"/>
        <v/>
      </c>
      <c r="R116" s="1" t="str">
        <f t="shared" si="15"/>
        <v/>
      </c>
      <c r="T116" s="709" t="str">
        <f t="shared" si="15"/>
        <v/>
      </c>
    </row>
    <row r="117" spans="1:20" ht="12.75" x14ac:dyDescent="0.2">
      <c r="B117" s="713" t="str">
        <f>IF(PlanI!B21="","-",PlanI!B21)</f>
        <v>DB Mutterkuh</v>
      </c>
      <c r="C117" s="727" t="s">
        <v>377</v>
      </c>
      <c r="D117" s="720">
        <f>IF('[1]E-Plan I'!$I21="","",'[1]E-Plan I'!$I21)</f>
        <v>847.4</v>
      </c>
      <c r="E117" s="715"/>
      <c r="F117" s="721">
        <f>IF(OR(PlanI!$C21="",PlanI!H21=""),"-",PlanI!$C21*PlanI!H21)</f>
        <v>847.4</v>
      </c>
      <c r="H117" s="722">
        <f>IF(PlanI!$I21="","",PlanI!$I21)</f>
        <v>847.4</v>
      </c>
      <c r="I117" s="717" t="str">
        <f t="shared" ref="I117:I131" si="22">IF(B117="-","",IF(P117=T117,"Richtig!",IF(AND(P117&lt;&gt;T117,R117=T117),"Formel: OK",IF(T117="","Fehlt","Falsch"))))</f>
        <v>Richtig!</v>
      </c>
      <c r="J117" s="718">
        <f t="shared" ref="J117:J131" si="23">IF(OR(B117="-",N117="",AND(P117="",T117="")),"-",IF(I117="Richtig!",1,IF(I117="Formel: OK",0.5,IF(OR(I117="Falsch",I117="Fehlt"),0,""))))</f>
        <v>1</v>
      </c>
      <c r="K117" s="711" t="str">
        <f t="shared" si="14"/>
        <v>│</v>
      </c>
      <c r="L117" s="712">
        <f t="shared" si="21"/>
        <v>1</v>
      </c>
      <c r="N117" s="719" t="str">
        <f>IF($L$1="","",$L$1)</f>
        <v>x</v>
      </c>
      <c r="P117" s="720">
        <f t="shared" si="15"/>
        <v>847.4</v>
      </c>
      <c r="Q117" s="715"/>
      <c r="R117" s="721">
        <f t="shared" si="15"/>
        <v>847.4</v>
      </c>
      <c r="T117" s="722">
        <f t="shared" si="15"/>
        <v>847.4</v>
      </c>
    </row>
    <row r="118" spans="1:20" ht="12.75" x14ac:dyDescent="0.2">
      <c r="B118" s="713" t="str">
        <f>IF(PlanI!B22="","-",PlanI!B22)</f>
        <v>DB Kartoffel</v>
      </c>
      <c r="C118" s="727" t="s">
        <v>377</v>
      </c>
      <c r="D118" s="720">
        <f>IF('[1]E-Plan I'!$I22="","",'[1]E-Plan I'!$I22)</f>
        <v>225.435</v>
      </c>
      <c r="E118" s="715"/>
      <c r="F118" s="721">
        <f>IF(OR(PlanI!$C22="",PlanI!H22=""),"-",PlanI!$C22*PlanI!H22)</f>
        <v>225.435</v>
      </c>
      <c r="H118" s="722">
        <f>IF(PlanI!$I22="","",PlanI!$I22)</f>
        <v>225.435</v>
      </c>
      <c r="I118" s="717" t="str">
        <f t="shared" si="22"/>
        <v>Richtig!</v>
      </c>
      <c r="J118" s="718">
        <f t="shared" si="23"/>
        <v>1</v>
      </c>
      <c r="K118" s="711" t="str">
        <f t="shared" si="14"/>
        <v>│</v>
      </c>
      <c r="L118" s="712">
        <f t="shared" si="21"/>
        <v>1</v>
      </c>
      <c r="N118" s="719" t="str">
        <f>IF($L$1="","",$L$1)</f>
        <v>x</v>
      </c>
      <c r="P118" s="720">
        <f t="shared" si="15"/>
        <v>225.435</v>
      </c>
      <c r="Q118" s="715"/>
      <c r="R118" s="721">
        <f t="shared" si="15"/>
        <v>225.435</v>
      </c>
      <c r="T118" s="722">
        <f t="shared" si="15"/>
        <v>225.435</v>
      </c>
    </row>
    <row r="119" spans="1:20" ht="12.75" hidden="1" customHeight="1" x14ac:dyDescent="0.2">
      <c r="B119" s="713" t="str">
        <f>IF(PlanI!B23="","-",PlanI!B23)</f>
        <v>-</v>
      </c>
      <c r="C119" s="727" t="s">
        <v>377</v>
      </c>
      <c r="D119" s="720" t="str">
        <f>IF('[1]E-Plan I'!$I23="","",'[1]E-Plan I'!$I23)</f>
        <v/>
      </c>
      <c r="E119" s="715"/>
      <c r="F119" s="721" t="str">
        <f>IF(OR(PlanI!$C23="",PlanI!H23=""),"-",PlanI!$C23*PlanI!H23)</f>
        <v>-</v>
      </c>
      <c r="H119" s="722" t="str">
        <f>IF(PlanI!$I23="","",PlanI!$I23)</f>
        <v/>
      </c>
      <c r="I119" s="717" t="str">
        <f t="shared" si="22"/>
        <v/>
      </c>
      <c r="J119" s="718" t="str">
        <f t="shared" si="23"/>
        <v>-</v>
      </c>
      <c r="K119" s="711" t="str">
        <f t="shared" si="14"/>
        <v/>
      </c>
      <c r="L119" s="712" t="str">
        <f t="shared" si="21"/>
        <v/>
      </c>
      <c r="N119" s="719"/>
      <c r="P119" s="720" t="str">
        <f t="shared" si="15"/>
        <v/>
      </c>
      <c r="Q119" s="715"/>
      <c r="R119" s="721" t="str">
        <f t="shared" si="15"/>
        <v>-</v>
      </c>
      <c r="T119" s="722" t="str">
        <f t="shared" si="15"/>
        <v/>
      </c>
    </row>
    <row r="120" spans="1:20" ht="12.75" hidden="1" customHeight="1" x14ac:dyDescent="0.2">
      <c r="B120" s="713" t="str">
        <f>IF(PlanI!B24="","-",PlanI!B24)</f>
        <v>-</v>
      </c>
      <c r="C120" s="727" t="s">
        <v>377</v>
      </c>
      <c r="D120" s="720" t="str">
        <f>IF('[1]E-Plan I'!$I24="","",'[1]E-Plan I'!$I24)</f>
        <v/>
      </c>
      <c r="E120" s="715"/>
      <c r="F120" s="721" t="str">
        <f>IF(OR(PlanI!$C24="",PlanI!H24=""),"-",PlanI!$C24*PlanI!H24)</f>
        <v>-</v>
      </c>
      <c r="H120" s="722" t="str">
        <f>IF(PlanI!$I24="","",PlanI!$I24)</f>
        <v/>
      </c>
      <c r="I120" s="717" t="str">
        <f t="shared" si="22"/>
        <v/>
      </c>
      <c r="J120" s="718" t="str">
        <f t="shared" si="23"/>
        <v>-</v>
      </c>
      <c r="K120" s="711" t="str">
        <f t="shared" si="14"/>
        <v/>
      </c>
      <c r="L120" s="712" t="str">
        <f t="shared" si="21"/>
        <v/>
      </c>
      <c r="N120" s="719"/>
      <c r="P120" s="720" t="str">
        <f t="shared" si="15"/>
        <v/>
      </c>
      <c r="Q120" s="715"/>
      <c r="R120" s="721" t="str">
        <f t="shared" si="15"/>
        <v>-</v>
      </c>
      <c r="T120" s="722" t="str">
        <f t="shared" si="15"/>
        <v/>
      </c>
    </row>
    <row r="121" spans="1:20" ht="12.75" hidden="1" customHeight="1" x14ac:dyDescent="0.2">
      <c r="B121" s="713" t="str">
        <f>IF(PlanI!B25="","-",PlanI!B25)</f>
        <v>-</v>
      </c>
      <c r="C121" s="727" t="s">
        <v>377</v>
      </c>
      <c r="D121" s="720" t="str">
        <f>IF('[1]E-Plan I'!$I25="","",'[1]E-Plan I'!$I25)</f>
        <v/>
      </c>
      <c r="E121" s="715"/>
      <c r="F121" s="721" t="str">
        <f>IF(OR(PlanI!$C25="",PlanI!H25=""),"-",PlanI!$C25*PlanI!H25)</f>
        <v>-</v>
      </c>
      <c r="H121" s="722" t="str">
        <f>IF(PlanI!$I25="","",PlanI!$I25)</f>
        <v/>
      </c>
      <c r="I121" s="717" t="str">
        <f t="shared" si="22"/>
        <v/>
      </c>
      <c r="J121" s="718" t="str">
        <f t="shared" si="23"/>
        <v>-</v>
      </c>
      <c r="K121" s="711" t="str">
        <f t="shared" si="14"/>
        <v/>
      </c>
      <c r="L121" s="712" t="str">
        <f t="shared" si="21"/>
        <v/>
      </c>
      <c r="N121" s="719"/>
      <c r="P121" s="720" t="str">
        <f t="shared" si="15"/>
        <v/>
      </c>
      <c r="Q121" s="715"/>
      <c r="R121" s="721" t="str">
        <f t="shared" si="15"/>
        <v>-</v>
      </c>
      <c r="T121" s="722" t="str">
        <f t="shared" si="15"/>
        <v/>
      </c>
    </row>
    <row r="122" spans="1:20" ht="12.75" hidden="1" customHeight="1" x14ac:dyDescent="0.2">
      <c r="B122" s="713" t="str">
        <f>IF(PlanI!B26="","-",PlanI!B26)</f>
        <v>-</v>
      </c>
      <c r="C122" s="727" t="s">
        <v>377</v>
      </c>
      <c r="D122" s="720" t="str">
        <f>IF('[1]E-Plan I'!$I26="","",'[1]E-Plan I'!$I26)</f>
        <v/>
      </c>
      <c r="E122" s="715"/>
      <c r="F122" s="721" t="str">
        <f>IF(OR(PlanI!$C26="",PlanI!H26=""),"-",PlanI!$C26*PlanI!H26)</f>
        <v>-</v>
      </c>
      <c r="H122" s="722" t="str">
        <f>IF(PlanI!$I26="","",PlanI!$I26)</f>
        <v/>
      </c>
      <c r="I122" s="717" t="str">
        <f t="shared" si="22"/>
        <v/>
      </c>
      <c r="J122" s="718" t="str">
        <f t="shared" si="23"/>
        <v>-</v>
      </c>
      <c r="K122" s="711" t="str">
        <f t="shared" si="14"/>
        <v/>
      </c>
      <c r="L122" s="712" t="str">
        <f t="shared" si="21"/>
        <v/>
      </c>
      <c r="N122" s="719"/>
      <c r="P122" s="720" t="str">
        <f t="shared" si="15"/>
        <v/>
      </c>
      <c r="Q122" s="715"/>
      <c r="R122" s="721" t="str">
        <f t="shared" si="15"/>
        <v>-</v>
      </c>
      <c r="T122" s="722" t="str">
        <f t="shared" si="15"/>
        <v/>
      </c>
    </row>
    <row r="123" spans="1:20" ht="12.75" hidden="1" customHeight="1" x14ac:dyDescent="0.2">
      <c r="B123" s="713" t="str">
        <f>IF(PlanI!B27="","-",PlanI!B27)</f>
        <v>-</v>
      </c>
      <c r="C123" s="727" t="s">
        <v>377</v>
      </c>
      <c r="D123" s="720" t="str">
        <f>IF('[1]E-Plan I'!$I27="","",'[1]E-Plan I'!$I27)</f>
        <v/>
      </c>
      <c r="E123" s="715"/>
      <c r="F123" s="721" t="str">
        <f>IF(OR(PlanI!$C27="",PlanI!H27=""),"-",PlanI!$C27*PlanI!H27)</f>
        <v>-</v>
      </c>
      <c r="H123" s="722" t="str">
        <f>IF(PlanI!$I27="","",PlanI!$I27)</f>
        <v/>
      </c>
      <c r="I123" s="717" t="str">
        <f t="shared" si="22"/>
        <v/>
      </c>
      <c r="J123" s="718" t="str">
        <f t="shared" si="23"/>
        <v>-</v>
      </c>
      <c r="K123" s="711" t="str">
        <f t="shared" si="14"/>
        <v/>
      </c>
      <c r="L123" s="712" t="str">
        <f t="shared" si="21"/>
        <v/>
      </c>
      <c r="N123" s="719"/>
      <c r="P123" s="720" t="str">
        <f t="shared" si="15"/>
        <v/>
      </c>
      <c r="Q123" s="715"/>
      <c r="R123" s="721" t="str">
        <f t="shared" si="15"/>
        <v>-</v>
      </c>
      <c r="T123" s="722" t="str">
        <f t="shared" si="15"/>
        <v/>
      </c>
    </row>
    <row r="124" spans="1:20" ht="12.75" hidden="1" customHeight="1" x14ac:dyDescent="0.2">
      <c r="B124" s="713" t="str">
        <f>IF(PlanI!B28="","-",PlanI!B28)</f>
        <v>VK Feldfutter - Heu</v>
      </c>
      <c r="C124" s="727" t="s">
        <v>377</v>
      </c>
      <c r="D124" s="720">
        <f>IF('[1]E-Plan I'!$I28="","",'[1]E-Plan I'!$I28)</f>
        <v>66.727999999999994</v>
      </c>
      <c r="E124" s="715"/>
      <c r="F124" s="721">
        <f>IF(OR(PlanI!$C28="",PlanI!H28=""),"-",PlanI!$C28*PlanI!H28)</f>
        <v>66.727999999999994</v>
      </c>
      <c r="H124" s="722">
        <f>IF(PlanI!$I28="","",PlanI!$I28)</f>
        <v>66.727999999999994</v>
      </c>
      <c r="I124" s="717" t="str">
        <f t="shared" si="22"/>
        <v>Richtig!</v>
      </c>
      <c r="J124" s="718" t="str">
        <f t="shared" si="23"/>
        <v>-</v>
      </c>
      <c r="K124" s="711" t="str">
        <f t="shared" si="14"/>
        <v/>
      </c>
      <c r="L124" s="712" t="str">
        <f t="shared" si="21"/>
        <v/>
      </c>
      <c r="N124" s="719"/>
      <c r="P124" s="720">
        <f t="shared" si="15"/>
        <v>66.727999999999994</v>
      </c>
      <c r="Q124" s="715"/>
      <c r="R124" s="721">
        <f t="shared" si="15"/>
        <v>66.727999999999994</v>
      </c>
      <c r="T124" s="722">
        <f t="shared" si="15"/>
        <v>66.727999999999994</v>
      </c>
    </row>
    <row r="125" spans="1:20" ht="12.75" x14ac:dyDescent="0.2">
      <c r="B125" s="713" t="str">
        <f>IF(PlanI!B29="","-",PlanI!B29)</f>
        <v>VK Dauergrünland 3-schnittig</v>
      </c>
      <c r="C125" s="727" t="s">
        <v>377</v>
      </c>
      <c r="D125" s="720">
        <f>IF('[1]E-Plan I'!$I29="","",'[1]E-Plan I'!$I29)</f>
        <v>519.84</v>
      </c>
      <c r="E125" s="715"/>
      <c r="F125" s="721">
        <f>IF(OR(PlanI!$C29="",PlanI!H29=""),"-",PlanI!$C29*PlanI!H29)</f>
        <v>519.84</v>
      </c>
      <c r="H125" s="722">
        <f>IF(PlanI!$I29="","",PlanI!$I29)</f>
        <v>519.84</v>
      </c>
      <c r="I125" s="717" t="str">
        <f t="shared" si="22"/>
        <v>Richtig!</v>
      </c>
      <c r="J125" s="718">
        <f t="shared" si="23"/>
        <v>1</v>
      </c>
      <c r="K125" s="711" t="str">
        <f t="shared" si="14"/>
        <v>│</v>
      </c>
      <c r="L125" s="712">
        <f t="shared" si="21"/>
        <v>1</v>
      </c>
      <c r="N125" s="719" t="str">
        <f>IF($L$1="","",$L$1)</f>
        <v>x</v>
      </c>
      <c r="P125" s="720">
        <f t="shared" si="15"/>
        <v>519.84</v>
      </c>
      <c r="Q125" s="715"/>
      <c r="R125" s="721">
        <f t="shared" si="15"/>
        <v>519.84</v>
      </c>
      <c r="T125" s="722">
        <f t="shared" si="15"/>
        <v>519.84</v>
      </c>
    </row>
    <row r="126" spans="1:20" ht="12.75" hidden="1" customHeight="1" x14ac:dyDescent="0.2">
      <c r="B126" s="713" t="str">
        <f>IF(PlanI!B30="","-",PlanI!B30)</f>
        <v>VK Dauergrünland 1-schnittig</v>
      </c>
      <c r="C126" s="727" t="s">
        <v>377</v>
      </c>
      <c r="D126" s="720">
        <f>IF('[1]E-Plan I'!$I30="","",'[1]E-Plan I'!$I30)</f>
        <v>43.699999999999989</v>
      </c>
      <c r="E126" s="715"/>
      <c r="F126" s="721">
        <f>IF(OR(PlanI!$C30="",PlanI!H30=""),"-",PlanI!$C30*PlanI!H30)</f>
        <v>43.699999999999989</v>
      </c>
      <c r="H126" s="722">
        <f>IF(PlanI!$I30="","",PlanI!$I30)</f>
        <v>43.699999999999989</v>
      </c>
      <c r="I126" s="717" t="str">
        <f t="shared" si="22"/>
        <v>Richtig!</v>
      </c>
      <c r="J126" s="718" t="str">
        <f t="shared" si="23"/>
        <v>-</v>
      </c>
      <c r="K126" s="711" t="str">
        <f t="shared" si="14"/>
        <v/>
      </c>
      <c r="L126" s="712" t="str">
        <f t="shared" si="21"/>
        <v/>
      </c>
      <c r="N126" s="719"/>
      <c r="P126" s="720">
        <f t="shared" si="15"/>
        <v>43.7</v>
      </c>
      <c r="Q126" s="715"/>
      <c r="R126" s="721">
        <f t="shared" si="15"/>
        <v>43.7</v>
      </c>
      <c r="T126" s="722">
        <f t="shared" si="15"/>
        <v>43.7</v>
      </c>
    </row>
    <row r="127" spans="1:20" ht="12.75" hidden="1" customHeight="1" x14ac:dyDescent="0.2">
      <c r="B127" s="713" t="str">
        <f>IF(PlanI!B31="","-",PlanI!B31)</f>
        <v>-</v>
      </c>
      <c r="C127" s="727" t="s">
        <v>377</v>
      </c>
      <c r="D127" s="720" t="str">
        <f>IF('[1]E-Plan I'!$I31="","",'[1]E-Plan I'!$I31)</f>
        <v/>
      </c>
      <c r="E127" s="715"/>
      <c r="F127" s="721" t="str">
        <f>IF(OR(PlanI!$C31="",PlanI!H31=""),"-",PlanI!$C31*PlanI!H31)</f>
        <v>-</v>
      </c>
      <c r="H127" s="722" t="str">
        <f>IF(PlanI!$I31="","",PlanI!$I31)</f>
        <v/>
      </c>
      <c r="I127" s="717" t="str">
        <f t="shared" si="22"/>
        <v/>
      </c>
      <c r="J127" s="718" t="str">
        <f t="shared" si="23"/>
        <v>-</v>
      </c>
      <c r="K127" s="711" t="str">
        <f t="shared" si="14"/>
        <v/>
      </c>
      <c r="L127" s="712" t="str">
        <f t="shared" si="21"/>
        <v/>
      </c>
      <c r="N127" s="719"/>
      <c r="P127" s="720" t="str">
        <f t="shared" si="15"/>
        <v/>
      </c>
      <c r="Q127" s="715"/>
      <c r="R127" s="721" t="str">
        <f t="shared" si="15"/>
        <v>-</v>
      </c>
      <c r="T127" s="722" t="str">
        <f t="shared" si="15"/>
        <v/>
      </c>
    </row>
    <row r="128" spans="1:20" ht="12.75" hidden="1" customHeight="1" x14ac:dyDescent="0.2">
      <c r="B128" s="713" t="str">
        <f>IF(PlanI!B32="","-",PlanI!B32)</f>
        <v>-</v>
      </c>
      <c r="C128" s="727" t="s">
        <v>377</v>
      </c>
      <c r="D128" s="720" t="str">
        <f>IF('[1]E-Plan I'!$I32="","",'[1]E-Plan I'!$I32)</f>
        <v/>
      </c>
      <c r="E128" s="715"/>
      <c r="F128" s="721" t="str">
        <f>IF(OR(PlanI!$C32="",PlanI!H32=""),"-",PlanI!$C32*PlanI!H32)</f>
        <v>-</v>
      </c>
      <c r="H128" s="722" t="str">
        <f>IF(PlanI!$I32="","",PlanI!$I32)</f>
        <v/>
      </c>
      <c r="I128" s="717" t="str">
        <f t="shared" si="22"/>
        <v/>
      </c>
      <c r="J128" s="718" t="str">
        <f t="shared" si="23"/>
        <v>-</v>
      </c>
      <c r="K128" s="711" t="str">
        <f t="shared" si="14"/>
        <v/>
      </c>
      <c r="L128" s="712" t="str">
        <f t="shared" si="21"/>
        <v/>
      </c>
      <c r="N128" s="719"/>
      <c r="P128" s="720" t="str">
        <f t="shared" si="15"/>
        <v/>
      </c>
      <c r="Q128" s="715"/>
      <c r="R128" s="721" t="str">
        <f t="shared" si="15"/>
        <v>-</v>
      </c>
      <c r="T128" s="722" t="str">
        <f t="shared" si="15"/>
        <v/>
      </c>
    </row>
    <row r="129" spans="1:20" ht="12.75" hidden="1" customHeight="1" x14ac:dyDescent="0.2">
      <c r="B129" s="713" t="str">
        <f>IF(PlanI!B33="","-",PlanI!B33)</f>
        <v>-</v>
      </c>
      <c r="C129" s="727" t="s">
        <v>377</v>
      </c>
      <c r="D129" s="720" t="str">
        <f>IF('[1]E-Plan I'!$I33="","",'[1]E-Plan I'!$I33)</f>
        <v/>
      </c>
      <c r="E129" s="715"/>
      <c r="F129" s="721" t="str">
        <f>IF(OR(PlanI!$C33="",PlanI!H33=""),"-",PlanI!$C33*PlanI!H33)</f>
        <v>-</v>
      </c>
      <c r="H129" s="722" t="str">
        <f>IF(PlanI!$I33="","",PlanI!$I33)</f>
        <v/>
      </c>
      <c r="I129" s="717" t="str">
        <f t="shared" si="22"/>
        <v/>
      </c>
      <c r="J129" s="718" t="str">
        <f t="shared" si="23"/>
        <v>-</v>
      </c>
      <c r="K129" s="711" t="str">
        <f t="shared" si="14"/>
        <v/>
      </c>
      <c r="L129" s="712" t="str">
        <f t="shared" si="21"/>
        <v/>
      </c>
      <c r="N129" s="719"/>
      <c r="P129" s="720" t="str">
        <f t="shared" si="15"/>
        <v/>
      </c>
      <c r="Q129" s="715"/>
      <c r="R129" s="721" t="str">
        <f t="shared" si="15"/>
        <v>-</v>
      </c>
      <c r="T129" s="722" t="str">
        <f t="shared" si="15"/>
        <v/>
      </c>
    </row>
    <row r="130" spans="1:20" ht="12.75" hidden="1" customHeight="1" x14ac:dyDescent="0.2">
      <c r="B130" s="713" t="str">
        <f>IF(PlanI!B34="","-",PlanI!B34)</f>
        <v xml:space="preserve"> Sonstige Arbeiten</v>
      </c>
      <c r="C130" s="727" t="s">
        <v>377</v>
      </c>
      <c r="D130" s="720">
        <f>IF('[1]E-Plan I'!$I34="","",'[1]E-Plan I'!$I34)</f>
        <v>411.82499999999999</v>
      </c>
      <c r="E130" s="715"/>
      <c r="F130" s="721">
        <f>IF(OR(PlanI!$C34="",PlanI!H34=""),"-",PlanI!$C34*PlanI!H34)</f>
        <v>411.82499999999999</v>
      </c>
      <c r="H130" s="722">
        <f>IF(PlanI!$I34="","",PlanI!$I34)</f>
        <v>411.82499999999999</v>
      </c>
      <c r="I130" s="717" t="str">
        <f t="shared" si="22"/>
        <v>Richtig!</v>
      </c>
      <c r="J130" s="718" t="str">
        <f t="shared" si="23"/>
        <v>-</v>
      </c>
      <c r="K130" s="711" t="str">
        <f t="shared" si="14"/>
        <v/>
      </c>
      <c r="L130" s="712" t="str">
        <f t="shared" si="21"/>
        <v/>
      </c>
      <c r="N130" s="719"/>
      <c r="P130" s="720">
        <f t="shared" si="15"/>
        <v>411.82499999999999</v>
      </c>
      <c r="Q130" s="715"/>
      <c r="R130" s="721">
        <f t="shared" si="15"/>
        <v>411.82499999999999</v>
      </c>
      <c r="T130" s="722">
        <f t="shared" si="15"/>
        <v>411.82499999999999</v>
      </c>
    </row>
    <row r="131" spans="1:20" ht="12.75" x14ac:dyDescent="0.2">
      <c r="B131" s="713" t="str">
        <f>IF(PlanI!H38="","-",PlanI!H38)</f>
        <v>Gesamt
Akh</v>
      </c>
      <c r="C131" s="727" t="s">
        <v>377</v>
      </c>
      <c r="D131" s="720">
        <f>IF('[1]E-Plan I'!$I38="","",'[1]E-Plan I'!I$38)</f>
        <v>2114.9280000000003</v>
      </c>
      <c r="E131" s="715"/>
      <c r="F131" s="721">
        <f>IF(AND(H117="",H118="",H119="",H120="",H121="",H122="",H123="",H124="",H125="",H126="",H127="",H128="",H129="",H130=""),"-",SUM(H117:H130))</f>
        <v>2114.9280000000003</v>
      </c>
      <c r="H131" s="722">
        <f>IF(PlanI!$I38="","",PlanI!I$38)</f>
        <v>2114.9280000000003</v>
      </c>
      <c r="I131" s="717" t="str">
        <f t="shared" si="22"/>
        <v>Richtig!</v>
      </c>
      <c r="J131" s="718">
        <f t="shared" si="23"/>
        <v>1</v>
      </c>
      <c r="K131" s="711" t="str">
        <f t="shared" si="14"/>
        <v>│</v>
      </c>
      <c r="L131" s="712">
        <f t="shared" si="21"/>
        <v>1</v>
      </c>
      <c r="N131" s="719" t="str">
        <f t="shared" ref="N131:N151" si="24">IF($L$1="","",$L$1)</f>
        <v>x</v>
      </c>
      <c r="P131" s="720">
        <f t="shared" si="15"/>
        <v>2114.9279999999999</v>
      </c>
      <c r="Q131" s="715"/>
      <c r="R131" s="721">
        <f t="shared" si="15"/>
        <v>2114.9279999999999</v>
      </c>
      <c r="T131" s="722">
        <f t="shared" si="15"/>
        <v>2114.9279999999999</v>
      </c>
    </row>
    <row r="132" spans="1:20" ht="12.75" customHeight="1" x14ac:dyDescent="0.2">
      <c r="A132" s="707"/>
      <c r="C132" s="727"/>
      <c r="D132" s="723"/>
      <c r="E132" s="715"/>
      <c r="F132" s="715"/>
      <c r="H132" s="724"/>
      <c r="I132" s="717"/>
      <c r="J132" s="717"/>
      <c r="K132" s="711" t="str">
        <f t="shared" si="14"/>
        <v/>
      </c>
      <c r="L132" s="712" t="str">
        <f t="shared" si="21"/>
        <v/>
      </c>
      <c r="N132" s="725" t="str">
        <f t="shared" si="24"/>
        <v>x</v>
      </c>
      <c r="P132" s="723" t="str">
        <f t="shared" si="15"/>
        <v/>
      </c>
      <c r="Q132" s="715"/>
      <c r="R132" s="715" t="str">
        <f t="shared" si="15"/>
        <v/>
      </c>
      <c r="T132" s="724" t="str">
        <f t="shared" si="15"/>
        <v/>
      </c>
    </row>
    <row r="133" spans="1:20" ht="12.75" customHeight="1" x14ac:dyDescent="0.2">
      <c r="A133" s="706" t="s">
        <v>375</v>
      </c>
      <c r="B133" s="726" t="s">
        <v>378</v>
      </c>
      <c r="C133" s="727"/>
      <c r="D133" s="708"/>
      <c r="H133" s="709"/>
      <c r="I133" s="710"/>
      <c r="J133" s="710"/>
      <c r="K133" s="711" t="str">
        <f t="shared" si="14"/>
        <v/>
      </c>
      <c r="L133" s="712" t="str">
        <f t="shared" si="21"/>
        <v/>
      </c>
      <c r="N133" s="695" t="str">
        <f t="shared" si="24"/>
        <v>x</v>
      </c>
      <c r="P133" s="708" t="str">
        <f t="shared" si="15"/>
        <v/>
      </c>
      <c r="R133" s="1" t="str">
        <f t="shared" si="15"/>
        <v/>
      </c>
      <c r="T133" s="709" t="str">
        <f t="shared" si="15"/>
        <v/>
      </c>
    </row>
    <row r="134" spans="1:20" ht="12.75" x14ac:dyDescent="0.2">
      <c r="B134" s="713" t="str">
        <f>IF(PlanI!B41="","-",PlanI!B41)</f>
        <v>Summe Sonstige Erträge</v>
      </c>
      <c r="C134" s="727" t="s">
        <v>377</v>
      </c>
      <c r="D134" s="714">
        <f>IF('[1]E-Plan I'!$E41="","",'[1]E-Plan I'!$E41)</f>
        <v>1200</v>
      </c>
      <c r="E134" s="715"/>
      <c r="H134" s="716">
        <f>IF(PlanI!$E41="","",PlanI!$E41)</f>
        <v>1200</v>
      </c>
      <c r="I134" s="717" t="str">
        <f>IF(AND(P134="",T134=""),"",IF(P134=T134,"Richtig!",IF(T134="","Fehlt","Falsch")))</f>
        <v>Richtig!</v>
      </c>
      <c r="J134" s="718">
        <f>IF(OR(B134="-",N134="",AND(P134="",T134="")),"-",IF(I134="Richtig!",1,IF(I134="Formel: OK",0.5,IF(OR(I134="Falsch",I134="Fehlt"),0,""))))</f>
        <v>1</v>
      </c>
      <c r="K134" s="711" t="str">
        <f t="shared" si="14"/>
        <v>│</v>
      </c>
      <c r="L134" s="712">
        <f t="shared" si="21"/>
        <v>1</v>
      </c>
      <c r="N134" s="719" t="str">
        <f t="shared" si="24"/>
        <v>x</v>
      </c>
      <c r="P134" s="714">
        <f t="shared" si="15"/>
        <v>1200</v>
      </c>
      <c r="Q134" s="715"/>
      <c r="R134" s="1" t="str">
        <f t="shared" si="15"/>
        <v/>
      </c>
      <c r="T134" s="716">
        <f t="shared" si="15"/>
        <v>1200</v>
      </c>
    </row>
    <row r="135" spans="1:20" ht="12.75" x14ac:dyDescent="0.2">
      <c r="B135" s="713" t="str">
        <f>IF(PlanI!B50="","-",PlanI!B50)</f>
        <v>SUMME FÖRDERUNGEN</v>
      </c>
      <c r="C135" s="727" t="s">
        <v>377</v>
      </c>
      <c r="D135" s="714">
        <f>IF('[1]E-Plan I'!$E50="","",'[1]E-Plan I'!$E50)</f>
        <v>9328.5</v>
      </c>
      <c r="E135" s="715"/>
      <c r="H135" s="716">
        <f>IF(PlanI!$E50="","",PlanI!$E50)</f>
        <v>9328.5</v>
      </c>
      <c r="I135" s="717" t="str">
        <f>IF(AND(P135="",T135=""),"",IF(P135=T135,"Richtig!",IF(T135="","Fehlt","Falsch")))</f>
        <v>Richtig!</v>
      </c>
      <c r="J135" s="718">
        <f>IF(OR(B135="-",N135="",AND(P135="",T135="")),"-",IF(I135="Richtig!",1,IF(I135="Formel: OK",0.5,IF(OR(I135="Falsch",I135="Fehlt"),0,""))))</f>
        <v>1</v>
      </c>
      <c r="K135" s="711" t="str">
        <f t="shared" si="14"/>
        <v>│</v>
      </c>
      <c r="L135" s="712">
        <f t="shared" si="21"/>
        <v>1</v>
      </c>
      <c r="N135" s="719" t="str">
        <f t="shared" si="24"/>
        <v>x</v>
      </c>
      <c r="P135" s="714">
        <f t="shared" si="15"/>
        <v>9328.5</v>
      </c>
      <c r="Q135" s="715"/>
      <c r="R135" s="1" t="str">
        <f t="shared" si="15"/>
        <v/>
      </c>
      <c r="T135" s="716">
        <f t="shared" si="15"/>
        <v>9328.5</v>
      </c>
    </row>
    <row r="136" spans="1:20" ht="12.75" x14ac:dyDescent="0.2">
      <c r="B136" s="713" t="str">
        <f>IF(PlanI!B52="","-",PlanI!B52)</f>
        <v>GDB einschl. Förd. und sonst. Erträge</v>
      </c>
      <c r="C136" s="727" t="s">
        <v>377</v>
      </c>
      <c r="D136" s="720">
        <f>IF('[1]E-Plan I'!$E52="","",'[1]E-Plan I'!$E52)</f>
        <v>27291.069</v>
      </c>
      <c r="E136" s="715"/>
      <c r="F136" s="721">
        <f>IF(AND(H97="",H134="",H135=""),"-",SUM(H97,H134,H135))</f>
        <v>27291.069</v>
      </c>
      <c r="H136" s="722">
        <f>IF(PlanI!$E52="","",PlanI!$E52)</f>
        <v>27291.069</v>
      </c>
      <c r="I136" s="717" t="str">
        <f>IF(B136="-","",IF(P136=T136,"Richtig!",IF(AND(P136&lt;&gt;T136,R136=T136),"Formel: OK",IF(T136="","Fehlt","Falsch"))))</f>
        <v>Richtig!</v>
      </c>
      <c r="J136" s="718">
        <f>IF(OR(B136="-",N136="",AND(P136="",T136="")),"-",IF(I136="Richtig!",1,IF(I136="Formel: OK",0.5,IF(OR(I136="Falsch",I136="Fehlt"),0,""))))</f>
        <v>1</v>
      </c>
      <c r="K136" s="711" t="str">
        <f t="shared" si="14"/>
        <v>│</v>
      </c>
      <c r="L136" s="712">
        <f t="shared" ref="L136:L147" si="25">IF(OR(B136="-",N136="",AND(P136="",T136="")),"",1)</f>
        <v>1</v>
      </c>
      <c r="N136" s="719" t="str">
        <f t="shared" si="24"/>
        <v>x</v>
      </c>
      <c r="P136" s="720">
        <f t="shared" si="15"/>
        <v>27291.069</v>
      </c>
      <c r="Q136" s="715"/>
      <c r="R136" s="721">
        <f t="shared" si="15"/>
        <v>27291.069</v>
      </c>
      <c r="T136" s="722">
        <f t="shared" si="15"/>
        <v>27291.069</v>
      </c>
    </row>
    <row r="137" spans="1:20" ht="12.75" customHeight="1" x14ac:dyDescent="0.2">
      <c r="A137" s="707"/>
      <c r="C137" s="727"/>
      <c r="D137" s="723"/>
      <c r="E137" s="715"/>
      <c r="F137" s="715"/>
      <c r="H137" s="724"/>
      <c r="I137" s="717"/>
      <c r="J137" s="717"/>
      <c r="K137" s="711" t="str">
        <f t="shared" si="14"/>
        <v/>
      </c>
      <c r="L137" s="712" t="str">
        <f t="shared" si="25"/>
        <v/>
      </c>
      <c r="N137" s="725" t="str">
        <f t="shared" si="24"/>
        <v>x</v>
      </c>
      <c r="P137" s="723" t="str">
        <f t="shared" si="15"/>
        <v/>
      </c>
      <c r="Q137" s="715"/>
      <c r="R137" s="715" t="str">
        <f t="shared" si="15"/>
        <v/>
      </c>
      <c r="T137" s="724" t="str">
        <f t="shared" si="15"/>
        <v/>
      </c>
    </row>
    <row r="138" spans="1:20" ht="12.75" customHeight="1" x14ac:dyDescent="0.2">
      <c r="A138" s="706" t="s">
        <v>379</v>
      </c>
      <c r="B138" s="726" t="s">
        <v>374</v>
      </c>
      <c r="C138" s="727"/>
      <c r="D138" s="708"/>
      <c r="H138" s="709"/>
      <c r="I138" s="710"/>
      <c r="J138" s="710"/>
      <c r="K138" s="711" t="str">
        <f t="shared" ref="K138:K147" si="26">IF(L138="","","│")</f>
        <v/>
      </c>
      <c r="L138" s="712" t="str">
        <f t="shared" si="25"/>
        <v/>
      </c>
      <c r="N138" s="695" t="str">
        <f t="shared" si="24"/>
        <v>x</v>
      </c>
      <c r="P138" s="708" t="str">
        <f t="shared" si="15"/>
        <v/>
      </c>
      <c r="R138" s="1" t="str">
        <f t="shared" si="15"/>
        <v/>
      </c>
      <c r="T138" s="709" t="str">
        <f t="shared" si="15"/>
        <v/>
      </c>
    </row>
    <row r="139" spans="1:20" ht="12.75" x14ac:dyDescent="0.2">
      <c r="B139" s="713" t="str">
        <f>IF(PlanI!B56="","-",PlanI!B56)</f>
        <v>Landwirtschaftliches Einkommen ohne Förderungen</v>
      </c>
      <c r="C139" s="727" t="s">
        <v>377</v>
      </c>
      <c r="D139" s="720">
        <f>IF('[1]E-Plan I'!$E56="","",'[1]E-Plan I'!$E56)</f>
        <v>-4324.1236230090399</v>
      </c>
      <c r="E139" s="715"/>
      <c r="F139" s="721">
        <f>IF(AND(H97="",H134=""),"-",SUM(H97,H134,PlanI!E53:E55))</f>
        <v>-4324.1236230090399</v>
      </c>
      <c r="H139" s="722">
        <f>IF(PlanI!$E56="","",PlanI!$E56)</f>
        <v>-4324.1236230090399</v>
      </c>
      <c r="I139" s="717" t="str">
        <f>IF(B139="-","",IF(P139=T139,"Richtig!",IF(AND(P139&lt;&gt;T139,R139=T139),"Formel: OK",IF(T139="","Fehlt","Falsch"))))</f>
        <v>Richtig!</v>
      </c>
      <c r="J139" s="718">
        <f>IF(OR(B139="-",N139="",AND(P139="",T139="")),"-",IF(I139="Richtig!",1,IF(I139="Formel: OK",0.5,IF(OR(I139="Falsch",I139="Fehlt"),0,""))))</f>
        <v>1</v>
      </c>
      <c r="K139" s="711" t="str">
        <f t="shared" si="26"/>
        <v>│</v>
      </c>
      <c r="L139" s="712">
        <f t="shared" si="25"/>
        <v>1</v>
      </c>
      <c r="N139" s="719" t="str">
        <f t="shared" si="24"/>
        <v>x</v>
      </c>
      <c r="P139" s="720">
        <f t="shared" ref="P139:T202" si="27">IF(ISTEXT(D139),D139,IF(D139="","",ROUND(D139,$R$1)))</f>
        <v>-4324.1236200000003</v>
      </c>
      <c r="Q139" s="715"/>
      <c r="R139" s="721">
        <f t="shared" si="27"/>
        <v>-4324.1236200000003</v>
      </c>
      <c r="T139" s="722">
        <f t="shared" si="27"/>
        <v>-4324.1236200000003</v>
      </c>
    </row>
    <row r="140" spans="1:20" ht="12.75" x14ac:dyDescent="0.2">
      <c r="B140" s="713" t="str">
        <f>IF(PlanI!B57="","-",PlanI!B57)</f>
        <v>LANDWIRTSCHAFTLICHES EINKOMMEN - Gesamt</v>
      </c>
      <c r="C140" s="727" t="s">
        <v>377</v>
      </c>
      <c r="D140" s="720">
        <f>IF('[1]E-Plan I'!$E57="","",'[1]E-Plan I'!$E57)</f>
        <v>5004.3763769909601</v>
      </c>
      <c r="E140" s="715"/>
      <c r="F140" s="721">
        <f>IF(H136="","-",SUM(H136,PlanI!E53:E55))</f>
        <v>5004.3763769909601</v>
      </c>
      <c r="H140" s="722">
        <f>IF(PlanI!$E57="","",PlanI!$E57)</f>
        <v>5004.3763769909601</v>
      </c>
      <c r="I140" s="717" t="str">
        <f>IF(B140="-","",IF(P140=T140,"Richtig!",IF(AND(P140&lt;&gt;T140,R140=T140),"Formel: OK",IF(T140="","Fehlt","Falsch"))))</f>
        <v>Richtig!</v>
      </c>
      <c r="J140" s="718">
        <f>IF(OR(B140="-",N140="",AND(P140="",T140="")),"-",IF(I140="Richtig!",1,IF(I140="Formel: OK",0.5,IF(OR(I140="Falsch",I140="Fehlt"),0,""))))</f>
        <v>1</v>
      </c>
      <c r="K140" s="711" t="str">
        <f t="shared" si="26"/>
        <v>│</v>
      </c>
      <c r="L140" s="712">
        <f t="shared" si="25"/>
        <v>1</v>
      </c>
      <c r="N140" s="719" t="str">
        <f t="shared" si="24"/>
        <v>x</v>
      </c>
      <c r="P140" s="720">
        <f t="shared" si="27"/>
        <v>5004.3763799999997</v>
      </c>
      <c r="Q140" s="715"/>
      <c r="R140" s="721">
        <f t="shared" si="27"/>
        <v>5004.3763799999997</v>
      </c>
      <c r="T140" s="722">
        <f t="shared" si="27"/>
        <v>5004.3763799999997</v>
      </c>
    </row>
    <row r="141" spans="1:20" ht="12.75" x14ac:dyDescent="0.2">
      <c r="B141" s="713" t="str">
        <f>IF(PlanI!B58="","-",PlanI!B58)</f>
        <v>LANDWIRTSCHAFTLICHES EINKOMMEN - EK/Akh</v>
      </c>
      <c r="C141" s="727" t="s">
        <v>377</v>
      </c>
      <c r="D141" s="720">
        <f>IF('[1]E-Plan I'!$E58="","",'[1]E-Plan I'!$E58)</f>
        <v>2.3662159548651109</v>
      </c>
      <c r="E141" s="715"/>
      <c r="F141" s="721">
        <f>IF(OR(H140="",H131="",H131=0),"-",H140/H131)</f>
        <v>2.3662159548651109</v>
      </c>
      <c r="H141" s="722">
        <f>IF(PlanI!$E58="","",PlanI!$E58)</f>
        <v>2.3662159548651109</v>
      </c>
      <c r="I141" s="717" t="str">
        <f>IF(B141="-","",IF(P141=T141,"Richtig!",IF(AND(P141&lt;&gt;T141,R141=T141),"Formel: OK",IF(T141="","Fehlt","Falsch"))))</f>
        <v>Richtig!</v>
      </c>
      <c r="J141" s="718">
        <f>IF(OR(B141="-",N141="",AND(P141="",T141="")),"-",IF(I141="Richtig!",1,IF(I141="Formel: OK",0.5,IF(OR(I141="Falsch",I141="Fehlt"),0,""))))</f>
        <v>1</v>
      </c>
      <c r="K141" s="711" t="str">
        <f t="shared" si="26"/>
        <v>│</v>
      </c>
      <c r="L141" s="712">
        <f t="shared" si="25"/>
        <v>1</v>
      </c>
      <c r="N141" s="719" t="str">
        <f t="shared" si="24"/>
        <v>x</v>
      </c>
      <c r="P141" s="720">
        <f t="shared" si="27"/>
        <v>2.3662200000000002</v>
      </c>
      <c r="Q141" s="715"/>
      <c r="R141" s="721">
        <f t="shared" si="27"/>
        <v>2.3662200000000002</v>
      </c>
      <c r="T141" s="722">
        <f t="shared" si="27"/>
        <v>2.3662200000000002</v>
      </c>
    </row>
    <row r="142" spans="1:20" ht="12.75" x14ac:dyDescent="0.2">
      <c r="B142" s="713" t="str">
        <f>IF(PlanI!B61="","-",PlanI!B61)</f>
        <v>GESAMTEINKOMMEN</v>
      </c>
      <c r="C142" s="727" t="s">
        <v>377</v>
      </c>
      <c r="D142" s="720">
        <f>IF('[1]E-Plan I'!$E61="","",'[1]E-Plan I'!$E61)</f>
        <v>37764.376376990956</v>
      </c>
      <c r="E142" s="715"/>
      <c r="F142" s="721">
        <f>IF(H140="","-",SUM(H140,PlanI!E59:E60))</f>
        <v>37764.376376990956</v>
      </c>
      <c r="H142" s="722">
        <f>IF(PlanI!$E61="","",PlanI!$E61)</f>
        <v>37764.376376990956</v>
      </c>
      <c r="I142" s="717" t="str">
        <f>IF(B142="-","",IF(P142=T142,"Richtig!",IF(AND(P142&lt;&gt;T142,R142=T142),"Formel: OK",IF(T142="","Fehlt","Falsch"))))</f>
        <v>Richtig!</v>
      </c>
      <c r="J142" s="718">
        <f>IF(OR(B142="-",N142="",AND(P142="",T142="")),"-",IF(I142="Richtig!",1,IF(I142="Formel: OK",0.5,IF(OR(I142="Falsch",I142="Fehlt"),0,""))))</f>
        <v>1</v>
      </c>
      <c r="K142" s="711" t="str">
        <f t="shared" si="26"/>
        <v>│</v>
      </c>
      <c r="L142" s="712">
        <f t="shared" si="25"/>
        <v>1</v>
      </c>
      <c r="N142" s="719" t="str">
        <f t="shared" si="24"/>
        <v>x</v>
      </c>
      <c r="P142" s="720">
        <f t="shared" si="27"/>
        <v>37764.376380000002</v>
      </c>
      <c r="Q142" s="715"/>
      <c r="R142" s="721">
        <f t="shared" si="27"/>
        <v>37764.376380000002</v>
      </c>
      <c r="T142" s="722">
        <f t="shared" si="27"/>
        <v>37764.376380000002</v>
      </c>
    </row>
    <row r="143" spans="1:20" ht="12.75" customHeight="1" x14ac:dyDescent="0.2">
      <c r="A143" s="707"/>
      <c r="C143" s="727"/>
      <c r="D143" s="723"/>
      <c r="E143" s="715"/>
      <c r="F143" s="715"/>
      <c r="H143" s="724"/>
      <c r="I143" s="717"/>
      <c r="J143" s="717"/>
      <c r="K143" s="711" t="str">
        <f t="shared" si="26"/>
        <v/>
      </c>
      <c r="L143" s="712" t="str">
        <f t="shared" si="25"/>
        <v/>
      </c>
      <c r="N143" s="725" t="str">
        <f t="shared" si="24"/>
        <v>x</v>
      </c>
      <c r="P143" s="723" t="str">
        <f t="shared" si="27"/>
        <v/>
      </c>
      <c r="Q143" s="715"/>
      <c r="R143" s="715" t="str">
        <f t="shared" si="27"/>
        <v/>
      </c>
      <c r="T143" s="724" t="str">
        <f t="shared" si="27"/>
        <v/>
      </c>
    </row>
    <row r="144" spans="1:20" ht="12.75" customHeight="1" x14ac:dyDescent="0.2">
      <c r="A144" s="706" t="s">
        <v>380</v>
      </c>
      <c r="B144" s="726" t="str">
        <f>PlanI!F43</f>
        <v>Kapitaldienstgrenze</v>
      </c>
      <c r="C144" s="727"/>
      <c r="D144" s="708"/>
      <c r="H144" s="709"/>
      <c r="I144" s="710"/>
      <c r="J144" s="710"/>
      <c r="K144" s="711" t="str">
        <f t="shared" si="26"/>
        <v/>
      </c>
      <c r="L144" s="712" t="str">
        <f t="shared" si="25"/>
        <v/>
      </c>
      <c r="N144" s="695" t="str">
        <f t="shared" si="24"/>
        <v>x</v>
      </c>
      <c r="P144" s="708" t="str">
        <f t="shared" si="27"/>
        <v/>
      </c>
      <c r="R144" s="1" t="str">
        <f t="shared" si="27"/>
        <v/>
      </c>
      <c r="T144" s="709" t="str">
        <f t="shared" si="27"/>
        <v/>
      </c>
    </row>
    <row r="145" spans="1:20" ht="12.75" x14ac:dyDescent="0.2">
      <c r="B145" s="713" t="str">
        <f>IF(PlanI!F46="","-",PlanI!F46)</f>
        <v>Kapitaldienstgrenze bei PLAN-Variante</v>
      </c>
      <c r="C145" s="727" t="s">
        <v>377</v>
      </c>
      <c r="D145" s="720">
        <f>IF('[1]E-Plan I'!$I46="","",'[1]E-Plan I'!$I46)</f>
        <v>19536.579173225735</v>
      </c>
      <c r="E145" s="715"/>
      <c r="F145" s="721">
        <f>SUM(PlanI!I44:I45)</f>
        <v>19536.579173225735</v>
      </c>
      <c r="H145" s="722">
        <f>IF(PlanI!$I46="","",PlanI!$I46)</f>
        <v>19536.579173225735</v>
      </c>
      <c r="I145" s="717" t="str">
        <f>IF(B145="-","",IF(P145=T145,"Richtig!",IF(AND(P145&lt;&gt;T145,R145=T145),"Formel: OK",IF(T145="","Fehlt","Falsch"))))</f>
        <v>Richtig!</v>
      </c>
      <c r="J145" s="718">
        <f>IF(OR(B145="-",N145="",AND(P145="",T145="")),"-",IF(I145="Richtig!",1,IF(I145="Formel: OK",0.5,IF(OR(I145="Falsch",I145="Fehlt"),0,""))))</f>
        <v>1</v>
      </c>
      <c r="K145" s="711" t="str">
        <f t="shared" si="26"/>
        <v>│</v>
      </c>
      <c r="L145" s="712">
        <f t="shared" si="25"/>
        <v>1</v>
      </c>
      <c r="N145" s="719" t="str">
        <f t="shared" si="24"/>
        <v>x</v>
      </c>
      <c r="P145" s="720">
        <f t="shared" si="27"/>
        <v>19536.579170000001</v>
      </c>
      <c r="Q145" s="715"/>
      <c r="R145" s="721">
        <f t="shared" si="27"/>
        <v>19536.579170000001</v>
      </c>
      <c r="T145" s="722">
        <f t="shared" si="27"/>
        <v>19536.579170000001</v>
      </c>
    </row>
    <row r="146" spans="1:20" ht="12.75" x14ac:dyDescent="0.2">
      <c r="B146" s="713" t="str">
        <f>IF(PlanI!F49="","-",PlanI!F49)</f>
        <v>Davon Fremdkapital</v>
      </c>
      <c r="C146" s="727" t="s">
        <v>377</v>
      </c>
      <c r="D146" s="714">
        <f>IF('[1]E-Plan I'!$I49="","",'[1]E-Plan I'!$I49)</f>
        <v>118242</v>
      </c>
      <c r="E146" s="715"/>
      <c r="H146" s="716">
        <f>IF(PlanI!$I49="","",PlanI!$I49)</f>
        <v>118242</v>
      </c>
      <c r="I146" s="717" t="str">
        <f>IF(AND(P146="",T146=""),"",IF(P146=T146,"Richtig!",IF(T146="","Fehlt","Falsch")))</f>
        <v>Richtig!</v>
      </c>
      <c r="J146" s="718">
        <f>IF(OR(B146="-",N146="",AND(P146="",T146="")),"-",IF(I146="Richtig!",1,IF(I146="Formel: OK",0.5,IF(OR(I146="Falsch",I146="Fehlt"),0,""))))</f>
        <v>1</v>
      </c>
      <c r="K146" s="711" t="str">
        <f t="shared" si="26"/>
        <v>│</v>
      </c>
      <c r="L146" s="712">
        <f t="shared" si="25"/>
        <v>1</v>
      </c>
      <c r="N146" s="719" t="str">
        <f t="shared" si="24"/>
        <v>x</v>
      </c>
      <c r="P146" s="714">
        <f t="shared" si="27"/>
        <v>118242</v>
      </c>
      <c r="Q146" s="715"/>
      <c r="R146" s="1" t="str">
        <f t="shared" si="27"/>
        <v/>
      </c>
      <c r="T146" s="716">
        <f t="shared" si="27"/>
        <v>118242</v>
      </c>
    </row>
    <row r="147" spans="1:20" ht="12.75" customHeight="1" x14ac:dyDescent="0.2">
      <c r="A147" s="707"/>
      <c r="C147" s="707"/>
      <c r="D147" s="723"/>
      <c r="E147" s="715"/>
      <c r="F147" s="715"/>
      <c r="H147" s="724"/>
      <c r="I147" s="717"/>
      <c r="J147" s="717"/>
      <c r="K147" s="711" t="str">
        <f t="shared" si="26"/>
        <v/>
      </c>
      <c r="L147" s="712" t="str">
        <f t="shared" si="25"/>
        <v/>
      </c>
      <c r="N147" s="725" t="str">
        <f t="shared" si="24"/>
        <v>x</v>
      </c>
      <c r="P147" s="723" t="str">
        <f t="shared" si="27"/>
        <v/>
      </c>
      <c r="Q147" s="715"/>
      <c r="R147" s="715" t="str">
        <f t="shared" si="27"/>
        <v/>
      </c>
      <c r="T147" s="724" t="str">
        <f t="shared" si="27"/>
        <v/>
      </c>
    </row>
    <row r="148" spans="1:20" ht="22.5" x14ac:dyDescent="0.2">
      <c r="A148" s="698" t="str">
        <f>FinI!B1</f>
        <v>Berechnung der Kapitalkosten</v>
      </c>
      <c r="B148" s="699"/>
      <c r="C148" s="700"/>
      <c r="D148" s="701" t="s">
        <v>0</v>
      </c>
      <c r="E148" s="701"/>
      <c r="F148" s="702" t="s">
        <v>363</v>
      </c>
      <c r="G148" s="700"/>
      <c r="H148" s="702" t="s">
        <v>364</v>
      </c>
      <c r="I148" s="703" t="str">
        <f>"Fehler"</f>
        <v>Fehler</v>
      </c>
      <c r="J148" s="704" t="s">
        <v>365</v>
      </c>
      <c r="K148" s="704"/>
      <c r="L148" s="704"/>
      <c r="N148" s="705" t="str">
        <f t="shared" si="24"/>
        <v>x</v>
      </c>
      <c r="P148" s="701" t="str">
        <f t="shared" si="27"/>
        <v>Ergebnis</v>
      </c>
      <c r="Q148" s="701"/>
      <c r="R148" s="702" t="str">
        <f t="shared" si="27"/>
        <v>Formel-
prüfung</v>
      </c>
      <c r="S148" s="700"/>
      <c r="T148" s="702" t="str">
        <f t="shared" si="27"/>
        <v>Deine Be-rechnung</v>
      </c>
    </row>
    <row r="149" spans="1:20" ht="12.75" customHeight="1" x14ac:dyDescent="0.2">
      <c r="A149" s="706" t="s">
        <v>366</v>
      </c>
      <c r="B149" s="726" t="str">
        <f>IF(FinI!G5="","-",FinI!G5)</f>
        <v>Annuität</v>
      </c>
      <c r="C149" s="707"/>
      <c r="D149" s="708"/>
      <c r="H149" s="709"/>
      <c r="I149" s="710"/>
      <c r="J149" s="710"/>
      <c r="K149" s="711" t="str">
        <f t="shared" ref="K149:K165" si="28">IF(L149="","","│")</f>
        <v/>
      </c>
      <c r="L149" s="712" t="str">
        <f t="shared" ref="L149:L165" si="29">IF(OR(B149="-",N149="",AND(P149="",T149="")),"",1)</f>
        <v/>
      </c>
      <c r="N149" s="695" t="str">
        <f t="shared" si="24"/>
        <v>x</v>
      </c>
      <c r="P149" s="708" t="str">
        <f t="shared" si="27"/>
        <v/>
      </c>
      <c r="R149" s="1" t="str">
        <f t="shared" si="27"/>
        <v/>
      </c>
      <c r="T149" s="709" t="str">
        <f t="shared" si="27"/>
        <v/>
      </c>
    </row>
    <row r="150" spans="1:20" ht="12.75" x14ac:dyDescent="0.2">
      <c r="B150" s="713" t="str">
        <f>IF(FinI!B6="","-",FinI!B6)</f>
        <v>Eigenkapital</v>
      </c>
      <c r="C150" s="727" t="s">
        <v>381</v>
      </c>
      <c r="D150" s="714">
        <f>IF('[1]E-Fin I'!$G6="","",'[1]E-Fin I'!$G6)</f>
        <v>-3244.6783417847159</v>
      </c>
      <c r="E150" s="715"/>
      <c r="H150" s="716">
        <f>IF(FinI!$G6="","",FinI!$G6)</f>
        <v>-3244.6783417847159</v>
      </c>
      <c r="I150" s="717" t="str">
        <f>IF(AND(P150="",T150=""),"",IF(P150=T150,"Richtig!",IF(T150="","Fehlt","Falsch")))</f>
        <v>Richtig!</v>
      </c>
      <c r="J150" s="718">
        <f t="shared" ref="J150:J155" si="30">IF(OR(B150="-",N150="",AND(P150="",T150="")),"-",IF(I150="Richtig!",1,IF(I150="Formel: OK",0.5,IF(OR(I150="Falsch",I150="Fehlt"),0,""))))</f>
        <v>1</v>
      </c>
      <c r="K150" s="711" t="str">
        <f t="shared" si="28"/>
        <v>│</v>
      </c>
      <c r="L150" s="712">
        <f t="shared" si="29"/>
        <v>1</v>
      </c>
      <c r="N150" s="719" t="str">
        <f t="shared" si="24"/>
        <v>x</v>
      </c>
      <c r="P150" s="714">
        <f t="shared" si="27"/>
        <v>-3244.6783399999999</v>
      </c>
      <c r="Q150" s="715"/>
      <c r="R150" s="1" t="str">
        <f t="shared" si="27"/>
        <v/>
      </c>
      <c r="T150" s="716">
        <f t="shared" si="27"/>
        <v>-3244.6783399999999</v>
      </c>
    </row>
    <row r="151" spans="1:20" ht="12.75" x14ac:dyDescent="0.2">
      <c r="B151" s="713" t="str">
        <f>IF(FinI!B7="","-",FinI!B7)</f>
        <v>AIK-Kredit</v>
      </c>
      <c r="C151" s="727" t="s">
        <v>381</v>
      </c>
      <c r="D151" s="714">
        <f>IF('[1]E-Fin I'!$G7="","",'[1]E-Fin I'!$G7)</f>
        <v>-1337.0840678911609</v>
      </c>
      <c r="E151" s="715"/>
      <c r="H151" s="716">
        <f>IF(FinI!$G7="","",FinI!$G7)</f>
        <v>-1337.0840678911609</v>
      </c>
      <c r="I151" s="717" t="str">
        <f>IF(AND(P151="",T151=""),"",IF(P151=T151,"Richtig!",IF(T151="","Fehlt","Falsch")))</f>
        <v>Richtig!</v>
      </c>
      <c r="J151" s="718">
        <f t="shared" si="30"/>
        <v>1</v>
      </c>
      <c r="K151" s="711" t="str">
        <f t="shared" si="28"/>
        <v>│</v>
      </c>
      <c r="L151" s="712">
        <f t="shared" si="29"/>
        <v>1</v>
      </c>
      <c r="N151" s="719" t="str">
        <f t="shared" si="24"/>
        <v>x</v>
      </c>
      <c r="P151" s="714">
        <f t="shared" si="27"/>
        <v>-1337.0840700000001</v>
      </c>
      <c r="Q151" s="715"/>
      <c r="R151" s="1" t="str">
        <f t="shared" si="27"/>
        <v/>
      </c>
      <c r="T151" s="716">
        <f t="shared" si="27"/>
        <v>-1337.0840700000001</v>
      </c>
    </row>
    <row r="152" spans="1:20" ht="12.75" hidden="1" customHeight="1" x14ac:dyDescent="0.2">
      <c r="B152" s="713" t="str">
        <f>IF(FinI!B8="","-",FinI!B8)</f>
        <v>-</v>
      </c>
      <c r="C152" s="707"/>
      <c r="D152" s="714" t="str">
        <f>IF('[1]E-Fin I'!$G8="","",'[1]E-Fin I'!$G8)</f>
        <v/>
      </c>
      <c r="E152" s="715"/>
      <c r="H152" s="716" t="str">
        <f>IF(FinI!$G8="","",FinI!$G8)</f>
        <v/>
      </c>
      <c r="I152" s="717" t="str">
        <f>IF(AND(P152="",T152=""),"",IF(P152=T152,"Richtig!",IF(T152="","Fehlt","Falsch")))</f>
        <v/>
      </c>
      <c r="J152" s="718" t="str">
        <f t="shared" si="30"/>
        <v>-</v>
      </c>
      <c r="K152" s="711" t="str">
        <f t="shared" si="28"/>
        <v/>
      </c>
      <c r="L152" s="712" t="str">
        <f t="shared" si="29"/>
        <v/>
      </c>
      <c r="N152" s="719"/>
      <c r="P152" s="714" t="str">
        <f t="shared" si="27"/>
        <v/>
      </c>
      <c r="Q152" s="715"/>
      <c r="R152" s="1" t="str">
        <f t="shared" si="27"/>
        <v/>
      </c>
      <c r="T152" s="716" t="str">
        <f t="shared" si="27"/>
        <v/>
      </c>
    </row>
    <row r="153" spans="1:20" ht="12.75" hidden="1" customHeight="1" x14ac:dyDescent="0.2">
      <c r="B153" s="713" t="str">
        <f>IF(FinI!B9="","-",FinI!B9)</f>
        <v>-</v>
      </c>
      <c r="C153" s="707"/>
      <c r="D153" s="714" t="str">
        <f>IF('[1]E-Fin I'!$G9="","",'[1]E-Fin I'!$G9)</f>
        <v/>
      </c>
      <c r="E153" s="715"/>
      <c r="H153" s="716" t="str">
        <f>IF(FinI!$G9="","",FinI!$G9)</f>
        <v/>
      </c>
      <c r="I153" s="717" t="str">
        <f>IF(AND(P153="",T153=""),"",IF(P153=T153,"Richtig!",IF(T153="","Fehlt","Falsch")))</f>
        <v/>
      </c>
      <c r="J153" s="718" t="str">
        <f t="shared" si="30"/>
        <v>-</v>
      </c>
      <c r="K153" s="711" t="str">
        <f t="shared" si="28"/>
        <v/>
      </c>
      <c r="L153" s="712" t="str">
        <f t="shared" si="29"/>
        <v/>
      </c>
      <c r="N153" s="719"/>
      <c r="P153" s="714" t="str">
        <f t="shared" si="27"/>
        <v/>
      </c>
      <c r="Q153" s="715"/>
      <c r="R153" s="1" t="str">
        <f t="shared" si="27"/>
        <v/>
      </c>
      <c r="T153" s="716" t="str">
        <f t="shared" si="27"/>
        <v/>
      </c>
    </row>
    <row r="154" spans="1:20" ht="12.75" hidden="1" customHeight="1" x14ac:dyDescent="0.2">
      <c r="B154" s="713" t="str">
        <f>IF(FinI!B10="","-",FinI!B10)</f>
        <v>Bankdarlehen</v>
      </c>
      <c r="C154" s="707"/>
      <c r="D154" s="714">
        <f>IF('[1]E-Fin I'!$G10="","",'[1]E-Fin I'!$G10)</f>
        <v>-4101.3195618256796</v>
      </c>
      <c r="E154" s="715"/>
      <c r="H154" s="716">
        <f>IF(FinI!$G10="","",FinI!$G10)</f>
        <v>-4101.3195618256796</v>
      </c>
      <c r="I154" s="717" t="str">
        <f>IF(AND(P154="",T154=""),"",IF(P154=T154,"Richtig!",IF(T154="","Fehlt","Falsch")))</f>
        <v>Richtig!</v>
      </c>
      <c r="J154" s="718" t="str">
        <f t="shared" si="30"/>
        <v>-</v>
      </c>
      <c r="K154" s="711" t="str">
        <f t="shared" si="28"/>
        <v/>
      </c>
      <c r="L154" s="712" t="str">
        <f t="shared" si="29"/>
        <v/>
      </c>
      <c r="N154" s="719"/>
      <c r="P154" s="714">
        <f t="shared" si="27"/>
        <v>-4101.3195599999999</v>
      </c>
      <c r="Q154" s="715"/>
      <c r="R154" s="1" t="str">
        <f t="shared" si="27"/>
        <v/>
      </c>
      <c r="T154" s="716">
        <f t="shared" si="27"/>
        <v>-4101.3195599999999</v>
      </c>
    </row>
    <row r="155" spans="1:20" ht="12.75" x14ac:dyDescent="0.2">
      <c r="B155" s="713" t="str">
        <f>IF(FinI!B11="","-",FinI!B11)</f>
        <v>SUMME DER ANNUITÄTEN = KAPITALKOSTEN</v>
      </c>
      <c r="C155" s="727" t="s">
        <v>381</v>
      </c>
      <c r="D155" s="720">
        <f>IF('[1]E-Fin I'!$G11="","",'[1]E-Fin I'!$G11)</f>
        <v>-8683.0819715015568</v>
      </c>
      <c r="E155" s="715"/>
      <c r="F155" s="721">
        <f>IF(AND(H150="",H151="",H152="",H153="",H154=""),"-",SUM(H150:H154))</f>
        <v>-8683.0819715015568</v>
      </c>
      <c r="H155" s="722">
        <f>IF(FinI!$G11="","",FinI!$G11)</f>
        <v>-8683.0819715015568</v>
      </c>
      <c r="I155" s="717" t="str">
        <f>IF(B155="-","",IF(P155=T155,"Richtig!",IF(AND(P155&lt;&gt;T155,R155=T155),"Formel: OK",IF(T155="","Fehlt","Falsch"))))</f>
        <v>Richtig!</v>
      </c>
      <c r="J155" s="718">
        <f t="shared" si="30"/>
        <v>1</v>
      </c>
      <c r="K155" s="711" t="str">
        <f t="shared" si="28"/>
        <v>│</v>
      </c>
      <c r="L155" s="712">
        <f t="shared" si="29"/>
        <v>1</v>
      </c>
      <c r="N155" s="719" t="str">
        <f>IF($L$1="","",$L$1)</f>
        <v>x</v>
      </c>
      <c r="P155" s="720">
        <f t="shared" si="27"/>
        <v>-8683.0819699999993</v>
      </c>
      <c r="Q155" s="715"/>
      <c r="R155" s="721">
        <f t="shared" si="27"/>
        <v>-8683.0819699999993</v>
      </c>
      <c r="T155" s="722">
        <f t="shared" si="27"/>
        <v>-8683.0819699999993</v>
      </c>
    </row>
    <row r="156" spans="1:20" ht="12.75" customHeight="1" x14ac:dyDescent="0.2">
      <c r="A156" s="707"/>
      <c r="C156" s="707"/>
      <c r="D156" s="723"/>
      <c r="E156" s="715"/>
      <c r="F156" s="715"/>
      <c r="H156" s="724"/>
      <c r="I156" s="717"/>
      <c r="J156" s="717"/>
      <c r="K156" s="711" t="str">
        <f t="shared" si="28"/>
        <v/>
      </c>
      <c r="L156" s="712" t="str">
        <f t="shared" si="29"/>
        <v/>
      </c>
      <c r="N156" s="725" t="str">
        <f>IF($L$1="","",$L$1)</f>
        <v>x</v>
      </c>
      <c r="P156" s="723" t="str">
        <f t="shared" si="27"/>
        <v/>
      </c>
      <c r="Q156" s="715"/>
      <c r="R156" s="715" t="str">
        <f t="shared" si="27"/>
        <v/>
      </c>
      <c r="T156" s="724" t="str">
        <f t="shared" si="27"/>
        <v/>
      </c>
    </row>
    <row r="157" spans="1:20" ht="12.75" customHeight="1" x14ac:dyDescent="0.2">
      <c r="A157" s="706" t="s">
        <v>368</v>
      </c>
      <c r="B157" s="726" t="str">
        <f>FinI!B13</f>
        <v>Berechnung der Leistung der Investition</v>
      </c>
      <c r="C157" s="707"/>
      <c r="D157" s="708"/>
      <c r="H157" s="709"/>
      <c r="I157" s="710"/>
      <c r="J157" s="710"/>
      <c r="K157" s="711" t="str">
        <f t="shared" si="28"/>
        <v/>
      </c>
      <c r="L157" s="712" t="str">
        <f t="shared" si="29"/>
        <v/>
      </c>
      <c r="N157" s="695" t="str">
        <f>IF($L$1="","",$L$1)</f>
        <v>x</v>
      </c>
      <c r="P157" s="708" t="str">
        <f t="shared" si="27"/>
        <v/>
      </c>
      <c r="R157" s="1" t="str">
        <f t="shared" si="27"/>
        <v/>
      </c>
      <c r="T157" s="709" t="str">
        <f t="shared" si="27"/>
        <v/>
      </c>
    </row>
    <row r="158" spans="1:20" ht="12.75" hidden="1" customHeight="1" x14ac:dyDescent="0.2">
      <c r="B158" s="713" t="str">
        <f>IF(FinI!D13="","-",FinI!D13)</f>
        <v>-</v>
      </c>
      <c r="C158" s="707"/>
      <c r="D158" s="720">
        <f>IF('[1]E-Fin I'!$D16="","",'[1]E-Fin I'!$D16)</f>
        <v>13873.089</v>
      </c>
      <c r="E158" s="715"/>
      <c r="F158" s="721" t="e">
        <f>IF(OR(FinI!D14="noch leer",FinI!D15="noch leer",AND(FinI!D14="",FinI!D15="",)),"-",SUM(FinI!D14,-FinI!D15))</f>
        <v>#VALUE!</v>
      </c>
      <c r="H158" s="722" t="str">
        <f>IF(FinI!$D16="","",FinI!$D16)</f>
        <v/>
      </c>
      <c r="I158" s="717" t="str">
        <f>IF(B158="-","",IF(P158=T158,"Richtig!",IF(AND(P158&lt;&gt;T158,R158=T158),"Formel: OK",IF(T158="","Fehlt","Falsch"))))</f>
        <v/>
      </c>
      <c r="J158" s="718" t="str">
        <f>IF(OR(B158="-",N158="",AND(P158="",T158="")),"-",IF(I158="Richtig!",1,IF(I158="Formel: OK",0.5,IF(OR(I158="Falsch",I158="Fehlt"),0,""))))</f>
        <v>-</v>
      </c>
      <c r="K158" s="711" t="str">
        <f t="shared" si="28"/>
        <v/>
      </c>
      <c r="L158" s="712" t="str">
        <f t="shared" si="29"/>
        <v/>
      </c>
      <c r="N158" s="719"/>
      <c r="P158" s="720">
        <f t="shared" si="27"/>
        <v>13873.089</v>
      </c>
      <c r="Q158" s="715"/>
      <c r="R158" s="721" t="e">
        <f t="shared" si="27"/>
        <v>#VALUE!</v>
      </c>
      <c r="T158" s="722" t="str">
        <f t="shared" si="27"/>
        <v/>
      </c>
    </row>
    <row r="159" spans="1:20" ht="12.75" x14ac:dyDescent="0.2">
      <c r="B159" s="1" t="str">
        <f>IF(FinI!E13="","-",FinI!E13)</f>
        <v>LW Einkommen</v>
      </c>
      <c r="C159" s="727" t="s">
        <v>381</v>
      </c>
      <c r="D159" s="720">
        <f>IF('[1]E-Fin I'!$E16="","",'[1]E-Fin I'!$E16)</f>
        <v>2141.6055685745705</v>
      </c>
      <c r="E159" s="715"/>
      <c r="F159" s="721">
        <f>IF(OR(FinI!E14="noch leer",FinI!E15="noch leer",AND(FinI!E14="",FinI!E15="")),"-",SUM(FinI!E14,-FinI!E15))</f>
        <v>2141.6055685745705</v>
      </c>
      <c r="H159" s="722">
        <f>IF(FinI!$E16="","",FinI!$E16)</f>
        <v>2141.6055685745705</v>
      </c>
      <c r="I159" s="717" t="str">
        <f>IF(B159="-","",IF(P159=T159,"Richtig!",IF(AND(P159&lt;&gt;T159,R159=T159),"Formel: OK",IF(T159="","Fehlt","Falsch"))))</f>
        <v>Richtig!</v>
      </c>
      <c r="J159" s="718">
        <f>IF(OR(B159="-",N159="",AND(P159="",T159="")),"-",IF(I159="Richtig!",1,IF(I159="Formel: OK",0.5,IF(OR(I159="Falsch",I159="Fehlt"),0,""))))</f>
        <v>1</v>
      </c>
      <c r="K159" s="711" t="str">
        <f t="shared" si="28"/>
        <v>│</v>
      </c>
      <c r="L159" s="712">
        <f t="shared" si="29"/>
        <v>1</v>
      </c>
      <c r="N159" s="719" t="str">
        <f t="shared" ref="N159:N168" si="31">IF($L$1="","",$L$1)</f>
        <v>x</v>
      </c>
      <c r="P159" s="720">
        <f t="shared" si="27"/>
        <v>2141.6055700000002</v>
      </c>
      <c r="Q159" s="715"/>
      <c r="R159" s="721">
        <f t="shared" si="27"/>
        <v>2141.6055700000002</v>
      </c>
      <c r="T159" s="722">
        <f t="shared" si="27"/>
        <v>2141.6055700000002</v>
      </c>
    </row>
    <row r="160" spans="1:20" ht="12.75" hidden="1" customHeight="1" x14ac:dyDescent="0.2">
      <c r="B160" s="1" t="str">
        <f>IF(FinI!D13="","-",FinI!D13)</f>
        <v>-</v>
      </c>
      <c r="D160" s="720">
        <f>IF('[1]E-Fin I'!$D16="","",'[1]E-Fin I'!$D16)</f>
        <v>13873.089</v>
      </c>
      <c r="E160" s="715"/>
      <c r="F160" s="721" t="str">
        <f>IF(OR(FinI!D14="noch leer",FinI!D15="noch leer",AND(FinI!D14="",FinI!D15="")),"-",SUM(FinI!D14,-FinI!D15))</f>
        <v>-</v>
      </c>
      <c r="H160" s="722" t="str">
        <f>IF(FinI!$D16="","",FinI!$D16)</f>
        <v/>
      </c>
      <c r="I160" s="717" t="str">
        <f>IF(B160="-","",IF(P160=T160,"Richtig!",IF(AND(P160&lt;&gt;T160,R160=T160),"Formel: OK",IF(T160="","Fehlt","Falsch"))))</f>
        <v/>
      </c>
      <c r="J160" s="718" t="str">
        <f>IF(OR(B160="-",N160="",AND(P160="",T160="")),"-",IF(I160="Richtig!",1,IF(I160="Formel: OK",0.5,IF(OR(I160="Falsch",I160="Fehlt"),0,""))))</f>
        <v>-</v>
      </c>
      <c r="K160" s="711" t="str">
        <f t="shared" si="28"/>
        <v/>
      </c>
      <c r="L160" s="712" t="str">
        <f t="shared" si="29"/>
        <v/>
      </c>
      <c r="N160" s="719"/>
      <c r="P160" s="720">
        <f t="shared" si="27"/>
        <v>13873.089</v>
      </c>
      <c r="Q160" s="715"/>
      <c r="R160" s="721" t="str">
        <f t="shared" si="27"/>
        <v>-</v>
      </c>
      <c r="T160" s="722" t="str">
        <f t="shared" si="27"/>
        <v/>
      </c>
    </row>
    <row r="161" spans="1:20" ht="12.75" customHeight="1" x14ac:dyDescent="0.2">
      <c r="A161" s="707"/>
      <c r="C161" s="707"/>
      <c r="D161" s="723"/>
      <c r="E161" s="715"/>
      <c r="F161" s="715"/>
      <c r="H161" s="724"/>
      <c r="I161" s="717"/>
      <c r="J161" s="717"/>
      <c r="K161" s="711" t="str">
        <f t="shared" si="28"/>
        <v/>
      </c>
      <c r="L161" s="712" t="str">
        <f t="shared" si="29"/>
        <v/>
      </c>
      <c r="N161" s="725" t="str">
        <f t="shared" si="31"/>
        <v>x</v>
      </c>
      <c r="P161" s="723" t="str">
        <f t="shared" si="27"/>
        <v/>
      </c>
      <c r="Q161" s="715"/>
      <c r="R161" s="715" t="str">
        <f t="shared" si="27"/>
        <v/>
      </c>
      <c r="T161" s="724" t="str">
        <f t="shared" si="27"/>
        <v/>
      </c>
    </row>
    <row r="162" spans="1:20" ht="12.75" customHeight="1" x14ac:dyDescent="0.2">
      <c r="A162" s="706" t="s">
        <v>370</v>
      </c>
      <c r="B162" s="726" t="s">
        <v>382</v>
      </c>
      <c r="C162" s="707"/>
      <c r="D162" s="708"/>
      <c r="H162" s="709"/>
      <c r="I162" s="710"/>
      <c r="J162" s="710"/>
      <c r="K162" s="711" t="str">
        <f t="shared" si="28"/>
        <v/>
      </c>
      <c r="L162" s="712" t="str">
        <f t="shared" si="29"/>
        <v/>
      </c>
      <c r="N162" s="695" t="str">
        <f t="shared" si="31"/>
        <v>x</v>
      </c>
      <c r="P162" s="708" t="str">
        <f t="shared" si="27"/>
        <v/>
      </c>
      <c r="R162" s="1" t="str">
        <f t="shared" si="27"/>
        <v/>
      </c>
      <c r="T162" s="709" t="str">
        <f t="shared" si="27"/>
        <v/>
      </c>
    </row>
    <row r="163" spans="1:20" ht="12.75" x14ac:dyDescent="0.2">
      <c r="B163" s="1" t="s">
        <v>383</v>
      </c>
      <c r="C163" s="727" t="s">
        <v>381</v>
      </c>
      <c r="D163" s="720">
        <f>IF('[1]E-Fin I'!$F23="","",'[1]E-Fin I'!$F23)</f>
        <v>-6541.4764029269863</v>
      </c>
      <c r="E163" s="715"/>
      <c r="F163" s="721">
        <f>IF(OR(FinI!B23="",FinI!B23="noch leer",FinI!D23="",FinI!D23="noch leer"),"-",SUM(FinI!B23,-FinI!D23))</f>
        <v>-6541.4764029269863</v>
      </c>
      <c r="H163" s="722">
        <f>IF(FinI!$F23="","",FinI!$F23)</f>
        <v>-6541.4764029269863</v>
      </c>
      <c r="I163" s="717" t="str">
        <f>IF(B163="-","",IF(P163=T163,"Richtig!",IF(AND(P163&lt;&gt;T163,R163=T163),"Formel: OK",IF(T163="","Fehlt","Falsch"))))</f>
        <v>Richtig!</v>
      </c>
      <c r="J163" s="718">
        <f>IF(OR(B163="-",N163="",AND(P163="",T163="")),"-",IF(I163="Richtig!",1,IF(I163="Formel: OK",0.5,IF(OR(I163="Falsch",I163="Fehlt"),0,""))))</f>
        <v>1</v>
      </c>
      <c r="K163" s="711" t="str">
        <f t="shared" si="28"/>
        <v>│</v>
      </c>
      <c r="L163" s="712">
        <f t="shared" si="29"/>
        <v>1</v>
      </c>
      <c r="N163" s="719" t="str">
        <f t="shared" si="31"/>
        <v>x</v>
      </c>
      <c r="P163" s="720">
        <f t="shared" si="27"/>
        <v>-6541.4763999999996</v>
      </c>
      <c r="Q163" s="715"/>
      <c r="R163" s="721">
        <f t="shared" si="27"/>
        <v>-6541.4763999999996</v>
      </c>
      <c r="T163" s="722">
        <f t="shared" si="27"/>
        <v>-6541.4763999999996</v>
      </c>
    </row>
    <row r="164" spans="1:20" ht="12.75" x14ac:dyDescent="0.2">
      <c r="B164" s="1" t="s">
        <v>384</v>
      </c>
      <c r="C164" s="727" t="s">
        <v>381</v>
      </c>
      <c r="D164" s="720" t="str">
        <f>IF(AND('[1]E-Fin I'!$E25="",'[1]E-Fin I'!$F25&lt;&gt;""),'[1]E-Fin I'!$F24,IF(AND('[1]E-Fin I'!$F25="",'[1]E-Fin I'!$E25&lt;&gt;""),'[1]E-Fin I'!$E24,""))</f>
        <v>Nein</v>
      </c>
      <c r="E164" s="715"/>
      <c r="F164" s="721" t="str">
        <f>IF(H163="","-",IF(H163&gt;=0,"Ja","Nein"))</f>
        <v>Nein</v>
      </c>
      <c r="H164" s="722" t="str">
        <f>IF(AND(FinI!$E25="",FinI!$F25&lt;&gt;""),FinI!$F24,IF(AND(FinI!$F25="",FinI!$E25&lt;&gt;""),FinI!$E24,""))</f>
        <v>Nein</v>
      </c>
      <c r="I164" s="717" t="str">
        <f>IF(B164="-","",IF(P164=T164,"Richtig!",IF(AND(P164&lt;&gt;T164,R164=T164),"Formel: OK",IF(T164="","Fehlt","Falsch"))))</f>
        <v>Richtig!</v>
      </c>
      <c r="J164" s="718">
        <f>IF(OR(B164="-",N164="",AND(P164="",T164="")),"-",IF(I164="Richtig!",1,IF(I164="Formel: OK",0.5,IF(OR(I164="Falsch",I164="Fehlt"),0,""))))</f>
        <v>1</v>
      </c>
      <c r="K164" s="711" t="str">
        <f t="shared" si="28"/>
        <v>│</v>
      </c>
      <c r="L164" s="712">
        <f t="shared" si="29"/>
        <v>1</v>
      </c>
      <c r="N164" s="719" t="str">
        <f t="shared" si="31"/>
        <v>x</v>
      </c>
      <c r="P164" s="720" t="str">
        <f t="shared" si="27"/>
        <v>Nein</v>
      </c>
      <c r="Q164" s="715"/>
      <c r="R164" s="721" t="str">
        <f t="shared" si="27"/>
        <v>Nein</v>
      </c>
      <c r="T164" s="722" t="str">
        <f t="shared" si="27"/>
        <v>Nein</v>
      </c>
    </row>
    <row r="165" spans="1:20" ht="12.75" customHeight="1" x14ac:dyDescent="0.2">
      <c r="A165" s="707"/>
      <c r="C165" s="707"/>
      <c r="D165" s="723"/>
      <c r="E165" s="715"/>
      <c r="F165" s="715"/>
      <c r="H165" s="724"/>
      <c r="I165" s="717"/>
      <c r="J165" s="717"/>
      <c r="K165" s="711" t="str">
        <f t="shared" si="28"/>
        <v/>
      </c>
      <c r="L165" s="712" t="str">
        <f t="shared" si="29"/>
        <v/>
      </c>
      <c r="N165" s="725" t="str">
        <f t="shared" si="31"/>
        <v>x</v>
      </c>
      <c r="P165" s="723" t="str">
        <f t="shared" si="27"/>
        <v/>
      </c>
      <c r="Q165" s="715"/>
      <c r="R165" s="715" t="str">
        <f t="shared" si="27"/>
        <v/>
      </c>
      <c r="T165" s="724" t="str">
        <f t="shared" si="27"/>
        <v/>
      </c>
    </row>
    <row r="166" spans="1:20" ht="22.5" x14ac:dyDescent="0.2">
      <c r="A166" s="698" t="str">
        <f>FinI!B27</f>
        <v>Ermittlung des Kapitaldienstes</v>
      </c>
      <c r="B166" s="699"/>
      <c r="C166" s="700"/>
      <c r="D166" s="701" t="s">
        <v>0</v>
      </c>
      <c r="E166" s="701"/>
      <c r="F166" s="702" t="s">
        <v>363</v>
      </c>
      <c r="G166" s="700"/>
      <c r="H166" s="702" t="s">
        <v>364</v>
      </c>
      <c r="I166" s="703" t="str">
        <f>"Fehler"</f>
        <v>Fehler</v>
      </c>
      <c r="J166" s="704" t="s">
        <v>365</v>
      </c>
      <c r="K166" s="704"/>
      <c r="L166" s="704"/>
      <c r="N166" s="705" t="str">
        <f t="shared" si="31"/>
        <v>x</v>
      </c>
      <c r="P166" s="701" t="str">
        <f t="shared" si="27"/>
        <v>Ergebnis</v>
      </c>
      <c r="Q166" s="701"/>
      <c r="R166" s="702" t="str">
        <f t="shared" si="27"/>
        <v>Formel-
prüfung</v>
      </c>
      <c r="S166" s="700"/>
      <c r="T166" s="702" t="str">
        <f t="shared" si="27"/>
        <v>Deine Be-rechnung</v>
      </c>
    </row>
    <row r="167" spans="1:20" ht="12.75" customHeight="1" x14ac:dyDescent="0.2">
      <c r="A167" s="706" t="s">
        <v>366</v>
      </c>
      <c r="B167" s="726" t="str">
        <f>FinI!G30</f>
        <v>Annuität</v>
      </c>
      <c r="C167" s="707"/>
      <c r="D167" s="708"/>
      <c r="H167" s="709"/>
      <c r="I167" s="710"/>
      <c r="J167" s="710"/>
      <c r="K167" s="711" t="str">
        <f t="shared" ref="K167:K173" si="32">IF(L167="","","│")</f>
        <v/>
      </c>
      <c r="L167" s="712" t="str">
        <f t="shared" ref="L167:L173" si="33">IF(OR(B167="-",N167="",AND(P167="",T167="")),"",1)</f>
        <v/>
      </c>
      <c r="N167" s="695" t="str">
        <f t="shared" si="31"/>
        <v>x</v>
      </c>
      <c r="P167" s="708" t="str">
        <f t="shared" si="27"/>
        <v/>
      </c>
      <c r="R167" s="1" t="str">
        <f t="shared" si="27"/>
        <v/>
      </c>
      <c r="T167" s="709" t="str">
        <f t="shared" si="27"/>
        <v/>
      </c>
    </row>
    <row r="168" spans="1:20" ht="12.75" x14ac:dyDescent="0.2">
      <c r="B168" s="713" t="str">
        <f>IF(FinI!B31="","-",FinI!B31)</f>
        <v>AIK-Kredit</v>
      </c>
      <c r="C168" s="727" t="s">
        <v>381</v>
      </c>
      <c r="D168" s="714">
        <f>IF('[1]E-Fin I'!$G31="","",'[1]E-Fin I'!$G31)</f>
        <v>-2435.1388045373374</v>
      </c>
      <c r="E168" s="715"/>
      <c r="H168" s="716">
        <f>IF(FinI!$G31="","",FinI!$G31)</f>
        <v>-2435.1388045373374</v>
      </c>
      <c r="I168" s="717" t="str">
        <f>IF(AND(P168="",T168=""),"",IF(P168=T168,"Richtig!",IF(T168="","Fehlt","Falsch")))</f>
        <v>Richtig!</v>
      </c>
      <c r="J168" s="718">
        <f>IF(OR(B168="-",N168="",AND(P168="",T168="")),"-",IF(I168="Richtig!",1,IF(I168="Formel: OK",0.5,IF(OR(I168="Falsch",I168="Fehlt"),0,""))))</f>
        <v>1</v>
      </c>
      <c r="K168" s="711" t="str">
        <f t="shared" si="32"/>
        <v>│</v>
      </c>
      <c r="L168" s="712">
        <f t="shared" si="33"/>
        <v>1</v>
      </c>
      <c r="N168" s="719" t="str">
        <f t="shared" si="31"/>
        <v>x</v>
      </c>
      <c r="P168" s="714">
        <f t="shared" si="27"/>
        <v>-2435.1388000000002</v>
      </c>
      <c r="Q168" s="715"/>
      <c r="R168" s="1" t="str">
        <f t="shared" si="27"/>
        <v/>
      </c>
      <c r="T168" s="716">
        <f t="shared" si="27"/>
        <v>-2435.1388000000002</v>
      </c>
    </row>
    <row r="169" spans="1:20" ht="12.75" hidden="1" customHeight="1" x14ac:dyDescent="0.2">
      <c r="B169" s="713" t="str">
        <f>IF(FinI!B32="","-",FinI!B32)</f>
        <v>-</v>
      </c>
      <c r="C169" s="707"/>
      <c r="D169" s="714" t="str">
        <f>IF('[1]E-Fin I'!$G32="","",'[1]E-Fin I'!$G32)</f>
        <v/>
      </c>
      <c r="E169" s="715"/>
      <c r="H169" s="716" t="str">
        <f>IF(FinI!$G32="","",FinI!$G32)</f>
        <v/>
      </c>
      <c r="I169" s="717" t="str">
        <f>IF(AND(P169="",T169=""),"",IF(P169=T169,"Richtig!",IF(T169="","Fehlt","Falsch")))</f>
        <v/>
      </c>
      <c r="J169" s="718" t="str">
        <f>IF(OR(B169="-",N169="",AND(P169="",T169="")),"-",IF(I169="Richtig!",1,IF(I169="Formel: OK",0.5,IF(OR(I169="Falsch",I169="Fehlt"),0,""))))</f>
        <v>-</v>
      </c>
      <c r="K169" s="711" t="str">
        <f t="shared" si="32"/>
        <v/>
      </c>
      <c r="L169" s="712" t="str">
        <f t="shared" si="33"/>
        <v/>
      </c>
      <c r="N169" s="719"/>
      <c r="P169" s="714" t="str">
        <f t="shared" si="27"/>
        <v/>
      </c>
      <c r="Q169" s="715"/>
      <c r="R169" s="1" t="str">
        <f t="shared" si="27"/>
        <v/>
      </c>
      <c r="T169" s="716" t="str">
        <f t="shared" si="27"/>
        <v/>
      </c>
    </row>
    <row r="170" spans="1:20" ht="12.75" hidden="1" customHeight="1" x14ac:dyDescent="0.2">
      <c r="B170" s="713" t="str">
        <f>IF(FinI!B33="","-",FinI!B33)</f>
        <v>-</v>
      </c>
      <c r="C170" s="707"/>
      <c r="D170" s="714" t="str">
        <f>IF('[1]E-Fin I'!$G33="","",'[1]E-Fin I'!$G33)</f>
        <v/>
      </c>
      <c r="E170" s="715"/>
      <c r="H170" s="716" t="str">
        <f>IF(FinI!$G33="","",FinI!$G33)</f>
        <v/>
      </c>
      <c r="I170" s="717" t="str">
        <f>IF(AND(P170="",T170=""),"",IF(P170=T170,"Richtig!",IF(T170="","Fehlt","Falsch")))</f>
        <v/>
      </c>
      <c r="J170" s="718" t="str">
        <f>IF(OR(B170="-",N170="",AND(P170="",T170="")),"-",IF(I170="Richtig!",1,IF(I170="Formel: OK",0.5,IF(OR(I170="Falsch",I170="Fehlt"),0,""))))</f>
        <v>-</v>
      </c>
      <c r="K170" s="711" t="str">
        <f t="shared" si="32"/>
        <v/>
      </c>
      <c r="L170" s="712" t="str">
        <f t="shared" si="33"/>
        <v/>
      </c>
      <c r="N170" s="719"/>
      <c r="P170" s="714" t="str">
        <f t="shared" si="27"/>
        <v/>
      </c>
      <c r="Q170" s="715"/>
      <c r="R170" s="1" t="str">
        <f t="shared" si="27"/>
        <v/>
      </c>
      <c r="T170" s="716" t="str">
        <f t="shared" si="27"/>
        <v/>
      </c>
    </row>
    <row r="171" spans="1:20" ht="12.75" hidden="1" customHeight="1" x14ac:dyDescent="0.2">
      <c r="B171" s="713" t="str">
        <f>IF(FinI!B34="","-",FinI!B34)</f>
        <v>Bankdarlehen</v>
      </c>
      <c r="C171" s="707"/>
      <c r="D171" s="714">
        <f>IF('[1]E-Fin I'!$G34="","",'[1]E-Fin I'!$G34)</f>
        <v>-7160.7411181161615</v>
      </c>
      <c r="E171" s="715"/>
      <c r="H171" s="716">
        <f>IF(FinI!$G34="","",FinI!$G34)</f>
        <v>-7160.7411181161615</v>
      </c>
      <c r="I171" s="717" t="str">
        <f>IF(AND(P171="",T171=""),"",IF(P171=T171,"Richtig!",IF(T171="","Fehlt","Falsch")))</f>
        <v>Richtig!</v>
      </c>
      <c r="J171" s="718" t="str">
        <f>IF(OR(B171="-",N171="",AND(P171="",T171="")),"-",IF(I171="Richtig!",1,IF(I171="Formel: OK",0.5,IF(OR(I171="Falsch",I171="Fehlt"),0,""))))</f>
        <v>-</v>
      </c>
      <c r="K171" s="711" t="str">
        <f t="shared" si="32"/>
        <v/>
      </c>
      <c r="L171" s="712" t="str">
        <f t="shared" si="33"/>
        <v/>
      </c>
      <c r="N171" s="719"/>
      <c r="P171" s="714">
        <f t="shared" si="27"/>
        <v>-7160.7411199999997</v>
      </c>
      <c r="Q171" s="715"/>
      <c r="R171" s="1" t="str">
        <f t="shared" si="27"/>
        <v/>
      </c>
      <c r="T171" s="716">
        <f t="shared" si="27"/>
        <v>-7160.7411199999997</v>
      </c>
    </row>
    <row r="172" spans="1:20" ht="12.75" x14ac:dyDescent="0.2">
      <c r="B172" s="713" t="str">
        <f>IF(FinI!B35="","-",FinI!B35)</f>
        <v>Summe Annuität = Kapitaldienst</v>
      </c>
      <c r="C172" s="727" t="s">
        <v>381</v>
      </c>
      <c r="D172" s="720">
        <f>IF('[1]E-Fin I'!$G35="","",'[1]E-Fin I'!$G35)</f>
        <v>-9595.8799226534993</v>
      </c>
      <c r="E172" s="715"/>
      <c r="F172" s="721">
        <f>IF(AND(H168="",H169="",H170="",H171=""),"-",SUM(H168:H171))</f>
        <v>-9595.8799226534993</v>
      </c>
      <c r="H172" s="722">
        <f>IF(FinI!$G35="","",FinI!$G35)</f>
        <v>-9595.8799226534993</v>
      </c>
      <c r="I172" s="717" t="str">
        <f>IF(B172="-","",IF(P172=T172,"Richtig!",IF(AND(P172&lt;&gt;T172,R172=T172),"Formel: OK",IF(T172="","Fehlt","Falsch"))))</f>
        <v>Richtig!</v>
      </c>
      <c r="J172" s="718">
        <f>IF(OR(B172="-",N172="",AND(P172="",T172="")),"-",IF(I172="Richtig!",1,IF(I172="Formel: OK",0.5,IF(OR(I172="Falsch",I172="Fehlt"),0,""))))</f>
        <v>1</v>
      </c>
      <c r="K172" s="711" t="str">
        <f t="shared" si="32"/>
        <v>│</v>
      </c>
      <c r="L172" s="712">
        <f t="shared" si="33"/>
        <v>1</v>
      </c>
      <c r="N172" s="719" t="str">
        <f>IF($L$1="","",$L$1)</f>
        <v>x</v>
      </c>
      <c r="P172" s="720">
        <f t="shared" si="27"/>
        <v>-9595.8799199999994</v>
      </c>
      <c r="Q172" s="715"/>
      <c r="R172" s="721">
        <f t="shared" si="27"/>
        <v>-9595.8799199999994</v>
      </c>
      <c r="T172" s="722">
        <f t="shared" si="27"/>
        <v>-9595.8799199999994</v>
      </c>
    </row>
    <row r="173" spans="1:20" ht="12.75" customHeight="1" x14ac:dyDescent="0.2">
      <c r="A173" s="707"/>
      <c r="C173" s="707"/>
      <c r="D173" s="723"/>
      <c r="E173" s="715"/>
      <c r="F173" s="715"/>
      <c r="H173" s="724"/>
      <c r="I173" s="717"/>
      <c r="J173" s="717"/>
      <c r="K173" s="711" t="str">
        <f t="shared" si="32"/>
        <v/>
      </c>
      <c r="L173" s="712" t="str">
        <f t="shared" si="33"/>
        <v/>
      </c>
      <c r="N173" s="725" t="str">
        <f>IF($L$1="","",$L$1)</f>
        <v>x</v>
      </c>
      <c r="P173" s="723" t="str">
        <f t="shared" si="27"/>
        <v/>
      </c>
      <c r="Q173" s="715"/>
      <c r="R173" s="715" t="str">
        <f t="shared" si="27"/>
        <v/>
      </c>
      <c r="T173" s="724" t="str">
        <f t="shared" si="27"/>
        <v/>
      </c>
    </row>
    <row r="174" spans="1:20" ht="22.5" x14ac:dyDescent="0.2">
      <c r="A174" s="698" t="str">
        <f>FinI!B37</f>
        <v>Ermittlung der jährlichen Schuldzinsen</v>
      </c>
      <c r="B174" s="699"/>
      <c r="C174" s="700"/>
      <c r="D174" s="701" t="s">
        <v>0</v>
      </c>
      <c r="E174" s="701"/>
      <c r="F174" s="702" t="s">
        <v>363</v>
      </c>
      <c r="G174" s="700"/>
      <c r="H174" s="702" t="s">
        <v>364</v>
      </c>
      <c r="I174" s="703" t="str">
        <f>"Fehler"</f>
        <v>Fehler</v>
      </c>
      <c r="J174" s="704" t="s">
        <v>365</v>
      </c>
      <c r="K174" s="704"/>
      <c r="L174" s="704"/>
      <c r="N174" s="705" t="str">
        <f>IF($L$1="","",$L$1)</f>
        <v>x</v>
      </c>
      <c r="P174" s="701" t="str">
        <f t="shared" si="27"/>
        <v>Ergebnis</v>
      </c>
      <c r="Q174" s="701"/>
      <c r="R174" s="702" t="str">
        <f t="shared" si="27"/>
        <v>Formel-
prüfung</v>
      </c>
      <c r="S174" s="700"/>
      <c r="T174" s="702" t="str">
        <f t="shared" si="27"/>
        <v>Deine Be-rechnung</v>
      </c>
    </row>
    <row r="175" spans="1:20" ht="12.75" customHeight="1" x14ac:dyDescent="0.2">
      <c r="A175" s="706" t="s">
        <v>366</v>
      </c>
      <c r="B175" s="726" t="s">
        <v>385</v>
      </c>
      <c r="C175" s="707"/>
      <c r="D175" s="708"/>
      <c r="H175" s="709"/>
      <c r="I175" s="710"/>
      <c r="J175" s="710"/>
      <c r="K175" s="711" t="str">
        <f t="shared" ref="K175:K187" si="34">IF(L175="","","│")</f>
        <v/>
      </c>
      <c r="L175" s="712" t="str">
        <f t="shared" ref="L175:L187" si="35">IF(OR(B175="-",N175="",AND(P175="",T175="")),"",1)</f>
        <v/>
      </c>
      <c r="N175" s="695" t="str">
        <f>IF($L$1="","",$L$1)</f>
        <v>x</v>
      </c>
      <c r="P175" s="708" t="str">
        <f t="shared" si="27"/>
        <v/>
      </c>
      <c r="R175" s="1" t="str">
        <f t="shared" si="27"/>
        <v/>
      </c>
      <c r="T175" s="709" t="str">
        <f t="shared" si="27"/>
        <v/>
      </c>
    </row>
    <row r="176" spans="1:20" ht="12.75" x14ac:dyDescent="0.2">
      <c r="B176" s="713" t="str">
        <f>IF(FinI!B40="","-",FinI!B40)</f>
        <v>AIK-Kredit</v>
      </c>
      <c r="C176" s="727" t="s">
        <v>381</v>
      </c>
      <c r="D176" s="714">
        <f>IF('[1]E-Fin I'!$F40="","",'[1]E-Fin I'!$F40)</f>
        <v>2105.2631578947367</v>
      </c>
      <c r="E176" s="715"/>
      <c r="H176" s="716">
        <f>IF(FinI!$F40="","",FinI!$F40)</f>
        <v>2105.2631578947367</v>
      </c>
      <c r="I176" s="717" t="str">
        <f>IF(AND(P176="",T176=""),"",IF(P176=T176,"Richtig!",IF(T176="","Fehlt","Falsch")))</f>
        <v>Richtig!</v>
      </c>
      <c r="J176" s="718">
        <f>IF(OR(B176="-",N176="",AND(P176="",T176="")),"-",IF(I176="Richtig!",1,IF(I176="Formel: OK",0.5,IF(OR(I176="Falsch",I176="Fehlt"),0,""))))</f>
        <v>1</v>
      </c>
      <c r="K176" s="711" t="str">
        <f t="shared" si="34"/>
        <v>│</v>
      </c>
      <c r="L176" s="712">
        <f t="shared" si="35"/>
        <v>1</v>
      </c>
      <c r="N176" s="719" t="str">
        <f>IF($L$1="","",$L$1)</f>
        <v>x</v>
      </c>
      <c r="P176" s="714">
        <f t="shared" si="27"/>
        <v>2105.26316</v>
      </c>
      <c r="Q176" s="715"/>
      <c r="R176" s="1" t="str">
        <f t="shared" si="27"/>
        <v/>
      </c>
      <c r="T176" s="716">
        <f t="shared" si="27"/>
        <v>2105.26316</v>
      </c>
    </row>
    <row r="177" spans="1:20" ht="12.75" hidden="1" customHeight="1" x14ac:dyDescent="0.2">
      <c r="B177" s="713" t="str">
        <f>IF(FinI!B41="","-",FinI!B41)</f>
        <v>-</v>
      </c>
      <c r="C177" s="707"/>
      <c r="D177" s="714" t="str">
        <f>IF('[1]E-Fin I'!$F41="","",'[1]E-Fin I'!$F41)</f>
        <v/>
      </c>
      <c r="E177" s="715"/>
      <c r="H177" s="716" t="str">
        <f>IF(FinI!$F41="","",FinI!$F41)</f>
        <v/>
      </c>
      <c r="I177" s="717" t="str">
        <f>IF(AND(P177="",T177=""),"",IF(P177=T177,"Richtig!",IF(T177="","Fehlt","Falsch")))</f>
        <v/>
      </c>
      <c r="J177" s="718" t="str">
        <f>IF(OR(B177="-",N177="",AND(P177="",T177="")),"-",IF(I177="Richtig!",1,IF(I177="Formel: OK",0.5,IF(OR(I177="Falsch",I177="Fehlt"),0,""))))</f>
        <v>-</v>
      </c>
      <c r="K177" s="711" t="str">
        <f t="shared" si="34"/>
        <v/>
      </c>
      <c r="L177" s="712" t="str">
        <f t="shared" si="35"/>
        <v/>
      </c>
      <c r="N177" s="719"/>
      <c r="P177" s="714" t="str">
        <f t="shared" si="27"/>
        <v/>
      </c>
      <c r="Q177" s="715"/>
      <c r="R177" s="1" t="str">
        <f t="shared" si="27"/>
        <v/>
      </c>
      <c r="T177" s="716" t="str">
        <f t="shared" si="27"/>
        <v/>
      </c>
    </row>
    <row r="178" spans="1:20" ht="12.75" hidden="1" customHeight="1" x14ac:dyDescent="0.2">
      <c r="B178" s="713" t="str">
        <f>IF(FinI!B42="","-",FinI!B42)</f>
        <v>-</v>
      </c>
      <c r="C178" s="707"/>
      <c r="D178" s="714" t="str">
        <f>IF('[1]E-Fin I'!$F42="","",'[1]E-Fin I'!$F42)</f>
        <v/>
      </c>
      <c r="E178" s="715"/>
      <c r="H178" s="716" t="str">
        <f>IF(FinI!$F42="","",FinI!$F42)</f>
        <v/>
      </c>
      <c r="I178" s="717" t="str">
        <f>IF(AND(P178="",T178=""),"",IF(P178=T178,"Richtig!",IF(T178="","Fehlt","Falsch")))</f>
        <v/>
      </c>
      <c r="J178" s="718" t="str">
        <f>IF(OR(B178="-",N178="",AND(P178="",T178="")),"-",IF(I178="Richtig!",1,IF(I178="Formel: OK",0.5,IF(OR(I178="Falsch",I178="Fehlt"),0,""))))</f>
        <v>-</v>
      </c>
      <c r="K178" s="711" t="str">
        <f t="shared" si="34"/>
        <v/>
      </c>
      <c r="L178" s="712" t="str">
        <f t="shared" si="35"/>
        <v/>
      </c>
      <c r="N178" s="719"/>
      <c r="P178" s="714" t="str">
        <f t="shared" si="27"/>
        <v/>
      </c>
      <c r="Q178" s="715"/>
      <c r="R178" s="1" t="str">
        <f t="shared" si="27"/>
        <v/>
      </c>
      <c r="T178" s="716" t="str">
        <f t="shared" si="27"/>
        <v/>
      </c>
    </row>
    <row r="179" spans="1:20" ht="12.75" hidden="1" customHeight="1" x14ac:dyDescent="0.2">
      <c r="B179" s="713" t="str">
        <f>IF(FinI!B43="","-",FinI!B43)</f>
        <v>Bankdarlehen</v>
      </c>
      <c r="C179" s="707"/>
      <c r="D179" s="714">
        <f>IF('[1]E-Fin I'!$F43="","",'[1]E-Fin I'!$F43)</f>
        <v>5216.1333333333332</v>
      </c>
      <c r="E179" s="715"/>
      <c r="H179" s="716">
        <f>IF(FinI!$F43="","",FinI!$F43)</f>
        <v>5216.1333333333332</v>
      </c>
      <c r="I179" s="717" t="str">
        <f>IF(AND(P179="",T179=""),"",IF(P179=T179,"Richtig!",IF(T179="","Fehlt","Falsch")))</f>
        <v>Richtig!</v>
      </c>
      <c r="J179" s="718" t="str">
        <f>IF(OR(B179="-",N179="",AND(P179="",T179="")),"-",IF(I179="Richtig!",1,IF(I179="Formel: OK",0.5,IF(OR(I179="Falsch",I179="Fehlt"),0,""))))</f>
        <v>-</v>
      </c>
      <c r="K179" s="711" t="str">
        <f t="shared" si="34"/>
        <v/>
      </c>
      <c r="L179" s="712" t="str">
        <f t="shared" si="35"/>
        <v/>
      </c>
      <c r="N179" s="719"/>
      <c r="P179" s="714">
        <f t="shared" si="27"/>
        <v>5216.1333299999997</v>
      </c>
      <c r="Q179" s="715"/>
      <c r="R179" s="1" t="str">
        <f t="shared" si="27"/>
        <v/>
      </c>
      <c r="T179" s="716">
        <f t="shared" si="27"/>
        <v>5216.1333299999997</v>
      </c>
    </row>
    <row r="180" spans="1:20" ht="12.75" x14ac:dyDescent="0.2">
      <c r="B180" s="713" t="str">
        <f>IF(FinI!B44="","-",FinI!B44)</f>
        <v>Summe</v>
      </c>
      <c r="C180" s="727" t="s">
        <v>381</v>
      </c>
      <c r="D180" s="720">
        <f>IF('[1]E-Fin I'!$F44="","",'[1]E-Fin I'!$F44)</f>
        <v>7321.3964912280699</v>
      </c>
      <c r="E180" s="715"/>
      <c r="F180" s="721">
        <f>IF(AND(H176="",H177="",H178="",H179=""),"-",SUM(H176:H179))</f>
        <v>7321.3964912280699</v>
      </c>
      <c r="H180" s="722">
        <f>IF(FinI!$F44="","",FinI!$F44)</f>
        <v>7321.3964912280699</v>
      </c>
      <c r="I180" s="717" t="str">
        <f>IF(B180="-","",IF(P180=T180,"Richtig!",IF(AND(P180&lt;&gt;T180,R180=T180),"Formel: OK",IF(T180="","Fehlt","Falsch"))))</f>
        <v>Richtig!</v>
      </c>
      <c r="J180" s="718">
        <f>IF(OR(B180="-",N180="",AND(P180="",T180="")),"-",IF(I180="Richtig!",1,IF(I180="Formel: OK",0.5,IF(OR(I180="Falsch",I180="Fehlt"),0,""))))</f>
        <v>1</v>
      </c>
      <c r="K180" s="711" t="str">
        <f t="shared" si="34"/>
        <v>│</v>
      </c>
      <c r="L180" s="712">
        <f t="shared" si="35"/>
        <v>1</v>
      </c>
      <c r="N180" s="719" t="str">
        <f>IF($L$1="","",$L$1)</f>
        <v>x</v>
      </c>
      <c r="P180" s="720">
        <f t="shared" si="27"/>
        <v>7321.3964900000001</v>
      </c>
      <c r="Q180" s="715"/>
      <c r="R180" s="721">
        <f t="shared" si="27"/>
        <v>7321.3964900000001</v>
      </c>
      <c r="T180" s="722">
        <f t="shared" si="27"/>
        <v>7321.3964900000001</v>
      </c>
    </row>
    <row r="181" spans="1:20" ht="12.75" customHeight="1" x14ac:dyDescent="0.2">
      <c r="A181" s="707"/>
      <c r="C181" s="707"/>
      <c r="D181" s="723"/>
      <c r="E181" s="715"/>
      <c r="F181" s="715"/>
      <c r="H181" s="724"/>
      <c r="I181" s="717"/>
      <c r="J181" s="717"/>
      <c r="K181" s="711" t="str">
        <f t="shared" si="34"/>
        <v/>
      </c>
      <c r="L181" s="712" t="str">
        <f t="shared" si="35"/>
        <v/>
      </c>
      <c r="N181" s="725" t="str">
        <f>IF($L$1="","",$L$1)</f>
        <v>x</v>
      </c>
      <c r="P181" s="723" t="str">
        <f t="shared" si="27"/>
        <v/>
      </c>
      <c r="Q181" s="715"/>
      <c r="R181" s="715" t="str">
        <f t="shared" si="27"/>
        <v/>
      </c>
      <c r="T181" s="724" t="str">
        <f t="shared" si="27"/>
        <v/>
      </c>
    </row>
    <row r="182" spans="1:20" ht="12.75" x14ac:dyDescent="0.2">
      <c r="A182" s="706" t="s">
        <v>368</v>
      </c>
      <c r="B182" s="726" t="s">
        <v>386</v>
      </c>
      <c r="C182" s="707"/>
      <c r="D182" s="708"/>
      <c r="H182" s="709"/>
      <c r="I182" s="710"/>
      <c r="J182" s="710"/>
      <c r="K182" s="711" t="str">
        <f t="shared" si="34"/>
        <v/>
      </c>
      <c r="L182" s="712" t="str">
        <f t="shared" si="35"/>
        <v/>
      </c>
      <c r="N182" s="695" t="str">
        <f>IF($L$1="","",$L$1)</f>
        <v>x</v>
      </c>
      <c r="P182" s="708" t="str">
        <f t="shared" si="27"/>
        <v/>
      </c>
      <c r="R182" s="1" t="str">
        <f t="shared" si="27"/>
        <v/>
      </c>
      <c r="T182" s="709" t="str">
        <f t="shared" si="27"/>
        <v/>
      </c>
    </row>
    <row r="183" spans="1:20" ht="12.75" x14ac:dyDescent="0.2">
      <c r="B183" s="713" t="str">
        <f>IF(FinI!B40="","-",FinI!B40)</f>
        <v>AIK-Kredit</v>
      </c>
      <c r="C183" s="727" t="s">
        <v>381</v>
      </c>
      <c r="D183" s="714">
        <f>IF('[1]E-Fin I'!$G40="","",'[1]E-Fin I'!$G40)</f>
        <v>-329.87564664260071</v>
      </c>
      <c r="E183" s="715"/>
      <c r="H183" s="716">
        <f>IF(FinI!$G40="","",FinI!$G40)</f>
        <v>-329.87564664260071</v>
      </c>
      <c r="I183" s="717" t="str">
        <f>IF(AND(P183="",T183=""),"",IF(P183=T183,"Richtig!",IF(T183="","Fehlt","Falsch")))</f>
        <v>Richtig!</v>
      </c>
      <c r="J183" s="718">
        <f>IF(OR(B183="-",N183="",AND(P183="",T183="")),"-",IF(I183="Richtig!",1,IF(I183="Formel: OK",0.5,IF(OR(I183="Falsch",I183="Fehlt"),0,""))))</f>
        <v>1</v>
      </c>
      <c r="K183" s="711" t="str">
        <f t="shared" si="34"/>
        <v>│</v>
      </c>
      <c r="L183" s="712">
        <f t="shared" si="35"/>
        <v>1</v>
      </c>
      <c r="N183" s="719" t="str">
        <f>IF($L$1="","",$L$1)</f>
        <v>x</v>
      </c>
      <c r="P183" s="714">
        <f t="shared" si="27"/>
        <v>-329.87565000000001</v>
      </c>
      <c r="Q183" s="715"/>
      <c r="R183" s="1" t="str">
        <f t="shared" si="27"/>
        <v/>
      </c>
      <c r="T183" s="716">
        <f t="shared" si="27"/>
        <v>-329.87565000000001</v>
      </c>
    </row>
    <row r="184" spans="1:20" ht="12.75" hidden="1" customHeight="1" x14ac:dyDescent="0.2">
      <c r="B184" s="713" t="str">
        <f>IF(FinI!B41="","-",FinI!B41)</f>
        <v>-</v>
      </c>
      <c r="C184" s="707"/>
      <c r="D184" s="714" t="str">
        <f>IF('[1]E-Fin I'!$G41="","",'[1]E-Fin I'!$G41)</f>
        <v/>
      </c>
      <c r="E184" s="715"/>
      <c r="H184" s="716" t="str">
        <f>IF(FinI!$G41="","",FinI!$G41)</f>
        <v/>
      </c>
      <c r="I184" s="717" t="str">
        <f>IF(AND(P184="",T184=""),"",IF(P184=T184,"Richtig!",IF(T184="","Fehlt","Falsch")))</f>
        <v/>
      </c>
      <c r="J184" s="718" t="str">
        <f>IF(OR(B184="-",N184="",AND(P184="",T184="")),"-",IF(I184="Richtig!",1,IF(I184="Formel: OK",0.5,IF(OR(I184="Falsch",I184="Fehlt"),0,""))))</f>
        <v>-</v>
      </c>
      <c r="K184" s="711" t="str">
        <f t="shared" si="34"/>
        <v/>
      </c>
      <c r="L184" s="712" t="str">
        <f t="shared" si="35"/>
        <v/>
      </c>
      <c r="N184" s="719"/>
      <c r="P184" s="714" t="str">
        <f t="shared" si="27"/>
        <v/>
      </c>
      <c r="Q184" s="715"/>
      <c r="R184" s="1" t="str">
        <f t="shared" si="27"/>
        <v/>
      </c>
      <c r="T184" s="716" t="str">
        <f t="shared" si="27"/>
        <v/>
      </c>
    </row>
    <row r="185" spans="1:20" ht="12.75" hidden="1" customHeight="1" x14ac:dyDescent="0.2">
      <c r="B185" s="713" t="str">
        <f>IF(FinI!B42="","-",FinI!B42)</f>
        <v>-</v>
      </c>
      <c r="C185" s="707"/>
      <c r="D185" s="714" t="str">
        <f>IF('[1]E-Fin I'!$G42="","",'[1]E-Fin I'!$G42)</f>
        <v/>
      </c>
      <c r="E185" s="715"/>
      <c r="H185" s="716" t="str">
        <f>IF(FinI!$G42="","",FinI!$G42)</f>
        <v/>
      </c>
      <c r="I185" s="717" t="str">
        <f>IF(AND(P185="",T185=""),"",IF(P185=T185,"Richtig!",IF(T185="","Fehlt","Falsch")))</f>
        <v/>
      </c>
      <c r="J185" s="718" t="str">
        <f>IF(OR(B185="-",N185="",AND(P185="",T185="")),"-",IF(I185="Richtig!",1,IF(I185="Formel: OK",0.5,IF(OR(I185="Falsch",I185="Fehlt"),0,""))))</f>
        <v>-</v>
      </c>
      <c r="K185" s="711" t="str">
        <f t="shared" si="34"/>
        <v/>
      </c>
      <c r="L185" s="712" t="str">
        <f t="shared" si="35"/>
        <v/>
      </c>
      <c r="N185" s="719"/>
      <c r="P185" s="714" t="str">
        <f t="shared" si="27"/>
        <v/>
      </c>
      <c r="Q185" s="715"/>
      <c r="R185" s="1" t="str">
        <f t="shared" si="27"/>
        <v/>
      </c>
      <c r="T185" s="716" t="str">
        <f t="shared" si="27"/>
        <v/>
      </c>
    </row>
    <row r="186" spans="1:20" ht="12.75" hidden="1" customHeight="1" x14ac:dyDescent="0.2">
      <c r="B186" s="713" t="str">
        <f>IF(FinI!B43="","-",FinI!B43)</f>
        <v>Bankdarlehen</v>
      </c>
      <c r="C186" s="707"/>
      <c r="D186" s="714">
        <f>IF('[1]E-Fin I'!$G43="","",'[1]E-Fin I'!$G43)</f>
        <v>-1944.6077847828283</v>
      </c>
      <c r="E186" s="715"/>
      <c r="H186" s="716">
        <f>IF(FinI!$G43="","",FinI!$G43)</f>
        <v>-1944.6077847828283</v>
      </c>
      <c r="I186" s="717" t="str">
        <f>IF(AND(P186="",T186=""),"",IF(P186=T186,"Richtig!",IF(T186="","Fehlt","Falsch")))</f>
        <v>Richtig!</v>
      </c>
      <c r="J186" s="718" t="str">
        <f>IF(OR(B186="-",N186="",AND(P186="",T186="")),"-",IF(I186="Richtig!",1,IF(I186="Formel: OK",0.5,IF(OR(I186="Falsch",I186="Fehlt"),0,""))))</f>
        <v>-</v>
      </c>
      <c r="K186" s="711" t="str">
        <f t="shared" si="34"/>
        <v/>
      </c>
      <c r="L186" s="712" t="str">
        <f t="shared" si="35"/>
        <v/>
      </c>
      <c r="N186" s="719"/>
      <c r="P186" s="714">
        <f t="shared" si="27"/>
        <v>-1944.60778</v>
      </c>
      <c r="Q186" s="715"/>
      <c r="R186" s="1" t="str">
        <f t="shared" si="27"/>
        <v/>
      </c>
      <c r="T186" s="716">
        <f t="shared" si="27"/>
        <v>-1944.60778</v>
      </c>
    </row>
    <row r="187" spans="1:20" ht="12.75" x14ac:dyDescent="0.2">
      <c r="B187" s="713" t="str">
        <f>IF(FinI!B44="","-",FinI!B44)</f>
        <v>Summe</v>
      </c>
      <c r="C187" s="727" t="s">
        <v>381</v>
      </c>
      <c r="D187" s="720">
        <f>IF('[1]E-Fin I'!$G44="","",'[1]E-Fin I'!$G44)</f>
        <v>-2274.483431425429</v>
      </c>
      <c r="E187" s="715"/>
      <c r="F187" s="721">
        <f>IF(AND(H183="",H184="",H185="",H186=""),"-",SUM(H183:H186))</f>
        <v>-2274.483431425429</v>
      </c>
      <c r="H187" s="722">
        <f>IF(FinI!$G44="","",FinI!$G44)</f>
        <v>-2274.483431425429</v>
      </c>
      <c r="I187" s="717" t="str">
        <f>IF(B187="-","",IF(P187=T187,"Richtig!",IF(AND(P187&lt;&gt;T187,R187=T187),"Formel: OK",IF(T187="","Fehlt","Falsch"))))</f>
        <v>Richtig!</v>
      </c>
      <c r="J187" s="718">
        <f>IF(OR(B187="-",N187="",AND(P187="",T187="")),"-",IF(I187="Richtig!",1,IF(I187="Formel: OK",0.5,IF(OR(I187="Falsch",I187="Fehlt"),0,""))))</f>
        <v>1</v>
      </c>
      <c r="K187" s="711" t="str">
        <f t="shared" si="34"/>
        <v>│</v>
      </c>
      <c r="L187" s="712">
        <f t="shared" si="35"/>
        <v>1</v>
      </c>
      <c r="N187" s="719" t="str">
        <f t="shared" ref="N187:N193" si="36">IF($L$1="","",$L$1)</f>
        <v>x</v>
      </c>
      <c r="P187" s="720">
        <f t="shared" si="27"/>
        <v>-2274.4834300000002</v>
      </c>
      <c r="Q187" s="715"/>
      <c r="R187" s="721">
        <f t="shared" si="27"/>
        <v>-2274.4834300000002</v>
      </c>
      <c r="T187" s="722">
        <f t="shared" si="27"/>
        <v>-2274.4834300000002</v>
      </c>
    </row>
    <row r="188" spans="1:20" ht="12.75" x14ac:dyDescent="0.2">
      <c r="A188" s="707"/>
      <c r="C188" s="707"/>
      <c r="D188" s="723"/>
      <c r="E188" s="715"/>
      <c r="F188" s="715"/>
      <c r="H188" s="724"/>
      <c r="I188" s="717"/>
      <c r="J188" s="717"/>
      <c r="K188" s="711"/>
      <c r="L188" s="712"/>
      <c r="N188" s="725" t="str">
        <f t="shared" si="36"/>
        <v>x</v>
      </c>
      <c r="P188" s="723" t="str">
        <f t="shared" si="27"/>
        <v/>
      </c>
      <c r="Q188" s="715"/>
      <c r="R188" s="715" t="str">
        <f t="shared" si="27"/>
        <v/>
      </c>
      <c r="T188" s="724" t="str">
        <f t="shared" si="27"/>
        <v/>
      </c>
    </row>
    <row r="189" spans="1:20" ht="22.5" x14ac:dyDescent="0.2">
      <c r="A189" s="1089" t="str">
        <f>PlanII!B1</f>
        <v>Berechnung geplanten Investition</v>
      </c>
      <c r="B189" s="1090"/>
      <c r="C189" s="1091"/>
      <c r="D189" s="1092" t="s">
        <v>0</v>
      </c>
      <c r="E189" s="1092"/>
      <c r="F189" s="1093" t="s">
        <v>363</v>
      </c>
      <c r="G189" s="1091"/>
      <c r="H189" s="1093" t="s">
        <v>364</v>
      </c>
      <c r="I189" s="1094" t="str">
        <f>"Fehler"</f>
        <v>Fehler</v>
      </c>
      <c r="J189" s="1095" t="s">
        <v>365</v>
      </c>
      <c r="K189" s="1095"/>
      <c r="L189" s="1095"/>
      <c r="N189" s="705" t="str">
        <f t="shared" si="36"/>
        <v>x</v>
      </c>
      <c r="P189" s="1092" t="str">
        <f t="shared" si="27"/>
        <v>Ergebnis</v>
      </c>
      <c r="Q189" s="1092"/>
      <c r="R189" s="1093" t="str">
        <f t="shared" si="27"/>
        <v>Formel-
prüfung</v>
      </c>
      <c r="S189" s="1091"/>
      <c r="T189" s="1093" t="str">
        <f t="shared" si="27"/>
        <v>Deine Be-rechnung</v>
      </c>
    </row>
    <row r="190" spans="1:20" ht="12.75" customHeight="1" x14ac:dyDescent="0.2">
      <c r="A190" s="1096" t="s">
        <v>366</v>
      </c>
      <c r="B190" s="726" t="str">
        <f>PlanII!E4</f>
        <v>Jährl. Afa</v>
      </c>
      <c r="C190" s="707"/>
      <c r="D190" s="708"/>
      <c r="H190" s="709"/>
      <c r="I190" s="710"/>
      <c r="J190" s="710"/>
      <c r="K190" s="711" t="str">
        <f t="shared" ref="K190:K253" si="37">IF(L190="","","│")</f>
        <v/>
      </c>
      <c r="L190" s="712" t="str">
        <f t="shared" ref="L190:L221" si="38">IF(OR(B190="-",N190="",AND(P190="",T190="")),"",1)</f>
        <v/>
      </c>
      <c r="N190" s="695" t="str">
        <f t="shared" si="36"/>
        <v>x</v>
      </c>
      <c r="P190" s="708" t="str">
        <f t="shared" si="27"/>
        <v/>
      </c>
      <c r="R190" s="1" t="str">
        <f t="shared" si="27"/>
        <v/>
      </c>
      <c r="T190" s="709" t="str">
        <f t="shared" si="27"/>
        <v/>
      </c>
    </row>
    <row r="191" spans="1:20" ht="12.75" customHeight="1" x14ac:dyDescent="0.2">
      <c r="A191" s="1097"/>
      <c r="B191" s="713" t="str">
        <f>IF(PlanII!$B5="","-",PlanII!$B5)</f>
        <v>Stallneubau</v>
      </c>
      <c r="C191" s="727" t="s">
        <v>387</v>
      </c>
      <c r="D191" s="714">
        <f>IF('[1]E-Plan II'!$E5="","",'[1]E-Plan II'!$E5)</f>
        <v>3972.5</v>
      </c>
      <c r="E191" s="715"/>
      <c r="H191" s="716">
        <f>IF(PlanII!$E5="","",PlanII!$E5)</f>
        <v>3972.5</v>
      </c>
      <c r="I191" s="717" t="str">
        <f>IF(AND(P191="",T191=""),"",IF(P191=T191,"Richtig!",IF(T191="","Fehlt","Falsch")))</f>
        <v>Richtig!</v>
      </c>
      <c r="J191" s="718">
        <f t="shared" ref="J191:J198" si="39">IF(OR(B191="-",N191="",AND(P191="",T191="")),"-",IF(I191="Richtig!",1,IF(I191="Formel: OK",0.5,IF(OR(I191="Falsch",I191="Fehlt"),0,""))))</f>
        <v>1</v>
      </c>
      <c r="K191" s="711" t="str">
        <f t="shared" si="37"/>
        <v>│</v>
      </c>
      <c r="L191" s="712">
        <f t="shared" si="38"/>
        <v>1</v>
      </c>
      <c r="N191" s="719" t="str">
        <f t="shared" si="36"/>
        <v>x</v>
      </c>
      <c r="P191" s="714">
        <f t="shared" si="27"/>
        <v>3972.5</v>
      </c>
      <c r="Q191" s="715"/>
      <c r="R191" s="1" t="str">
        <f t="shared" si="27"/>
        <v/>
      </c>
      <c r="T191" s="716">
        <f t="shared" si="27"/>
        <v>3972.5</v>
      </c>
    </row>
    <row r="192" spans="1:20" ht="12.75" x14ac:dyDescent="0.2">
      <c r="A192" s="1097"/>
      <c r="B192" s="713" t="str">
        <f>IF(PlanII!$B6="","-",PlanII!$B6)</f>
        <v>Ausstattung</v>
      </c>
      <c r="C192" s="727" t="s">
        <v>387</v>
      </c>
      <c r="D192" s="714">
        <f>IF('[1]E-Plan II'!$E6="","",'[1]E-Plan II'!$E6)</f>
        <v>1644</v>
      </c>
      <c r="E192" s="715"/>
      <c r="H192" s="716">
        <f>IF(PlanII!$E6="","",PlanII!$E6)</f>
        <v>1644</v>
      </c>
      <c r="I192" s="717" t="str">
        <f>IF(AND(P192="",T192=""),"",IF(P192=T192,"Richtig!",IF(T192="","Fehlt","Falsch")))</f>
        <v>Richtig!</v>
      </c>
      <c r="J192" s="718">
        <f t="shared" si="39"/>
        <v>1</v>
      </c>
      <c r="K192" s="711" t="str">
        <f t="shared" si="37"/>
        <v>│</v>
      </c>
      <c r="L192" s="712">
        <f t="shared" si="38"/>
        <v>1</v>
      </c>
      <c r="N192" s="719" t="str">
        <f t="shared" si="36"/>
        <v>x</v>
      </c>
      <c r="P192" s="714">
        <f t="shared" si="27"/>
        <v>1644</v>
      </c>
      <c r="Q192" s="715"/>
      <c r="R192" s="1" t="str">
        <f t="shared" si="27"/>
        <v/>
      </c>
      <c r="T192" s="716">
        <f t="shared" si="27"/>
        <v>1644</v>
      </c>
    </row>
    <row r="193" spans="1:20" ht="12.75" x14ac:dyDescent="0.2">
      <c r="A193" s="1097"/>
      <c r="B193" s="713" t="str">
        <f>IF(PlanII!$B7="","-",PlanII!$B7)</f>
        <v>Tierzukauf</v>
      </c>
      <c r="C193" s="727" t="s">
        <v>387</v>
      </c>
      <c r="D193" s="714">
        <f>IF('[1]E-Plan II'!$E7="","",'[1]E-Plan II'!$E7)</f>
        <v>952</v>
      </c>
      <c r="E193" s="715"/>
      <c r="H193" s="716">
        <f>IF(PlanII!$E7="","",PlanII!$E7)</f>
        <v>952</v>
      </c>
      <c r="I193" s="717" t="str">
        <f>IF(AND(P193="",T193=""),"",IF(P193=T193,"Richtig!",IF(T193="","Fehlt","Falsch")))</f>
        <v>Richtig!</v>
      </c>
      <c r="J193" s="718">
        <f t="shared" si="39"/>
        <v>1</v>
      </c>
      <c r="K193" s="711" t="str">
        <f t="shared" si="37"/>
        <v>│</v>
      </c>
      <c r="L193" s="712">
        <f t="shared" si="38"/>
        <v>1</v>
      </c>
      <c r="N193" s="719" t="str">
        <f t="shared" si="36"/>
        <v>x</v>
      </c>
      <c r="P193" s="714">
        <f t="shared" si="27"/>
        <v>952</v>
      </c>
      <c r="Q193" s="715"/>
      <c r="R193" s="1" t="str">
        <f t="shared" si="27"/>
        <v/>
      </c>
      <c r="T193" s="716">
        <f t="shared" si="27"/>
        <v>952</v>
      </c>
    </row>
    <row r="194" spans="1:20" ht="12.75" hidden="1" customHeight="1" x14ac:dyDescent="0.2">
      <c r="A194" s="1097"/>
      <c r="B194" s="713" t="str">
        <f>IF(PlanII!$B8="","-",PlanII!$B8)</f>
        <v>-</v>
      </c>
      <c r="C194" s="727" t="s">
        <v>387</v>
      </c>
      <c r="D194" s="714" t="str">
        <f>IF('[1]E-Plan II'!$E8="","",'[1]E-Plan II'!$E8)</f>
        <v/>
      </c>
      <c r="E194" s="715"/>
      <c r="H194" s="716" t="str">
        <f>IF(PlanII!$E8="","",PlanII!$E8)</f>
        <v/>
      </c>
      <c r="I194" s="717" t="str">
        <f>IF(AND(P194="",T194=""),"",IF(P194=T194,"Richtig!",IF(T194="","Fehlt","Falsch")))</f>
        <v/>
      </c>
      <c r="J194" s="718" t="str">
        <f t="shared" si="39"/>
        <v>-</v>
      </c>
      <c r="K194" s="711" t="str">
        <f t="shared" si="37"/>
        <v/>
      </c>
      <c r="L194" s="712" t="str">
        <f t="shared" si="38"/>
        <v/>
      </c>
      <c r="N194" s="719"/>
      <c r="P194" s="714" t="str">
        <f t="shared" si="27"/>
        <v/>
      </c>
      <c r="Q194" s="715"/>
      <c r="R194" s="1" t="str">
        <f t="shared" si="27"/>
        <v/>
      </c>
      <c r="T194" s="716" t="str">
        <f t="shared" si="27"/>
        <v/>
      </c>
    </row>
    <row r="195" spans="1:20" ht="12.75" hidden="1" customHeight="1" x14ac:dyDescent="0.2">
      <c r="A195" s="1097"/>
      <c r="B195" s="713" t="str">
        <f>IF(PlanII!$B9="","-",PlanII!$B9)</f>
        <v>-</v>
      </c>
      <c r="C195" s="727" t="s">
        <v>387</v>
      </c>
      <c r="D195" s="714" t="str">
        <f>IF('[1]E-Plan II'!$E9="","",'[1]E-Plan II'!$E9)</f>
        <v/>
      </c>
      <c r="E195" s="715"/>
      <c r="H195" s="716" t="str">
        <f>IF(PlanII!$E9="","",PlanII!$E9)</f>
        <v/>
      </c>
      <c r="I195" s="717" t="str">
        <f>IF(AND(P195="",T195=""),"",IF(P195=T195,"Richtig!",IF(T195="","Fehlt","Falsch")))</f>
        <v/>
      </c>
      <c r="J195" s="718" t="str">
        <f t="shared" si="39"/>
        <v>-</v>
      </c>
      <c r="K195" s="711" t="str">
        <f t="shared" si="37"/>
        <v/>
      </c>
      <c r="L195" s="712" t="str">
        <f t="shared" si="38"/>
        <v/>
      </c>
      <c r="N195" s="719"/>
      <c r="P195" s="714" t="str">
        <f t="shared" si="27"/>
        <v/>
      </c>
      <c r="Q195" s="715"/>
      <c r="R195" s="1" t="str">
        <f t="shared" si="27"/>
        <v/>
      </c>
      <c r="T195" s="716" t="str">
        <f t="shared" si="27"/>
        <v/>
      </c>
    </row>
    <row r="196" spans="1:20" ht="12.75" customHeight="1" x14ac:dyDescent="0.2">
      <c r="A196" s="1097"/>
      <c r="B196" s="713" t="str">
        <f>IF(PlanII!D12="","-",PlanII!D12)</f>
        <v>∑ Afa</v>
      </c>
      <c r="C196" s="727" t="s">
        <v>387</v>
      </c>
      <c r="D196" s="720">
        <f>IF('[1]E-Plan II'!$E12="","",'[1]E-Plan II'!$E12)</f>
        <v>6568.5</v>
      </c>
      <c r="E196" s="715"/>
      <c r="F196" s="721">
        <f>SUM(H191:H195)</f>
        <v>6568.5</v>
      </c>
      <c r="H196" s="722">
        <f>IF(PlanII!$E12="","",PlanII!$E12)</f>
        <v>6568.5</v>
      </c>
      <c r="I196" s="717" t="str">
        <f>IF(B196="-","",IF(P196=T196,"Richtig!",IF(AND(P196&lt;&gt;T196,R196=T196),"Formel: OK",IF(T196="","Fehlt","Falsch"))))</f>
        <v>Richtig!</v>
      </c>
      <c r="J196" s="718">
        <f t="shared" si="39"/>
        <v>1</v>
      </c>
      <c r="K196" s="711" t="str">
        <f t="shared" si="37"/>
        <v>│</v>
      </c>
      <c r="L196" s="712">
        <f t="shared" si="38"/>
        <v>1</v>
      </c>
      <c r="N196" s="719" t="str">
        <f t="shared" ref="N196:N202" si="40">IF($L$1="","",$L$1)</f>
        <v>x</v>
      </c>
      <c r="P196" s="720">
        <f t="shared" si="27"/>
        <v>6568.5</v>
      </c>
      <c r="Q196" s="715"/>
      <c r="R196" s="721">
        <f t="shared" si="27"/>
        <v>6568.5</v>
      </c>
      <c r="T196" s="722">
        <f t="shared" si="27"/>
        <v>6568.5</v>
      </c>
    </row>
    <row r="197" spans="1:20" ht="12.75" x14ac:dyDescent="0.2">
      <c r="A197" s="1097"/>
      <c r="B197" s="713" t="str">
        <f>IF(PlanII!B12="","-",PlanII!B12)</f>
        <v>Investitionssumme</v>
      </c>
      <c r="C197" s="727" t="s">
        <v>387</v>
      </c>
      <c r="D197" s="714">
        <f>IF('[1]E-Plan II'!$C12="","",'[1]E-Plan II'!$C12)</f>
        <v>148870</v>
      </c>
      <c r="E197" s="715"/>
      <c r="H197" s="716">
        <f>IF(PlanII!$C12="","",PlanII!$C12)</f>
        <v>148870</v>
      </c>
      <c r="I197" s="717" t="str">
        <f>IF(AND(P197="",T197=""),"",IF(P197=T197,"Richtig!",IF(T197="","Fehlt","Falsch")))</f>
        <v>Richtig!</v>
      </c>
      <c r="J197" s="718">
        <f t="shared" si="39"/>
        <v>1</v>
      </c>
      <c r="K197" s="711" t="str">
        <f t="shared" si="37"/>
        <v>│</v>
      </c>
      <c r="L197" s="712">
        <f t="shared" si="38"/>
        <v>1</v>
      </c>
      <c r="N197" s="719" t="str">
        <f t="shared" si="40"/>
        <v>x</v>
      </c>
      <c r="P197" s="714">
        <f t="shared" si="27"/>
        <v>148870</v>
      </c>
      <c r="Q197" s="715"/>
      <c r="R197" s="1" t="str">
        <f t="shared" si="27"/>
        <v/>
      </c>
      <c r="T197" s="716">
        <f t="shared" si="27"/>
        <v>148870</v>
      </c>
    </row>
    <row r="198" spans="1:20" ht="12.75" x14ac:dyDescent="0.2">
      <c r="A198" s="1097"/>
      <c r="B198" s="713" t="str">
        <f>IF(PlanII!F12="","-",PlanII!F12)</f>
        <v>Finanzbedarf</v>
      </c>
      <c r="C198" s="727" t="s">
        <v>387</v>
      </c>
      <c r="D198" s="714">
        <f>IF('[1]E-Plan II'!$G12="","",'[1]E-Plan II'!$G12)</f>
        <v>148870</v>
      </c>
      <c r="E198" s="715"/>
      <c r="H198" s="716">
        <f>IF(PlanII!$G12="","",PlanII!$G12)</f>
        <v>148870</v>
      </c>
      <c r="I198" s="717" t="str">
        <f>IF(AND(P198="",T198=""),"",IF(P198=T198,"Richtig!",IF(T198="","Fehlt","Falsch")))</f>
        <v>Richtig!</v>
      </c>
      <c r="J198" s="718">
        <f t="shared" si="39"/>
        <v>1</v>
      </c>
      <c r="K198" s="711" t="str">
        <f t="shared" si="37"/>
        <v>│</v>
      </c>
      <c r="L198" s="712">
        <f t="shared" si="38"/>
        <v>1</v>
      </c>
      <c r="N198" s="719" t="str">
        <f t="shared" si="40"/>
        <v>x</v>
      </c>
      <c r="P198" s="714">
        <f t="shared" si="27"/>
        <v>148870</v>
      </c>
      <c r="Q198" s="715"/>
      <c r="R198" s="1" t="str">
        <f t="shared" si="27"/>
        <v/>
      </c>
      <c r="T198" s="716">
        <f t="shared" si="27"/>
        <v>148870</v>
      </c>
    </row>
    <row r="199" spans="1:20" ht="12.75" customHeight="1" x14ac:dyDescent="0.2">
      <c r="A199" s="1097"/>
      <c r="C199" s="727"/>
      <c r="D199" s="723"/>
      <c r="E199" s="715"/>
      <c r="F199" s="715"/>
      <c r="H199" s="724"/>
      <c r="I199" s="717"/>
      <c r="J199" s="717"/>
      <c r="K199" s="711" t="str">
        <f t="shared" si="37"/>
        <v/>
      </c>
      <c r="L199" s="712" t="str">
        <f t="shared" si="38"/>
        <v/>
      </c>
      <c r="N199" s="725" t="str">
        <f t="shared" si="40"/>
        <v>x</v>
      </c>
      <c r="P199" s="723" t="str">
        <f t="shared" si="27"/>
        <v/>
      </c>
      <c r="Q199" s="715"/>
      <c r="R199" s="715" t="str">
        <f t="shared" si="27"/>
        <v/>
      </c>
      <c r="T199" s="724" t="str">
        <f t="shared" si="27"/>
        <v/>
      </c>
    </row>
    <row r="200" spans="1:20" ht="12.75" customHeight="1" x14ac:dyDescent="0.2">
      <c r="A200" s="1096" t="s">
        <v>368</v>
      </c>
      <c r="B200" s="726" t="str">
        <f>PlanII!D18</f>
        <v>Deckungsbeitrag (+) bzw. Variable Kosten (-)</v>
      </c>
      <c r="C200" s="727"/>
      <c r="D200" s="708"/>
      <c r="H200" s="709"/>
      <c r="I200" s="710"/>
      <c r="J200" s="710"/>
      <c r="K200" s="711" t="str">
        <f t="shared" si="37"/>
        <v/>
      </c>
      <c r="L200" s="712" t="str">
        <f t="shared" si="38"/>
        <v/>
      </c>
      <c r="N200" s="695" t="str">
        <f t="shared" si="40"/>
        <v>x</v>
      </c>
      <c r="P200" s="708" t="str">
        <f t="shared" si="27"/>
        <v/>
      </c>
      <c r="R200" s="1" t="str">
        <f t="shared" si="27"/>
        <v/>
      </c>
      <c r="T200" s="709" t="str">
        <f t="shared" si="27"/>
        <v/>
      </c>
    </row>
    <row r="201" spans="1:20" ht="12.75" customHeight="1" x14ac:dyDescent="0.2">
      <c r="A201" s="1097"/>
      <c r="B201" s="713" t="str">
        <f>IF(PlanII!B21="","-",PlanII!B21)</f>
        <v>DB Milchschafe</v>
      </c>
      <c r="C201" s="727" t="s">
        <v>387</v>
      </c>
      <c r="D201" s="720">
        <f>IF('[1]E-Plan II'!$E21="","",'[1]E-Plan II'!$E21)</f>
        <v>23401.350000000002</v>
      </c>
      <c r="E201" s="715"/>
      <c r="F201" s="721">
        <f>IF(OR(PlanII!C21="",PlanII!D21=""),"-",PlanII!C21*PlanII!D21)</f>
        <v>23401.350000000002</v>
      </c>
      <c r="H201" s="722">
        <f>IF(PlanII!$E21="","",PlanII!$E21)</f>
        <v>23401.350000000002</v>
      </c>
      <c r="I201" s="717" t="str">
        <f t="shared" ref="I201:I215" si="41">IF(B201="-","",IF(P201=T201,"Richtig!",IF(AND(P201&lt;&gt;T201,R201=T201),"Formel: OK",IF(T201="","Fehlt","Falsch"))))</f>
        <v>Richtig!</v>
      </c>
      <c r="J201" s="718">
        <f t="shared" ref="J201:J215" si="42">IF(OR(B201="-",N201="",AND(P201="",T201="")),"-",IF(I201="Richtig!",1,IF(I201="Formel: OK",0.5,IF(OR(I201="Falsch",I201="Fehlt"),0,""))))</f>
        <v>1</v>
      </c>
      <c r="K201" s="711" t="str">
        <f t="shared" si="37"/>
        <v>│</v>
      </c>
      <c r="L201" s="712">
        <f t="shared" si="38"/>
        <v>1</v>
      </c>
      <c r="N201" s="719" t="str">
        <f t="shared" si="40"/>
        <v>x</v>
      </c>
      <c r="P201" s="720">
        <f t="shared" si="27"/>
        <v>23401.35</v>
      </c>
      <c r="Q201" s="715"/>
      <c r="R201" s="721">
        <f t="shared" si="27"/>
        <v>23401.35</v>
      </c>
      <c r="T201" s="722">
        <f t="shared" si="27"/>
        <v>23401.35</v>
      </c>
    </row>
    <row r="202" spans="1:20" ht="12.75" customHeight="1" x14ac:dyDescent="0.2">
      <c r="A202" s="1097"/>
      <c r="B202" s="713" t="str">
        <f>IF(PlanII!B22="","-",PlanII!B22)</f>
        <v>DB Lämmer</v>
      </c>
      <c r="C202" s="727" t="s">
        <v>387</v>
      </c>
      <c r="D202" s="720">
        <f>IF('[1]E-Plan II'!$E22="","",'[1]E-Plan II'!$E22)</f>
        <v>6965.7499999999991</v>
      </c>
      <c r="E202" s="715"/>
      <c r="F202" s="721">
        <f>IF(OR(PlanII!C22="",PlanII!D22=""),"-",PlanII!C22*PlanII!D22)</f>
        <v>6965.7499999999991</v>
      </c>
      <c r="H202" s="722">
        <f>IF(PlanII!$E22="","",PlanII!$E22)</f>
        <v>6965.7499999999991</v>
      </c>
      <c r="I202" s="717" t="str">
        <f t="shared" si="41"/>
        <v>Richtig!</v>
      </c>
      <c r="J202" s="718">
        <f t="shared" si="42"/>
        <v>1</v>
      </c>
      <c r="K202" s="711" t="str">
        <f t="shared" si="37"/>
        <v>│</v>
      </c>
      <c r="L202" s="712">
        <f t="shared" si="38"/>
        <v>1</v>
      </c>
      <c r="N202" s="719" t="str">
        <f t="shared" si="40"/>
        <v>x</v>
      </c>
      <c r="P202" s="720">
        <f t="shared" si="27"/>
        <v>6965.75</v>
      </c>
      <c r="Q202" s="715"/>
      <c r="R202" s="721">
        <f t="shared" si="27"/>
        <v>6965.75</v>
      </c>
      <c r="T202" s="722">
        <f t="shared" si="27"/>
        <v>6965.75</v>
      </c>
    </row>
    <row r="203" spans="1:20" ht="12.75" hidden="1" customHeight="1" x14ac:dyDescent="0.2">
      <c r="A203" s="1097"/>
      <c r="B203" s="713" t="str">
        <f>IF(PlanII!B23="","-",PlanII!B23)</f>
        <v>DB Kartoffel</v>
      </c>
      <c r="C203" s="727" t="s">
        <v>387</v>
      </c>
      <c r="D203" s="720">
        <f>IF('[1]E-Plan II'!$E23="","",'[1]E-Plan II'!$E23)</f>
        <v>2375.3249999999998</v>
      </c>
      <c r="E203" s="715"/>
      <c r="F203" s="721">
        <f>IF(OR(PlanII!C23="",PlanII!D23=""),"-",PlanII!C23*PlanII!D23)</f>
        <v>2375.3249999999998</v>
      </c>
      <c r="H203" s="722">
        <f>IF(PlanII!$E23="","",PlanII!$E23)</f>
        <v>2375.3249999999998</v>
      </c>
      <c r="I203" s="717" t="str">
        <f t="shared" si="41"/>
        <v>Richtig!</v>
      </c>
      <c r="J203" s="718" t="str">
        <f t="shared" si="42"/>
        <v>-</v>
      </c>
      <c r="K203" s="711" t="str">
        <f t="shared" si="37"/>
        <v/>
      </c>
      <c r="L203" s="712" t="str">
        <f t="shared" si="38"/>
        <v/>
      </c>
      <c r="N203" s="719"/>
      <c r="P203" s="720">
        <f t="shared" ref="P203:T266" si="43">IF(ISTEXT(D203),D203,IF(D203="","",ROUND(D203,$R$1)))</f>
        <v>2375.3249999999998</v>
      </c>
      <c r="Q203" s="715"/>
      <c r="R203" s="721">
        <f t="shared" si="43"/>
        <v>2375.3249999999998</v>
      </c>
      <c r="T203" s="722">
        <f t="shared" si="43"/>
        <v>2375.3249999999998</v>
      </c>
    </row>
    <row r="204" spans="1:20" ht="12.75" hidden="1" customHeight="1" x14ac:dyDescent="0.2">
      <c r="A204" s="1097"/>
      <c r="B204" s="713" t="str">
        <f>IF(PlanII!B24="","-",PlanII!B24)</f>
        <v>-</v>
      </c>
      <c r="C204" s="727" t="s">
        <v>387</v>
      </c>
      <c r="D204" s="720" t="str">
        <f>IF('[1]E-Plan II'!$E24="","",'[1]E-Plan II'!$E24)</f>
        <v/>
      </c>
      <c r="E204" s="715"/>
      <c r="F204" s="721" t="str">
        <f>IF(OR(PlanII!C24="",PlanII!D24=""),"-",PlanII!C24*PlanII!D24)</f>
        <v>-</v>
      </c>
      <c r="H204" s="722" t="str">
        <f>IF(PlanII!$E24="","",PlanII!$E24)</f>
        <v/>
      </c>
      <c r="I204" s="717" t="str">
        <f t="shared" si="41"/>
        <v/>
      </c>
      <c r="J204" s="718" t="str">
        <f t="shared" si="42"/>
        <v>-</v>
      </c>
      <c r="K204" s="711" t="str">
        <f t="shared" si="37"/>
        <v/>
      </c>
      <c r="L204" s="712" t="str">
        <f t="shared" si="38"/>
        <v/>
      </c>
      <c r="N204" s="719"/>
      <c r="P204" s="720" t="str">
        <f t="shared" si="43"/>
        <v/>
      </c>
      <c r="Q204" s="715"/>
      <c r="R204" s="721" t="str">
        <f t="shared" si="43"/>
        <v>-</v>
      </c>
      <c r="T204" s="722" t="str">
        <f t="shared" si="43"/>
        <v/>
      </c>
    </row>
    <row r="205" spans="1:20" ht="12.75" hidden="1" customHeight="1" x14ac:dyDescent="0.2">
      <c r="A205" s="1097"/>
      <c r="B205" s="713" t="str">
        <f>IF(PlanII!B25="","-",PlanII!B25)</f>
        <v>-</v>
      </c>
      <c r="C205" s="727" t="s">
        <v>387</v>
      </c>
      <c r="D205" s="720" t="str">
        <f>IF('[1]E-Plan II'!$E25="","",'[1]E-Plan II'!$E25)</f>
        <v/>
      </c>
      <c r="E205" s="715"/>
      <c r="F205" s="721" t="str">
        <f>IF(OR(PlanII!C25="",PlanII!D25=""),"-",PlanII!C25*PlanII!D25)</f>
        <v>-</v>
      </c>
      <c r="H205" s="722" t="str">
        <f>IF(PlanII!$E25="","",PlanII!$E25)</f>
        <v/>
      </c>
      <c r="I205" s="717" t="str">
        <f t="shared" si="41"/>
        <v/>
      </c>
      <c r="J205" s="718" t="str">
        <f t="shared" si="42"/>
        <v>-</v>
      </c>
      <c r="K205" s="711" t="str">
        <f t="shared" si="37"/>
        <v/>
      </c>
      <c r="L205" s="712" t="str">
        <f t="shared" si="38"/>
        <v/>
      </c>
      <c r="N205" s="719"/>
      <c r="P205" s="720" t="str">
        <f t="shared" si="43"/>
        <v/>
      </c>
      <c r="Q205" s="715"/>
      <c r="R205" s="721" t="str">
        <f t="shared" si="43"/>
        <v>-</v>
      </c>
      <c r="T205" s="722" t="str">
        <f t="shared" si="43"/>
        <v/>
      </c>
    </row>
    <row r="206" spans="1:20" ht="12.75" hidden="1" customHeight="1" x14ac:dyDescent="0.2">
      <c r="A206" s="1097"/>
      <c r="B206" s="713" t="str">
        <f>IF(PlanII!B26="","-",PlanII!B26)</f>
        <v>-</v>
      </c>
      <c r="C206" s="727" t="s">
        <v>387</v>
      </c>
      <c r="D206" s="720" t="str">
        <f>IF('[1]E-Plan II'!$E26="","",'[1]E-Plan II'!$E26)</f>
        <v/>
      </c>
      <c r="E206" s="715"/>
      <c r="F206" s="721" t="str">
        <f>IF(OR(PlanII!C26="",PlanII!D26=""),"-",PlanII!C26*PlanII!D26)</f>
        <v>-</v>
      </c>
      <c r="H206" s="722" t="str">
        <f>IF(PlanII!$E26="","",PlanII!$E26)</f>
        <v/>
      </c>
      <c r="I206" s="717" t="str">
        <f t="shared" si="41"/>
        <v/>
      </c>
      <c r="J206" s="718" t="str">
        <f t="shared" si="42"/>
        <v>-</v>
      </c>
      <c r="K206" s="711" t="str">
        <f t="shared" si="37"/>
        <v/>
      </c>
      <c r="L206" s="712" t="str">
        <f t="shared" si="38"/>
        <v/>
      </c>
      <c r="N206" s="719"/>
      <c r="P206" s="720" t="str">
        <f t="shared" si="43"/>
        <v/>
      </c>
      <c r="Q206" s="715"/>
      <c r="R206" s="721" t="str">
        <f t="shared" si="43"/>
        <v>-</v>
      </c>
      <c r="T206" s="722" t="str">
        <f t="shared" si="43"/>
        <v/>
      </c>
    </row>
    <row r="207" spans="1:20" ht="12.75" hidden="1" customHeight="1" x14ac:dyDescent="0.2">
      <c r="A207" s="1097"/>
      <c r="B207" s="713" t="str">
        <f>IF(PlanII!B27="","-",PlanII!B27)</f>
        <v>-</v>
      </c>
      <c r="C207" s="727" t="s">
        <v>387</v>
      </c>
      <c r="D207" s="720" t="str">
        <f>IF('[1]E-Plan II'!$E27="","",'[1]E-Plan II'!$E27)</f>
        <v/>
      </c>
      <c r="E207" s="715"/>
      <c r="F207" s="721" t="str">
        <f>IF(OR(PlanII!C27="",PlanII!D27=""),"-",PlanII!C27*PlanII!D27)</f>
        <v>-</v>
      </c>
      <c r="H207" s="722" t="str">
        <f>IF(PlanII!$E27="","",PlanII!$E27)</f>
        <v/>
      </c>
      <c r="I207" s="717" t="str">
        <f t="shared" si="41"/>
        <v/>
      </c>
      <c r="J207" s="718" t="str">
        <f t="shared" si="42"/>
        <v>-</v>
      </c>
      <c r="K207" s="711" t="str">
        <f t="shared" si="37"/>
        <v/>
      </c>
      <c r="L207" s="712" t="str">
        <f t="shared" si="38"/>
        <v/>
      </c>
      <c r="N207" s="719"/>
      <c r="P207" s="720" t="str">
        <f t="shared" si="43"/>
        <v/>
      </c>
      <c r="Q207" s="715"/>
      <c r="R207" s="721" t="str">
        <f t="shared" si="43"/>
        <v>-</v>
      </c>
      <c r="T207" s="722" t="str">
        <f t="shared" si="43"/>
        <v/>
      </c>
    </row>
    <row r="208" spans="1:20" ht="12.75" hidden="1" customHeight="1" x14ac:dyDescent="0.2">
      <c r="A208" s="1097"/>
      <c r="B208" s="713" t="str">
        <f>IF(PlanII!B28="","-",PlanII!B28)</f>
        <v>VK Dauergrünland 3-schnittig</v>
      </c>
      <c r="C208" s="727" t="s">
        <v>387</v>
      </c>
      <c r="D208" s="720">
        <f>IF('[1]E-Plan II'!$E28="","",'[1]E-Plan II'!$E28)</f>
        <v>-7848.732</v>
      </c>
      <c r="E208" s="715"/>
      <c r="F208" s="721">
        <f>IF(OR(PlanII!C28="",PlanII!D28=""),"-",PlanII!C28*-PlanII!D28)</f>
        <v>-7848.732</v>
      </c>
      <c r="H208" s="722">
        <f>IF(PlanII!$E28="","",PlanII!$E28)</f>
        <v>-7848.732</v>
      </c>
      <c r="I208" s="717" t="str">
        <f t="shared" si="41"/>
        <v>Richtig!</v>
      </c>
      <c r="J208" s="718" t="str">
        <f t="shared" si="42"/>
        <v>-</v>
      </c>
      <c r="K208" s="711" t="str">
        <f t="shared" si="37"/>
        <v/>
      </c>
      <c r="L208" s="712" t="str">
        <f t="shared" si="38"/>
        <v/>
      </c>
      <c r="N208" s="719"/>
      <c r="P208" s="720">
        <f t="shared" si="43"/>
        <v>-7848.732</v>
      </c>
      <c r="Q208" s="715"/>
      <c r="R208" s="721">
        <f t="shared" si="43"/>
        <v>-7848.732</v>
      </c>
      <c r="T208" s="722">
        <f t="shared" si="43"/>
        <v>-7848.732</v>
      </c>
    </row>
    <row r="209" spans="1:20" ht="12.75" customHeight="1" x14ac:dyDescent="0.2">
      <c r="A209" s="1097"/>
      <c r="B209" s="713" t="str">
        <f>IF(PlanII!B29="","-",PlanII!B29)</f>
        <v>VK Dauergrünland 1-schnittig</v>
      </c>
      <c r="C209" s="727" t="s">
        <v>387</v>
      </c>
      <c r="D209" s="720">
        <f>IF('[1]E-Plan II'!$E29="","",'[1]E-Plan II'!$E29)</f>
        <v>-427.42250000000001</v>
      </c>
      <c r="E209" s="715"/>
      <c r="F209" s="721">
        <f>IF(OR(PlanII!C29="",PlanII!D29=""),"-",PlanII!C29*-PlanII!D29)</f>
        <v>-427.42250000000001</v>
      </c>
      <c r="H209" s="722">
        <f>IF(PlanII!$E29="","",PlanII!$E29)</f>
        <v>-427.42250000000001</v>
      </c>
      <c r="I209" s="717" t="str">
        <f t="shared" si="41"/>
        <v>Richtig!</v>
      </c>
      <c r="J209" s="718">
        <f t="shared" si="42"/>
        <v>1</v>
      </c>
      <c r="K209" s="711" t="str">
        <f t="shared" si="37"/>
        <v>│</v>
      </c>
      <c r="L209" s="712">
        <f t="shared" si="38"/>
        <v>1</v>
      </c>
      <c r="N209" s="719" t="str">
        <f>IF($L$1="","",$L$1)</f>
        <v>x</v>
      </c>
      <c r="P209" s="720">
        <f t="shared" si="43"/>
        <v>-427.42250000000001</v>
      </c>
      <c r="Q209" s="715"/>
      <c r="R209" s="721">
        <f t="shared" si="43"/>
        <v>-427.42250000000001</v>
      </c>
      <c r="T209" s="722">
        <f t="shared" si="43"/>
        <v>-427.42250000000001</v>
      </c>
    </row>
    <row r="210" spans="1:20" ht="12.75" hidden="1" customHeight="1" x14ac:dyDescent="0.2">
      <c r="A210" s="1097"/>
      <c r="B210" s="713" t="str">
        <f>IF(PlanII!B30="","-",PlanII!B30)</f>
        <v>VK Feldfutter - Heu</v>
      </c>
      <c r="C210" s="727" t="s">
        <v>387</v>
      </c>
      <c r="D210" s="720">
        <f>IF('[1]E-Plan II'!$E30="","",'[1]E-Plan II'!$E30)</f>
        <v>-1143.1872000000001</v>
      </c>
      <c r="E210" s="715"/>
      <c r="F210" s="721">
        <f>IF(OR(PlanII!C30="",PlanII!D30=""),"-",PlanII!C30*-PlanII!D30)</f>
        <v>-1143.1872000000001</v>
      </c>
      <c r="H210" s="722">
        <f>IF(PlanII!$E30="","",PlanII!$E30)</f>
        <v>-1143.1872000000001</v>
      </c>
      <c r="I210" s="717" t="str">
        <f t="shared" si="41"/>
        <v>Richtig!</v>
      </c>
      <c r="J210" s="718" t="str">
        <f t="shared" si="42"/>
        <v>-</v>
      </c>
      <c r="K210" s="711" t="str">
        <f t="shared" si="37"/>
        <v/>
      </c>
      <c r="L210" s="712" t="str">
        <f t="shared" si="38"/>
        <v/>
      </c>
      <c r="N210" s="719"/>
      <c r="P210" s="720">
        <f t="shared" si="43"/>
        <v>-1143.1872000000001</v>
      </c>
      <c r="Q210" s="715"/>
      <c r="R210" s="721">
        <f t="shared" si="43"/>
        <v>-1143.1872000000001</v>
      </c>
      <c r="T210" s="722">
        <f t="shared" si="43"/>
        <v>-1143.1872000000001</v>
      </c>
    </row>
    <row r="211" spans="1:20" ht="12.75" hidden="1" customHeight="1" x14ac:dyDescent="0.2">
      <c r="A211" s="1097"/>
      <c r="B211" s="713" t="str">
        <f>IF(PlanII!B31="","-",PlanII!B31)</f>
        <v>-</v>
      </c>
      <c r="C211" s="727" t="s">
        <v>387</v>
      </c>
      <c r="D211" s="720" t="str">
        <f>IF('[1]E-Plan II'!$E31="","",'[1]E-Plan II'!$E31)</f>
        <v/>
      </c>
      <c r="E211" s="715"/>
      <c r="F211" s="721" t="str">
        <f>IF(OR(PlanII!C31="",PlanII!D31=""),"-",PlanII!C31*-PlanII!D31)</f>
        <v>-</v>
      </c>
      <c r="H211" s="722" t="str">
        <f>IF(PlanII!$E31="","",PlanII!$E31)</f>
        <v/>
      </c>
      <c r="I211" s="717" t="str">
        <f t="shared" si="41"/>
        <v/>
      </c>
      <c r="J211" s="718" t="str">
        <f t="shared" si="42"/>
        <v>-</v>
      </c>
      <c r="K211" s="711" t="str">
        <f t="shared" si="37"/>
        <v/>
      </c>
      <c r="L211" s="712" t="str">
        <f t="shared" si="38"/>
        <v/>
      </c>
      <c r="N211" s="719"/>
      <c r="P211" s="720" t="str">
        <f t="shared" si="43"/>
        <v/>
      </c>
      <c r="Q211" s="715"/>
      <c r="R211" s="721" t="str">
        <f t="shared" si="43"/>
        <v>-</v>
      </c>
      <c r="T211" s="722" t="str">
        <f t="shared" si="43"/>
        <v/>
      </c>
    </row>
    <row r="212" spans="1:20" ht="12.75" hidden="1" customHeight="1" x14ac:dyDescent="0.2">
      <c r="A212" s="1097"/>
      <c r="B212" s="713" t="str">
        <f>IF(PlanII!B32="","-",PlanII!B32)</f>
        <v>-</v>
      </c>
      <c r="C212" s="727" t="s">
        <v>387</v>
      </c>
      <c r="D212" s="720" t="str">
        <f>IF('[1]E-Plan II'!$E32="","",'[1]E-Plan II'!$E32)</f>
        <v/>
      </c>
      <c r="E212" s="715"/>
      <c r="F212" s="721" t="str">
        <f>IF(OR(PlanII!C32="",PlanII!D32=""),"-",PlanII!C32*-PlanII!D32)</f>
        <v>-</v>
      </c>
      <c r="H212" s="722" t="str">
        <f>IF(PlanII!$E32="","",PlanII!$E32)</f>
        <v/>
      </c>
      <c r="I212" s="717" t="str">
        <f t="shared" si="41"/>
        <v/>
      </c>
      <c r="J212" s="718" t="str">
        <f t="shared" si="42"/>
        <v>-</v>
      </c>
      <c r="K212" s="711" t="str">
        <f t="shared" si="37"/>
        <v/>
      </c>
      <c r="L212" s="712" t="str">
        <f t="shared" si="38"/>
        <v/>
      </c>
      <c r="N212" s="719"/>
      <c r="P212" s="720" t="str">
        <f t="shared" si="43"/>
        <v/>
      </c>
      <c r="Q212" s="715"/>
      <c r="R212" s="721" t="str">
        <f t="shared" si="43"/>
        <v>-</v>
      </c>
      <c r="T212" s="722" t="str">
        <f t="shared" si="43"/>
        <v/>
      </c>
    </row>
    <row r="213" spans="1:20" ht="12.75" hidden="1" customHeight="1" x14ac:dyDescent="0.2">
      <c r="A213" s="1097"/>
      <c r="B213" s="713" t="str">
        <f>IF(PlanII!B33="","-",PlanII!B33)</f>
        <v>-</v>
      </c>
      <c r="C213" s="727" t="s">
        <v>387</v>
      </c>
      <c r="D213" s="720" t="str">
        <f>IF('[1]E-Plan II'!$E33="","",'[1]E-Plan II'!$E33)</f>
        <v/>
      </c>
      <c r="E213" s="715"/>
      <c r="F213" s="721" t="str">
        <f>IF(OR(PlanII!C33="",PlanII!D33=""),"-",PlanII!C33*-PlanII!D33)</f>
        <v>-</v>
      </c>
      <c r="H213" s="722" t="str">
        <f>IF(PlanII!$E33="","",PlanII!$E33)</f>
        <v/>
      </c>
      <c r="I213" s="717" t="str">
        <f t="shared" si="41"/>
        <v/>
      </c>
      <c r="J213" s="718" t="str">
        <f t="shared" si="42"/>
        <v>-</v>
      </c>
      <c r="K213" s="711" t="str">
        <f t="shared" si="37"/>
        <v/>
      </c>
      <c r="L213" s="712" t="str">
        <f t="shared" si="38"/>
        <v/>
      </c>
      <c r="N213" s="719"/>
      <c r="P213" s="720" t="str">
        <f t="shared" si="43"/>
        <v/>
      </c>
      <c r="Q213" s="715"/>
      <c r="R213" s="721" t="str">
        <f t="shared" si="43"/>
        <v>-</v>
      </c>
      <c r="T213" s="722" t="str">
        <f t="shared" si="43"/>
        <v/>
      </c>
    </row>
    <row r="214" spans="1:20" ht="12.75" hidden="1" customHeight="1" x14ac:dyDescent="0.2">
      <c r="A214" s="1097"/>
      <c r="B214" s="713" t="str">
        <f>IF(PlanII!B34="","-",PlanII!B34)</f>
        <v xml:space="preserve"> Sonstige Arbeiten</v>
      </c>
      <c r="C214" s="727" t="s">
        <v>387</v>
      </c>
      <c r="D214" s="720" t="str">
        <f>IF('[1]E-Plan II'!$E34="","",'[1]E-Plan II'!$E34)</f>
        <v/>
      </c>
      <c r="E214" s="715"/>
      <c r="F214" s="721" t="str">
        <f>IF(OR(PlanII!C34="",PlanII!D34=""),"-",PlanII!C34*-PlanII!D34)</f>
        <v>-</v>
      </c>
      <c r="H214" s="722" t="str">
        <f>IF(PlanII!$E34="","",PlanII!$E34)</f>
        <v/>
      </c>
      <c r="I214" s="717" t="str">
        <f t="shared" si="41"/>
        <v>Richtig!</v>
      </c>
      <c r="J214" s="718" t="str">
        <f t="shared" si="42"/>
        <v>-</v>
      </c>
      <c r="K214" s="711" t="str">
        <f t="shared" si="37"/>
        <v/>
      </c>
      <c r="L214" s="712" t="str">
        <f t="shared" si="38"/>
        <v/>
      </c>
      <c r="N214" s="719"/>
      <c r="P214" s="720" t="str">
        <f t="shared" si="43"/>
        <v/>
      </c>
      <c r="Q214" s="715"/>
      <c r="R214" s="721" t="str">
        <f t="shared" si="43"/>
        <v>-</v>
      </c>
      <c r="T214" s="722" t="str">
        <f t="shared" si="43"/>
        <v/>
      </c>
    </row>
    <row r="215" spans="1:20" ht="12.75" customHeight="1" x14ac:dyDescent="0.2">
      <c r="A215" s="1097"/>
      <c r="B215" s="713" t="str">
        <f>IF(PlanII!B35="","-",PlanII!B35)</f>
        <v>Gesamt DB</v>
      </c>
      <c r="C215" s="727" t="s">
        <v>387</v>
      </c>
      <c r="D215" s="720">
        <f>IF('[1]E-Plan II'!$E35="","",'[1]E-Plan II'!$E35)</f>
        <v>23323.083300000002</v>
      </c>
      <c r="E215" s="715"/>
      <c r="F215" s="721">
        <f>IF(AND(H201="",H202="",H203="",H204="",H205="",H206="",H207="",H208="",H209="",H210="",H211="",H212="",H213="",H214=""),"-",SUM(H201:H214))</f>
        <v>23323.083300000002</v>
      </c>
      <c r="H215" s="722">
        <f>IF(PlanII!$E35="","",PlanII!$E35)</f>
        <v>23323.083300000002</v>
      </c>
      <c r="I215" s="717" t="str">
        <f t="shared" si="41"/>
        <v>Richtig!</v>
      </c>
      <c r="J215" s="718">
        <f t="shared" si="42"/>
        <v>1</v>
      </c>
      <c r="K215" s="711" t="str">
        <f t="shared" si="37"/>
        <v>│</v>
      </c>
      <c r="L215" s="712">
        <f t="shared" si="38"/>
        <v>1</v>
      </c>
      <c r="N215" s="719" t="str">
        <f>IF($L$1="","",$L$1)</f>
        <v>x</v>
      </c>
      <c r="P215" s="720">
        <f t="shared" si="43"/>
        <v>23323.083299999998</v>
      </c>
      <c r="Q215" s="715"/>
      <c r="R215" s="721">
        <f t="shared" si="43"/>
        <v>23323.083299999998</v>
      </c>
      <c r="T215" s="722">
        <f t="shared" si="43"/>
        <v>23323.083299999998</v>
      </c>
    </row>
    <row r="216" spans="1:20" ht="12.75" customHeight="1" x14ac:dyDescent="0.2">
      <c r="A216" s="1097"/>
      <c r="C216" s="727"/>
      <c r="D216" s="723"/>
      <c r="E216" s="715"/>
      <c r="F216" s="715"/>
      <c r="H216" s="724"/>
      <c r="I216" s="717"/>
      <c r="J216" s="717"/>
      <c r="K216" s="711" t="str">
        <f t="shared" si="37"/>
        <v/>
      </c>
      <c r="L216" s="712" t="str">
        <f t="shared" si="38"/>
        <v/>
      </c>
      <c r="N216" s="725" t="str">
        <f>IF($L$1="","",$L$1)</f>
        <v>x</v>
      </c>
      <c r="P216" s="723" t="str">
        <f t="shared" si="43"/>
        <v/>
      </c>
      <c r="Q216" s="715"/>
      <c r="R216" s="715" t="str">
        <f t="shared" si="43"/>
        <v/>
      </c>
      <c r="T216" s="724" t="str">
        <f t="shared" si="43"/>
        <v/>
      </c>
    </row>
    <row r="217" spans="1:20" ht="12.75" customHeight="1" x14ac:dyDescent="0.2">
      <c r="A217" s="1096" t="s">
        <v>370</v>
      </c>
      <c r="B217" s="726" t="str">
        <f>PlanII!F18</f>
        <v>Ertrag (+) bzw Bedarf (-) an KStE oder MJ NEL</v>
      </c>
      <c r="C217" s="727"/>
      <c r="D217" s="708"/>
      <c r="H217" s="709"/>
      <c r="I217" s="710"/>
      <c r="J217" s="710"/>
      <c r="K217" s="711" t="str">
        <f t="shared" si="37"/>
        <v/>
      </c>
      <c r="L217" s="712" t="str">
        <f t="shared" si="38"/>
        <v/>
      </c>
      <c r="N217" s="695" t="str">
        <f>IF($L$1="","",$L$1)</f>
        <v>x</v>
      </c>
      <c r="P217" s="708" t="str">
        <f t="shared" si="43"/>
        <v/>
      </c>
      <c r="R217" s="1" t="str">
        <f t="shared" si="43"/>
        <v/>
      </c>
      <c r="T217" s="709" t="str">
        <f t="shared" si="43"/>
        <v/>
      </c>
    </row>
    <row r="218" spans="1:20" ht="12.75" x14ac:dyDescent="0.2">
      <c r="A218" s="1097"/>
      <c r="B218" s="713" t="str">
        <f>IF(PlanII!B21="","-",PlanII!B21)</f>
        <v>DB Milchschafe</v>
      </c>
      <c r="C218" s="727" t="s">
        <v>387</v>
      </c>
      <c r="D218" s="720">
        <f>IF('[1]E-Plan II'!$G21="","",'[1]E-Plan II'!$G21)</f>
        <v>-260820</v>
      </c>
      <c r="E218" s="715"/>
      <c r="F218" s="721">
        <f>IF(OR(PlanII!$C21="",PlanII!F21=""),"-",PlanII!$C21*-PlanII!F21)</f>
        <v>-260820</v>
      </c>
      <c r="H218" s="722">
        <f>IF(PlanII!$G21="","",PlanII!$G21)</f>
        <v>-260820</v>
      </c>
      <c r="I218" s="717" t="str">
        <f t="shared" ref="I218:I232" si="44">IF(B218="-","",IF(P218=T218,"Richtig!",IF(AND(P218&lt;&gt;T218,R218=T218),"Formel: OK",IF(T218="","Fehlt","Falsch"))))</f>
        <v>Richtig!</v>
      </c>
      <c r="J218" s="718">
        <f t="shared" ref="J218:J232" si="45">IF(OR(B218="-",N218="",AND(P218="",T218="")),"-",IF(I218="Richtig!",1,IF(I218="Formel: OK",0.5,IF(OR(I218="Falsch",I218="Fehlt"),0,""))))</f>
        <v>1</v>
      </c>
      <c r="K218" s="711" t="str">
        <f t="shared" si="37"/>
        <v>│</v>
      </c>
      <c r="L218" s="712">
        <f t="shared" si="38"/>
        <v>1</v>
      </c>
      <c r="N218" s="719" t="str">
        <f>IF($L$1="","",$L$1)</f>
        <v>x</v>
      </c>
      <c r="P218" s="720">
        <f t="shared" si="43"/>
        <v>-260820</v>
      </c>
      <c r="Q218" s="715"/>
      <c r="R218" s="721">
        <f t="shared" si="43"/>
        <v>-260820</v>
      </c>
      <c r="T218" s="722">
        <f t="shared" si="43"/>
        <v>-260820</v>
      </c>
    </row>
    <row r="219" spans="1:20" ht="12.75" x14ac:dyDescent="0.2">
      <c r="A219" s="1097"/>
      <c r="B219" s="713" t="str">
        <f>IF(PlanII!B22="","-",PlanII!B22)</f>
        <v>DB Lämmer</v>
      </c>
      <c r="C219" s="727" t="s">
        <v>387</v>
      </c>
      <c r="D219" s="720">
        <f>IF('[1]E-Plan II'!$G22="","",'[1]E-Plan II'!$G22)</f>
        <v>0</v>
      </c>
      <c r="E219" s="715"/>
      <c r="F219" s="721">
        <f>IF(OR(PlanII!$C22="",PlanII!F22=""),"-",PlanII!$C22*-PlanII!F22)</f>
        <v>0</v>
      </c>
      <c r="H219" s="722">
        <f>IF(PlanII!$G22="","",PlanII!$G22)</f>
        <v>0</v>
      </c>
      <c r="I219" s="717" t="str">
        <f t="shared" si="44"/>
        <v>Richtig!</v>
      </c>
      <c r="J219" s="718">
        <f t="shared" si="45"/>
        <v>1</v>
      </c>
      <c r="K219" s="711" t="str">
        <f t="shared" si="37"/>
        <v>│</v>
      </c>
      <c r="L219" s="712">
        <f t="shared" si="38"/>
        <v>1</v>
      </c>
      <c r="N219" s="719" t="str">
        <f>IF($L$1="","",$L$1)</f>
        <v>x</v>
      </c>
      <c r="P219" s="720">
        <f t="shared" si="43"/>
        <v>0</v>
      </c>
      <c r="Q219" s="715"/>
      <c r="R219" s="721">
        <f t="shared" si="43"/>
        <v>0</v>
      </c>
      <c r="T219" s="722">
        <f t="shared" si="43"/>
        <v>0</v>
      </c>
    </row>
    <row r="220" spans="1:20" ht="12.75" hidden="1" customHeight="1" x14ac:dyDescent="0.2">
      <c r="A220" s="1097"/>
      <c r="B220" s="713" t="str">
        <f>IF(PlanII!B23="","-",PlanII!B23)</f>
        <v>DB Kartoffel</v>
      </c>
      <c r="C220" s="727" t="s">
        <v>387</v>
      </c>
      <c r="D220" s="720">
        <f>IF('[1]E-Plan II'!$G23="","",'[1]E-Plan II'!$G23)</f>
        <v>0</v>
      </c>
      <c r="E220" s="715"/>
      <c r="F220" s="721">
        <f>IF(OR(PlanII!$C23="",PlanII!F23=""),"-",PlanII!$C23*-PlanII!F23)</f>
        <v>0</v>
      </c>
      <c r="H220" s="722">
        <f>IF(PlanII!$G23="","",PlanII!$G23)</f>
        <v>0</v>
      </c>
      <c r="I220" s="717" t="str">
        <f t="shared" si="44"/>
        <v>Richtig!</v>
      </c>
      <c r="J220" s="718" t="str">
        <f t="shared" si="45"/>
        <v>-</v>
      </c>
      <c r="K220" s="711" t="str">
        <f t="shared" si="37"/>
        <v/>
      </c>
      <c r="L220" s="712" t="str">
        <f t="shared" si="38"/>
        <v/>
      </c>
      <c r="N220" s="719"/>
      <c r="P220" s="720">
        <f t="shared" si="43"/>
        <v>0</v>
      </c>
      <c r="Q220" s="715"/>
      <c r="R220" s="721">
        <f t="shared" si="43"/>
        <v>0</v>
      </c>
      <c r="T220" s="722">
        <f t="shared" si="43"/>
        <v>0</v>
      </c>
    </row>
    <row r="221" spans="1:20" ht="12.75" hidden="1" customHeight="1" x14ac:dyDescent="0.2">
      <c r="A221" s="1097"/>
      <c r="B221" s="713" t="str">
        <f>IF(PlanII!B24="","-",PlanII!B24)</f>
        <v>-</v>
      </c>
      <c r="C221" s="727" t="s">
        <v>387</v>
      </c>
      <c r="D221" s="720" t="str">
        <f>IF('[1]E-Plan II'!$G24="","",'[1]E-Plan II'!$G24)</f>
        <v/>
      </c>
      <c r="E221" s="715"/>
      <c r="F221" s="721" t="str">
        <f>IF(OR(PlanII!$C24="",PlanII!F24=""),"-",PlanII!$C24*-PlanII!F24)</f>
        <v>-</v>
      </c>
      <c r="H221" s="722" t="str">
        <f>IF(PlanII!$G24="","",PlanII!$G24)</f>
        <v/>
      </c>
      <c r="I221" s="717" t="str">
        <f t="shared" si="44"/>
        <v/>
      </c>
      <c r="J221" s="718" t="str">
        <f t="shared" si="45"/>
        <v>-</v>
      </c>
      <c r="K221" s="711" t="str">
        <f t="shared" si="37"/>
        <v/>
      </c>
      <c r="L221" s="712" t="str">
        <f t="shared" si="38"/>
        <v/>
      </c>
      <c r="N221" s="719"/>
      <c r="P221" s="720" t="str">
        <f t="shared" si="43"/>
        <v/>
      </c>
      <c r="Q221" s="715"/>
      <c r="R221" s="721" t="str">
        <f t="shared" si="43"/>
        <v>-</v>
      </c>
      <c r="T221" s="722" t="str">
        <f t="shared" si="43"/>
        <v/>
      </c>
    </row>
    <row r="222" spans="1:20" ht="12.75" hidden="1" customHeight="1" x14ac:dyDescent="0.2">
      <c r="A222" s="1097"/>
      <c r="B222" s="713" t="str">
        <f>IF(PlanII!B25="","-",PlanII!B25)</f>
        <v>-</v>
      </c>
      <c r="C222" s="727" t="s">
        <v>387</v>
      </c>
      <c r="D222" s="720" t="str">
        <f>IF('[1]E-Plan II'!$G25="","",'[1]E-Plan II'!$G25)</f>
        <v/>
      </c>
      <c r="E222" s="715"/>
      <c r="F222" s="721" t="str">
        <f>IF(OR(PlanII!$C25="",PlanII!F25=""),"-",PlanII!$C25*-PlanII!F25)</f>
        <v>-</v>
      </c>
      <c r="H222" s="722" t="str">
        <f>IF(PlanII!$G25="","",PlanII!$G25)</f>
        <v/>
      </c>
      <c r="I222" s="717" t="str">
        <f t="shared" si="44"/>
        <v/>
      </c>
      <c r="J222" s="718" t="str">
        <f t="shared" si="45"/>
        <v>-</v>
      </c>
      <c r="K222" s="711" t="str">
        <f t="shared" si="37"/>
        <v/>
      </c>
      <c r="L222" s="712" t="str">
        <f t="shared" ref="L222:L253" si="46">IF(OR(B222="-",N222="",AND(P222="",T222="")),"",1)</f>
        <v/>
      </c>
      <c r="N222" s="719"/>
      <c r="P222" s="720" t="str">
        <f t="shared" si="43"/>
        <v/>
      </c>
      <c r="Q222" s="715"/>
      <c r="R222" s="721" t="str">
        <f t="shared" si="43"/>
        <v>-</v>
      </c>
      <c r="T222" s="722" t="str">
        <f t="shared" si="43"/>
        <v/>
      </c>
    </row>
    <row r="223" spans="1:20" ht="12.75" hidden="1" customHeight="1" x14ac:dyDescent="0.2">
      <c r="A223" s="1097"/>
      <c r="B223" s="713" t="str">
        <f>IF(PlanII!B26="","-",PlanII!B26)</f>
        <v>-</v>
      </c>
      <c r="C223" s="727" t="s">
        <v>387</v>
      </c>
      <c r="D223" s="720" t="str">
        <f>IF('[1]E-Plan II'!$G26="","",'[1]E-Plan II'!$G26)</f>
        <v/>
      </c>
      <c r="E223" s="715"/>
      <c r="F223" s="721" t="str">
        <f>IF(OR(PlanII!$C26="",PlanII!F26=""),"-",PlanII!$C26*-PlanII!F26)</f>
        <v>-</v>
      </c>
      <c r="H223" s="722" t="str">
        <f>IF(PlanII!$G26="","",PlanII!$G26)</f>
        <v/>
      </c>
      <c r="I223" s="717" t="str">
        <f t="shared" si="44"/>
        <v/>
      </c>
      <c r="J223" s="718" t="str">
        <f t="shared" si="45"/>
        <v>-</v>
      </c>
      <c r="K223" s="711" t="str">
        <f t="shared" si="37"/>
        <v/>
      </c>
      <c r="L223" s="712" t="str">
        <f t="shared" si="46"/>
        <v/>
      </c>
      <c r="N223" s="719"/>
      <c r="P223" s="720" t="str">
        <f t="shared" si="43"/>
        <v/>
      </c>
      <c r="Q223" s="715"/>
      <c r="R223" s="721" t="str">
        <f t="shared" si="43"/>
        <v>-</v>
      </c>
      <c r="T223" s="722" t="str">
        <f t="shared" si="43"/>
        <v/>
      </c>
    </row>
    <row r="224" spans="1:20" ht="12.75" hidden="1" customHeight="1" x14ac:dyDescent="0.2">
      <c r="A224" s="1097"/>
      <c r="B224" s="713" t="str">
        <f>IF(PlanII!B27="","-",PlanII!B27)</f>
        <v>-</v>
      </c>
      <c r="C224" s="727" t="s">
        <v>387</v>
      </c>
      <c r="D224" s="720" t="str">
        <f>IF('[1]E-Plan II'!$G27="","",'[1]E-Plan II'!$G27)</f>
        <v/>
      </c>
      <c r="E224" s="715"/>
      <c r="F224" s="721" t="str">
        <f>IF(OR(PlanII!$C27="",PlanII!F27=""),"-",PlanII!$C27*-PlanII!F27)</f>
        <v>-</v>
      </c>
      <c r="H224" s="722" t="str">
        <f>IF(PlanII!$G27="","",PlanII!$G27)</f>
        <v/>
      </c>
      <c r="I224" s="717" t="str">
        <f t="shared" si="44"/>
        <v/>
      </c>
      <c r="J224" s="718" t="str">
        <f t="shared" si="45"/>
        <v>-</v>
      </c>
      <c r="K224" s="711" t="str">
        <f t="shared" si="37"/>
        <v/>
      </c>
      <c r="L224" s="712" t="str">
        <f t="shared" si="46"/>
        <v/>
      </c>
      <c r="N224" s="719"/>
      <c r="P224" s="720" t="str">
        <f t="shared" si="43"/>
        <v/>
      </c>
      <c r="Q224" s="715"/>
      <c r="R224" s="721" t="str">
        <f t="shared" si="43"/>
        <v>-</v>
      </c>
      <c r="T224" s="722" t="str">
        <f t="shared" si="43"/>
        <v/>
      </c>
    </row>
    <row r="225" spans="1:20" ht="12.75" hidden="1" customHeight="1" x14ac:dyDescent="0.2">
      <c r="A225" s="1097"/>
      <c r="B225" s="713" t="str">
        <f>IF(PlanII!B28="","-",PlanII!B28)</f>
        <v>VK Dauergrünland 3-schnittig</v>
      </c>
      <c r="C225" s="727" t="s">
        <v>387</v>
      </c>
      <c r="D225" s="720">
        <f>IF('[1]E-Plan II'!$G28="","",'[1]E-Plan II'!$G28)</f>
        <v>219185.39999999997</v>
      </c>
      <c r="E225" s="715"/>
      <c r="F225" s="721">
        <f>IF(OR(PlanII!$C28="",PlanII!F28=""),"-",PlanII!$C28*PlanII!F28)</f>
        <v>219185.39999999997</v>
      </c>
      <c r="H225" s="722">
        <f>IF(PlanII!$G28="","",PlanII!$G28)</f>
        <v>219185.39999999997</v>
      </c>
      <c r="I225" s="717" t="str">
        <f t="shared" si="44"/>
        <v>Richtig!</v>
      </c>
      <c r="J225" s="718" t="str">
        <f t="shared" si="45"/>
        <v>-</v>
      </c>
      <c r="K225" s="711" t="str">
        <f t="shared" si="37"/>
        <v/>
      </c>
      <c r="L225" s="712" t="str">
        <f t="shared" si="46"/>
        <v/>
      </c>
      <c r="N225" s="719"/>
      <c r="P225" s="720">
        <f t="shared" si="43"/>
        <v>219185.4</v>
      </c>
      <c r="Q225" s="715"/>
      <c r="R225" s="721">
        <f t="shared" si="43"/>
        <v>219185.4</v>
      </c>
      <c r="T225" s="722">
        <f t="shared" si="43"/>
        <v>219185.4</v>
      </c>
    </row>
    <row r="226" spans="1:20" ht="12.75" x14ac:dyDescent="0.2">
      <c r="A226" s="1097"/>
      <c r="B226" s="713" t="str">
        <f>IF(PlanII!B29="","-",PlanII!B29)</f>
        <v>VK Dauergrünland 1-schnittig</v>
      </c>
      <c r="C226" s="727" t="s">
        <v>387</v>
      </c>
      <c r="D226" s="720">
        <f>IF('[1]E-Plan II'!$G29="","",'[1]E-Plan II'!$G29)</f>
        <v>27511.749999999996</v>
      </c>
      <c r="E226" s="715"/>
      <c r="F226" s="721">
        <f>IF(OR(PlanII!$C29="",PlanII!F29=""),"-",PlanII!$C29*PlanII!F29)</f>
        <v>27511.749999999996</v>
      </c>
      <c r="H226" s="722">
        <f>IF(PlanII!$G29="","",PlanII!$G29)</f>
        <v>27511.749999999996</v>
      </c>
      <c r="I226" s="717" t="str">
        <f t="shared" si="44"/>
        <v>Richtig!</v>
      </c>
      <c r="J226" s="718">
        <f t="shared" si="45"/>
        <v>1</v>
      </c>
      <c r="K226" s="711" t="str">
        <f t="shared" si="37"/>
        <v>│</v>
      </c>
      <c r="L226" s="712">
        <f t="shared" si="46"/>
        <v>1</v>
      </c>
      <c r="N226" s="719" t="str">
        <f>IF($L$1="","",$L$1)</f>
        <v>x</v>
      </c>
      <c r="P226" s="720">
        <f t="shared" si="43"/>
        <v>27511.75</v>
      </c>
      <c r="Q226" s="715"/>
      <c r="R226" s="721">
        <f t="shared" si="43"/>
        <v>27511.75</v>
      </c>
      <c r="T226" s="722">
        <f t="shared" si="43"/>
        <v>27511.75</v>
      </c>
    </row>
    <row r="227" spans="1:20" ht="12.75" hidden="1" customHeight="1" x14ac:dyDescent="0.2">
      <c r="A227" s="1097"/>
      <c r="B227" s="713" t="str">
        <f>IF(PlanII!B30="","-",PlanII!B30)</f>
        <v>VK Feldfutter - Heu</v>
      </c>
      <c r="C227" s="727" t="s">
        <v>387</v>
      </c>
      <c r="D227" s="720">
        <f>IF('[1]E-Plan II'!$G30="","",'[1]E-Plan II'!$G30)</f>
        <v>62993.279999999999</v>
      </c>
      <c r="E227" s="715"/>
      <c r="F227" s="721">
        <f>IF(OR(PlanII!$C30="",PlanII!F30=""),"-",PlanII!$C30*PlanII!F30)</f>
        <v>62993.279999999999</v>
      </c>
      <c r="H227" s="722">
        <f>IF(PlanII!$G30="","",PlanII!$G30)</f>
        <v>62993.279999999999</v>
      </c>
      <c r="I227" s="717" t="str">
        <f t="shared" si="44"/>
        <v>Richtig!</v>
      </c>
      <c r="J227" s="718" t="str">
        <f t="shared" si="45"/>
        <v>-</v>
      </c>
      <c r="K227" s="711" t="str">
        <f t="shared" si="37"/>
        <v/>
      </c>
      <c r="L227" s="712" t="str">
        <f t="shared" si="46"/>
        <v/>
      </c>
      <c r="N227" s="719"/>
      <c r="P227" s="720">
        <f t="shared" si="43"/>
        <v>62993.279999999999</v>
      </c>
      <c r="Q227" s="715"/>
      <c r="R227" s="721">
        <f t="shared" si="43"/>
        <v>62993.279999999999</v>
      </c>
      <c r="T227" s="722">
        <f t="shared" si="43"/>
        <v>62993.279999999999</v>
      </c>
    </row>
    <row r="228" spans="1:20" ht="12.75" hidden="1" customHeight="1" x14ac:dyDescent="0.2">
      <c r="A228" s="1097"/>
      <c r="B228" s="713" t="str">
        <f>IF(PlanII!B31="","-",PlanII!B31)</f>
        <v>-</v>
      </c>
      <c r="C228" s="727" t="s">
        <v>387</v>
      </c>
      <c r="D228" s="720" t="str">
        <f>IF('[1]E-Plan II'!$G31="","",'[1]E-Plan II'!$G31)</f>
        <v/>
      </c>
      <c r="E228" s="715"/>
      <c r="F228" s="721" t="str">
        <f>IF(OR(PlanII!$C31="",PlanII!F31=""),"-",PlanII!$C31*PlanII!F31)</f>
        <v>-</v>
      </c>
      <c r="H228" s="722" t="str">
        <f>IF(PlanII!$G31="","",PlanII!$G31)</f>
        <v/>
      </c>
      <c r="I228" s="717" t="str">
        <f t="shared" si="44"/>
        <v/>
      </c>
      <c r="J228" s="718" t="str">
        <f t="shared" si="45"/>
        <v>-</v>
      </c>
      <c r="K228" s="711" t="str">
        <f t="shared" si="37"/>
        <v/>
      </c>
      <c r="L228" s="712" t="str">
        <f t="shared" si="46"/>
        <v/>
      </c>
      <c r="N228" s="719"/>
      <c r="P228" s="720" t="str">
        <f t="shared" si="43"/>
        <v/>
      </c>
      <c r="Q228" s="715"/>
      <c r="R228" s="721" t="str">
        <f t="shared" si="43"/>
        <v>-</v>
      </c>
      <c r="T228" s="722" t="str">
        <f t="shared" si="43"/>
        <v/>
      </c>
    </row>
    <row r="229" spans="1:20" ht="12.75" hidden="1" customHeight="1" x14ac:dyDescent="0.2">
      <c r="A229" s="1097"/>
      <c r="B229" s="713" t="str">
        <f>IF(PlanII!B32="","-",PlanII!B32)</f>
        <v>-</v>
      </c>
      <c r="C229" s="727" t="s">
        <v>387</v>
      </c>
      <c r="D229" s="720" t="str">
        <f>IF('[1]E-Plan II'!$G32="","",'[1]E-Plan II'!$G32)</f>
        <v/>
      </c>
      <c r="E229" s="715"/>
      <c r="F229" s="721" t="str">
        <f>IF(OR(PlanII!$C32="",PlanII!F32=""),"-",PlanII!$C32*PlanII!F32)</f>
        <v>-</v>
      </c>
      <c r="H229" s="722" t="str">
        <f>IF(PlanII!$G32="","",PlanII!$G32)</f>
        <v/>
      </c>
      <c r="I229" s="717" t="str">
        <f t="shared" si="44"/>
        <v/>
      </c>
      <c r="J229" s="718" t="str">
        <f t="shared" si="45"/>
        <v>-</v>
      </c>
      <c r="K229" s="711" t="str">
        <f t="shared" si="37"/>
        <v/>
      </c>
      <c r="L229" s="712" t="str">
        <f t="shared" si="46"/>
        <v/>
      </c>
      <c r="N229" s="719"/>
      <c r="P229" s="720" t="str">
        <f t="shared" si="43"/>
        <v/>
      </c>
      <c r="Q229" s="715"/>
      <c r="R229" s="721" t="str">
        <f t="shared" si="43"/>
        <v>-</v>
      </c>
      <c r="T229" s="722" t="str">
        <f t="shared" si="43"/>
        <v/>
      </c>
    </row>
    <row r="230" spans="1:20" ht="12.75" hidden="1" customHeight="1" x14ac:dyDescent="0.2">
      <c r="A230" s="1097"/>
      <c r="B230" s="713" t="str">
        <f>IF(PlanII!B33="","-",PlanII!B33)</f>
        <v>-</v>
      </c>
      <c r="C230" s="727" t="s">
        <v>387</v>
      </c>
      <c r="D230" s="720" t="str">
        <f>IF('[1]E-Plan II'!$G33="","",'[1]E-Plan II'!$G33)</f>
        <v/>
      </c>
      <c r="E230" s="715"/>
      <c r="F230" s="721" t="str">
        <f>IF(OR(PlanII!$C33="",PlanII!F33=""),"-",PlanII!$C33*PlanII!F33)</f>
        <v>-</v>
      </c>
      <c r="H230" s="722" t="str">
        <f>IF(PlanII!$G33="","",PlanII!$G33)</f>
        <v/>
      </c>
      <c r="I230" s="717" t="str">
        <f t="shared" si="44"/>
        <v/>
      </c>
      <c r="J230" s="718" t="str">
        <f t="shared" si="45"/>
        <v>-</v>
      </c>
      <c r="K230" s="711" t="str">
        <f t="shared" si="37"/>
        <v/>
      </c>
      <c r="L230" s="712" t="str">
        <f t="shared" si="46"/>
        <v/>
      </c>
      <c r="N230" s="719"/>
      <c r="P230" s="720" t="str">
        <f t="shared" si="43"/>
        <v/>
      </c>
      <c r="Q230" s="715"/>
      <c r="R230" s="721" t="str">
        <f t="shared" si="43"/>
        <v>-</v>
      </c>
      <c r="T230" s="722" t="str">
        <f t="shared" si="43"/>
        <v/>
      </c>
    </row>
    <row r="231" spans="1:20" ht="12.75" hidden="1" customHeight="1" x14ac:dyDescent="0.2">
      <c r="A231" s="1097"/>
      <c r="B231" s="713" t="str">
        <f>IF(PlanII!B34="","-",PlanII!B34)</f>
        <v xml:space="preserve"> Sonstige Arbeiten</v>
      </c>
      <c r="C231" s="727" t="s">
        <v>387</v>
      </c>
      <c r="D231" s="720" t="str">
        <f>IF('[1]E-Plan II'!$G34="","",'[1]E-Plan II'!$G34)</f>
        <v/>
      </c>
      <c r="E231" s="715"/>
      <c r="F231" s="721" t="str">
        <f>IF(OR(PlanII!$C34="",PlanII!F34=""),"-",PlanII!$C34*PlanII!F34)</f>
        <v>-</v>
      </c>
      <c r="H231" s="722" t="str">
        <f>IF(PlanII!$G34="","",PlanII!$G34)</f>
        <v/>
      </c>
      <c r="I231" s="717" t="str">
        <f t="shared" si="44"/>
        <v>Richtig!</v>
      </c>
      <c r="J231" s="718" t="str">
        <f t="shared" si="45"/>
        <v>-</v>
      </c>
      <c r="K231" s="711" t="str">
        <f t="shared" si="37"/>
        <v/>
      </c>
      <c r="L231" s="712" t="str">
        <f t="shared" si="46"/>
        <v/>
      </c>
      <c r="N231" s="719"/>
      <c r="P231" s="720" t="str">
        <f t="shared" si="43"/>
        <v/>
      </c>
      <c r="Q231" s="715"/>
      <c r="R231" s="721" t="str">
        <f t="shared" si="43"/>
        <v>-</v>
      </c>
      <c r="T231" s="722" t="str">
        <f t="shared" si="43"/>
        <v/>
      </c>
    </row>
    <row r="232" spans="1:20" ht="12.75" customHeight="1" x14ac:dyDescent="0.2">
      <c r="A232" s="1097"/>
      <c r="B232" s="713" t="str">
        <f>IF(PlanII!F38="","-",PlanII!F38)</f>
        <v xml:space="preserve"> +/- Ges.
Energie</v>
      </c>
      <c r="C232" s="727" t="s">
        <v>387</v>
      </c>
      <c r="D232" s="720">
        <f>IF('[1]E-Plan II'!$G38="","",'[1]E-Plan II'!$G38)</f>
        <v>48870.429999999964</v>
      </c>
      <c r="E232" s="715"/>
      <c r="F232" s="721">
        <f>IF(AND(H218="",H219="",H220="",H221="",H222="",H223="",H224="",H225="",H226="",H227="",H228="",H229="",H230="",H231=""),"-",SUM(H218:H231))</f>
        <v>48870.429999999964</v>
      </c>
      <c r="H232" s="722">
        <f>IF(PlanII!$G38="","",PlanII!$G38)</f>
        <v>48870.429999999964</v>
      </c>
      <c r="I232" s="717" t="str">
        <f t="shared" si="44"/>
        <v>Richtig!</v>
      </c>
      <c r="J232" s="718">
        <f t="shared" si="45"/>
        <v>1</v>
      </c>
      <c r="K232" s="711" t="str">
        <f t="shared" si="37"/>
        <v>│</v>
      </c>
      <c r="L232" s="712">
        <f t="shared" si="46"/>
        <v>1</v>
      </c>
      <c r="N232" s="719" t="str">
        <f>IF($L$1="","",$L$1)</f>
        <v>x</v>
      </c>
      <c r="P232" s="720">
        <f t="shared" si="43"/>
        <v>48870.43</v>
      </c>
      <c r="Q232" s="715"/>
      <c r="R232" s="721">
        <f t="shared" si="43"/>
        <v>48870.43</v>
      </c>
      <c r="T232" s="722">
        <f t="shared" si="43"/>
        <v>48870.43</v>
      </c>
    </row>
    <row r="233" spans="1:20" ht="12.75" customHeight="1" x14ac:dyDescent="0.2">
      <c r="A233" s="1097"/>
      <c r="C233" s="727"/>
      <c r="D233" s="723"/>
      <c r="E233" s="715"/>
      <c r="F233" s="715"/>
      <c r="H233" s="724"/>
      <c r="I233" s="717"/>
      <c r="J233" s="717"/>
      <c r="K233" s="711" t="str">
        <f t="shared" si="37"/>
        <v/>
      </c>
      <c r="L233" s="712" t="str">
        <f t="shared" si="46"/>
        <v/>
      </c>
      <c r="N233" s="725" t="str">
        <f>IF($L$1="","",$L$1)</f>
        <v>x</v>
      </c>
      <c r="P233" s="723" t="str">
        <f t="shared" si="43"/>
        <v/>
      </c>
      <c r="Q233" s="715"/>
      <c r="R233" s="715" t="str">
        <f t="shared" si="43"/>
        <v/>
      </c>
      <c r="T233" s="724" t="str">
        <f t="shared" si="43"/>
        <v/>
      </c>
    </row>
    <row r="234" spans="1:20" ht="12.75" customHeight="1" x14ac:dyDescent="0.2">
      <c r="A234" s="1096" t="s">
        <v>373</v>
      </c>
      <c r="B234" s="726" t="str">
        <f>PlanII!H18</f>
        <v>Jahresarbeitszeit 
in Akh</v>
      </c>
      <c r="C234" s="727"/>
      <c r="D234" s="708"/>
      <c r="H234" s="709"/>
      <c r="I234" s="710"/>
      <c r="J234" s="710"/>
      <c r="K234" s="711" t="str">
        <f t="shared" si="37"/>
        <v/>
      </c>
      <c r="L234" s="712" t="str">
        <f t="shared" si="46"/>
        <v/>
      </c>
      <c r="N234" s="695" t="str">
        <f>IF($L$1="","",$L$1)</f>
        <v>x</v>
      </c>
      <c r="P234" s="708" t="str">
        <f t="shared" si="43"/>
        <v/>
      </c>
      <c r="R234" s="1" t="str">
        <f t="shared" si="43"/>
        <v/>
      </c>
      <c r="T234" s="709" t="str">
        <f t="shared" si="43"/>
        <v/>
      </c>
    </row>
    <row r="235" spans="1:20" ht="12.75" x14ac:dyDescent="0.2">
      <c r="A235" s="1097"/>
      <c r="B235" s="713" t="str">
        <f>IF(PlanII!B21="","-",PlanII!B21)</f>
        <v>DB Milchschafe</v>
      </c>
      <c r="C235" s="727" t="s">
        <v>387</v>
      </c>
      <c r="D235" s="720">
        <f>IF('[1]E-Plan II'!$I21="","",'[1]E-Plan II'!$I21)</f>
        <v>3259.2</v>
      </c>
      <c r="E235" s="715"/>
      <c r="F235" s="721">
        <f>IF(OR(PlanII!$C21="",PlanII!H21=""),"-",PlanII!$C21*PlanII!H21)</f>
        <v>3259.2</v>
      </c>
      <c r="H235" s="722">
        <f>IF(PlanII!$I21="","",PlanII!$I21)</f>
        <v>3259.2</v>
      </c>
      <c r="I235" s="717" t="str">
        <f t="shared" ref="I235:I249" si="47">IF(B235="-","",IF(P235=T235,"Richtig!",IF(AND(P235&lt;&gt;T235,R235=T235),"Formel: OK",IF(T235="","Fehlt","Falsch"))))</f>
        <v>Richtig!</v>
      </c>
      <c r="J235" s="718">
        <f t="shared" ref="J235:J249" si="48">IF(OR(B235="-",N235="",AND(P235="",T235="")),"-",IF(I235="Richtig!",1,IF(I235="Formel: OK",0.5,IF(OR(I235="Falsch",I235="Fehlt"),0,""))))</f>
        <v>1</v>
      </c>
      <c r="K235" s="711" t="str">
        <f t="shared" si="37"/>
        <v>│</v>
      </c>
      <c r="L235" s="712">
        <f t="shared" si="46"/>
        <v>1</v>
      </c>
      <c r="N235" s="719" t="str">
        <f>IF($L$1="","",$L$1)</f>
        <v>x</v>
      </c>
      <c r="P235" s="720">
        <f t="shared" si="43"/>
        <v>3259.2</v>
      </c>
      <c r="Q235" s="715"/>
      <c r="R235" s="721">
        <f t="shared" si="43"/>
        <v>3259.2</v>
      </c>
      <c r="T235" s="722">
        <f t="shared" si="43"/>
        <v>3259.2</v>
      </c>
    </row>
    <row r="236" spans="1:20" ht="12.75" x14ac:dyDescent="0.2">
      <c r="A236" s="1097"/>
      <c r="B236" s="713" t="str">
        <f>IF(PlanII!B22="","-",PlanII!B22)</f>
        <v>DB Lämmer</v>
      </c>
      <c r="C236" s="727" t="s">
        <v>387</v>
      </c>
      <c r="D236" s="720">
        <f>IF('[1]E-Plan II'!$I22="","",'[1]E-Plan II'!$I22)</f>
        <v>547.80000000000007</v>
      </c>
      <c r="E236" s="715"/>
      <c r="F236" s="721">
        <f>IF(OR(PlanII!$C22="",PlanII!H22=""),"-",PlanII!$C22*PlanII!H22)</f>
        <v>547.80000000000007</v>
      </c>
      <c r="H236" s="722">
        <f>IF(PlanII!$I22="","",PlanII!$I22)</f>
        <v>547.80000000000007</v>
      </c>
      <c r="I236" s="717" t="str">
        <f t="shared" si="47"/>
        <v>Richtig!</v>
      </c>
      <c r="J236" s="718">
        <f t="shared" si="48"/>
        <v>1</v>
      </c>
      <c r="K236" s="711" t="str">
        <f t="shared" si="37"/>
        <v>│</v>
      </c>
      <c r="L236" s="712">
        <f t="shared" si="46"/>
        <v>1</v>
      </c>
      <c r="N236" s="719" t="str">
        <f>IF($L$1="","",$L$1)</f>
        <v>x</v>
      </c>
      <c r="P236" s="720">
        <f t="shared" si="43"/>
        <v>547.79999999999995</v>
      </c>
      <c r="Q236" s="715"/>
      <c r="R236" s="721">
        <f t="shared" si="43"/>
        <v>547.79999999999995</v>
      </c>
      <c r="T236" s="722">
        <f t="shared" si="43"/>
        <v>547.79999999999995</v>
      </c>
    </row>
    <row r="237" spans="1:20" ht="12.75" hidden="1" customHeight="1" x14ac:dyDescent="0.2">
      <c r="A237" s="1097"/>
      <c r="B237" s="713" t="str">
        <f>IF(PlanII!B23="","-",PlanII!B23)</f>
        <v>DB Kartoffel</v>
      </c>
      <c r="C237" s="727" t="s">
        <v>387</v>
      </c>
      <c r="D237" s="720">
        <f>IF('[1]E-Plan II'!$I23="","",'[1]E-Plan II'!$I23)</f>
        <v>158.39999999999998</v>
      </c>
      <c r="E237" s="715"/>
      <c r="F237" s="721">
        <f>IF(OR(PlanII!$C23="",PlanII!H23=""),"-",PlanII!$C23*PlanII!H23)</f>
        <v>158.39999999999998</v>
      </c>
      <c r="H237" s="722">
        <f>IF(PlanII!$I23="","",PlanII!$I23)</f>
        <v>158.39999999999998</v>
      </c>
      <c r="I237" s="717" t="str">
        <f t="shared" si="47"/>
        <v>Richtig!</v>
      </c>
      <c r="J237" s="718" t="str">
        <f t="shared" si="48"/>
        <v>-</v>
      </c>
      <c r="K237" s="711" t="str">
        <f t="shared" si="37"/>
        <v/>
      </c>
      <c r="L237" s="712" t="str">
        <f t="shared" si="46"/>
        <v/>
      </c>
      <c r="N237" s="719"/>
      <c r="P237" s="720">
        <f t="shared" si="43"/>
        <v>158.4</v>
      </c>
      <c r="Q237" s="715"/>
      <c r="R237" s="721">
        <f t="shared" si="43"/>
        <v>158.4</v>
      </c>
      <c r="T237" s="722">
        <f t="shared" si="43"/>
        <v>158.4</v>
      </c>
    </row>
    <row r="238" spans="1:20" ht="12.75" hidden="1" customHeight="1" x14ac:dyDescent="0.2">
      <c r="A238" s="1097"/>
      <c r="B238" s="713" t="str">
        <f>IF(PlanII!B24="","-",PlanII!B24)</f>
        <v>-</v>
      </c>
      <c r="C238" s="727" t="s">
        <v>387</v>
      </c>
      <c r="D238" s="720" t="str">
        <f>IF('[1]E-Plan II'!$I24="","",'[1]E-Plan II'!$I24)</f>
        <v/>
      </c>
      <c r="E238" s="715"/>
      <c r="F238" s="721" t="str">
        <f>IF(OR(PlanII!$C24="",PlanII!H24=""),"-",PlanII!$C24*PlanII!H24)</f>
        <v>-</v>
      </c>
      <c r="H238" s="722" t="str">
        <f>IF(PlanII!$I24="","",PlanII!$I24)</f>
        <v/>
      </c>
      <c r="I238" s="717" t="str">
        <f t="shared" si="47"/>
        <v/>
      </c>
      <c r="J238" s="718" t="str">
        <f t="shared" si="48"/>
        <v>-</v>
      </c>
      <c r="K238" s="711" t="str">
        <f t="shared" si="37"/>
        <v/>
      </c>
      <c r="L238" s="712" t="str">
        <f t="shared" si="46"/>
        <v/>
      </c>
      <c r="N238" s="719"/>
      <c r="P238" s="720" t="str">
        <f t="shared" si="43"/>
        <v/>
      </c>
      <c r="Q238" s="715"/>
      <c r="R238" s="721" t="str">
        <f t="shared" si="43"/>
        <v>-</v>
      </c>
      <c r="T238" s="722" t="str">
        <f t="shared" si="43"/>
        <v/>
      </c>
    </row>
    <row r="239" spans="1:20" ht="12.75" hidden="1" customHeight="1" x14ac:dyDescent="0.2">
      <c r="A239" s="1097"/>
      <c r="B239" s="713" t="str">
        <f>IF(PlanII!B25="","-",PlanII!B25)</f>
        <v>-</v>
      </c>
      <c r="C239" s="727" t="s">
        <v>387</v>
      </c>
      <c r="D239" s="720" t="str">
        <f>IF('[1]E-Plan II'!$I25="","",'[1]E-Plan II'!$I25)</f>
        <v/>
      </c>
      <c r="E239" s="715"/>
      <c r="F239" s="721" t="str">
        <f>IF(OR(PlanII!$C25="",PlanII!H25=""),"-",PlanII!$C25*PlanII!H25)</f>
        <v>-</v>
      </c>
      <c r="H239" s="722" t="str">
        <f>IF(PlanII!$I25="","",PlanII!$I25)</f>
        <v/>
      </c>
      <c r="I239" s="717" t="str">
        <f t="shared" si="47"/>
        <v/>
      </c>
      <c r="J239" s="718" t="str">
        <f t="shared" si="48"/>
        <v>-</v>
      </c>
      <c r="K239" s="711" t="str">
        <f t="shared" si="37"/>
        <v/>
      </c>
      <c r="L239" s="712" t="str">
        <f t="shared" si="46"/>
        <v/>
      </c>
      <c r="N239" s="719"/>
      <c r="P239" s="720" t="str">
        <f t="shared" si="43"/>
        <v/>
      </c>
      <c r="Q239" s="715"/>
      <c r="R239" s="721" t="str">
        <f t="shared" si="43"/>
        <v>-</v>
      </c>
      <c r="T239" s="722" t="str">
        <f t="shared" si="43"/>
        <v/>
      </c>
    </row>
    <row r="240" spans="1:20" ht="12.75" hidden="1" customHeight="1" x14ac:dyDescent="0.2">
      <c r="A240" s="1097"/>
      <c r="B240" s="713" t="str">
        <f>IF(PlanII!B26="","-",PlanII!B26)</f>
        <v>-</v>
      </c>
      <c r="C240" s="727" t="s">
        <v>387</v>
      </c>
      <c r="D240" s="720" t="str">
        <f>IF('[1]E-Plan II'!$I26="","",'[1]E-Plan II'!$I26)</f>
        <v/>
      </c>
      <c r="E240" s="715"/>
      <c r="F240" s="721" t="str">
        <f>IF(OR(PlanII!$C26="",PlanII!H26=""),"-",PlanII!$C26*PlanII!H26)</f>
        <v>-</v>
      </c>
      <c r="H240" s="722" t="str">
        <f>IF(PlanII!$I26="","",PlanII!$I26)</f>
        <v/>
      </c>
      <c r="I240" s="717" t="str">
        <f t="shared" si="47"/>
        <v/>
      </c>
      <c r="J240" s="718" t="str">
        <f t="shared" si="48"/>
        <v>-</v>
      </c>
      <c r="K240" s="711" t="str">
        <f t="shared" si="37"/>
        <v/>
      </c>
      <c r="L240" s="712" t="str">
        <f t="shared" si="46"/>
        <v/>
      </c>
      <c r="N240" s="719"/>
      <c r="P240" s="720" t="str">
        <f t="shared" si="43"/>
        <v/>
      </c>
      <c r="Q240" s="715"/>
      <c r="R240" s="721" t="str">
        <f t="shared" si="43"/>
        <v>-</v>
      </c>
      <c r="T240" s="722" t="str">
        <f t="shared" si="43"/>
        <v/>
      </c>
    </row>
    <row r="241" spans="1:20" ht="12.75" hidden="1" customHeight="1" x14ac:dyDescent="0.2">
      <c r="A241" s="1097"/>
      <c r="B241" s="713" t="str">
        <f>IF(PlanII!B27="","-",PlanII!B27)</f>
        <v>-</v>
      </c>
      <c r="C241" s="727" t="s">
        <v>387</v>
      </c>
      <c r="D241" s="720" t="str">
        <f>IF('[1]E-Plan II'!$I27="","",'[1]E-Plan II'!$I27)</f>
        <v/>
      </c>
      <c r="E241" s="715"/>
      <c r="F241" s="721" t="str">
        <f>IF(OR(PlanII!$C27="",PlanII!H27=""),"-",PlanII!$C27*PlanII!H27)</f>
        <v>-</v>
      </c>
      <c r="H241" s="722" t="str">
        <f>IF(PlanII!$I27="","",PlanII!$I27)</f>
        <v/>
      </c>
      <c r="I241" s="717" t="str">
        <f t="shared" si="47"/>
        <v/>
      </c>
      <c r="J241" s="718" t="str">
        <f t="shared" si="48"/>
        <v>-</v>
      </c>
      <c r="K241" s="711" t="str">
        <f t="shared" si="37"/>
        <v/>
      </c>
      <c r="L241" s="712" t="str">
        <f t="shared" si="46"/>
        <v/>
      </c>
      <c r="N241" s="719"/>
      <c r="P241" s="720" t="str">
        <f t="shared" si="43"/>
        <v/>
      </c>
      <c r="Q241" s="715"/>
      <c r="R241" s="721" t="str">
        <f t="shared" si="43"/>
        <v>-</v>
      </c>
      <c r="T241" s="722" t="str">
        <f t="shared" si="43"/>
        <v/>
      </c>
    </row>
    <row r="242" spans="1:20" ht="12.75" hidden="1" customHeight="1" x14ac:dyDescent="0.2">
      <c r="A242" s="1097"/>
      <c r="B242" s="713" t="str">
        <f>IF(PlanII!B28="","-",PlanII!B28)</f>
        <v>VK Dauergrünland 3-schnittig</v>
      </c>
      <c r="C242" s="727" t="s">
        <v>387</v>
      </c>
      <c r="D242" s="720">
        <f>IF('[1]E-Plan II'!$I28="","",'[1]E-Plan II'!$I28)</f>
        <v>317.15999999999997</v>
      </c>
      <c r="E242" s="715"/>
      <c r="F242" s="721">
        <f>IF(OR(PlanII!$C28="",PlanII!H28=""),"-",PlanII!$C28*PlanII!H28)</f>
        <v>317.15999999999997</v>
      </c>
      <c r="H242" s="722">
        <f>IF(PlanII!$I28="","",PlanII!$I28)</f>
        <v>317.15999999999997</v>
      </c>
      <c r="I242" s="717" t="str">
        <f t="shared" si="47"/>
        <v>Richtig!</v>
      </c>
      <c r="J242" s="718" t="str">
        <f t="shared" si="48"/>
        <v>-</v>
      </c>
      <c r="K242" s="711" t="str">
        <f t="shared" si="37"/>
        <v/>
      </c>
      <c r="L242" s="712" t="str">
        <f t="shared" si="46"/>
        <v/>
      </c>
      <c r="N242" s="719"/>
      <c r="P242" s="720">
        <f t="shared" si="43"/>
        <v>317.16000000000003</v>
      </c>
      <c r="Q242" s="715"/>
      <c r="R242" s="721">
        <f t="shared" si="43"/>
        <v>317.16000000000003</v>
      </c>
      <c r="T242" s="722">
        <f t="shared" si="43"/>
        <v>317.16000000000003</v>
      </c>
    </row>
    <row r="243" spans="1:20" ht="12.75" x14ac:dyDescent="0.2">
      <c r="A243" s="1097"/>
      <c r="B243" s="713" t="str">
        <f>IF(PlanII!B29="","-",PlanII!B29)</f>
        <v>VK Dauergrünland 1-schnittig</v>
      </c>
      <c r="C243" s="727" t="s">
        <v>387</v>
      </c>
      <c r="D243" s="720">
        <f>IF('[1]E-Plan II'!$I29="","",'[1]E-Plan II'!$I29)</f>
        <v>26.549999999999997</v>
      </c>
      <c r="E243" s="715"/>
      <c r="F243" s="721">
        <f>IF(OR(PlanII!$C29="",PlanII!H29=""),"-",PlanII!$C29*PlanII!H29)</f>
        <v>26.549999999999997</v>
      </c>
      <c r="H243" s="722">
        <f>IF(PlanII!$I29="","",PlanII!$I29)</f>
        <v>26.549999999999997</v>
      </c>
      <c r="I243" s="717" t="str">
        <f t="shared" si="47"/>
        <v>Richtig!</v>
      </c>
      <c r="J243" s="718">
        <f t="shared" si="48"/>
        <v>1</v>
      </c>
      <c r="K243" s="711" t="str">
        <f t="shared" si="37"/>
        <v>│</v>
      </c>
      <c r="L243" s="712">
        <f t="shared" si="46"/>
        <v>1</v>
      </c>
      <c r="N243" s="719" t="str">
        <f>IF($L$1="","",$L$1)</f>
        <v>x</v>
      </c>
      <c r="P243" s="720">
        <f t="shared" si="43"/>
        <v>26.55</v>
      </c>
      <c r="Q243" s="715"/>
      <c r="R243" s="721">
        <f t="shared" si="43"/>
        <v>26.55</v>
      </c>
      <c r="T243" s="722">
        <f t="shared" si="43"/>
        <v>26.55</v>
      </c>
    </row>
    <row r="244" spans="1:20" ht="12.75" hidden="1" customHeight="1" x14ac:dyDescent="0.2">
      <c r="A244" s="1097"/>
      <c r="B244" s="713" t="str">
        <f>IF(PlanII!B30="","-",PlanII!B30)</f>
        <v>VK Feldfutter - Heu</v>
      </c>
      <c r="C244" s="727" t="s">
        <v>387</v>
      </c>
      <c r="D244" s="720">
        <f>IF('[1]E-Plan II'!$I30="","",'[1]E-Plan II'!$I30)</f>
        <v>40.704000000000001</v>
      </c>
      <c r="E244" s="715"/>
      <c r="F244" s="721">
        <f>IF(OR(PlanII!$C30="",PlanII!H30=""),"-",PlanII!$C30*PlanII!H30)</f>
        <v>40.704000000000001</v>
      </c>
      <c r="H244" s="722">
        <f>IF(PlanII!$I30="","",PlanII!$I30)</f>
        <v>40.704000000000001</v>
      </c>
      <c r="I244" s="717" t="str">
        <f t="shared" si="47"/>
        <v>Richtig!</v>
      </c>
      <c r="J244" s="718" t="str">
        <f t="shared" si="48"/>
        <v>-</v>
      </c>
      <c r="K244" s="711" t="str">
        <f t="shared" si="37"/>
        <v/>
      </c>
      <c r="L244" s="712" t="str">
        <f t="shared" si="46"/>
        <v/>
      </c>
      <c r="N244" s="719"/>
      <c r="P244" s="720">
        <f t="shared" si="43"/>
        <v>40.704000000000001</v>
      </c>
      <c r="Q244" s="715"/>
      <c r="R244" s="721">
        <f t="shared" si="43"/>
        <v>40.704000000000001</v>
      </c>
      <c r="T244" s="722">
        <f t="shared" si="43"/>
        <v>40.704000000000001</v>
      </c>
    </row>
    <row r="245" spans="1:20" ht="12.75" hidden="1" customHeight="1" x14ac:dyDescent="0.2">
      <c r="A245" s="1097"/>
      <c r="B245" s="713" t="str">
        <f>IF(PlanII!B31="","-",PlanII!B31)</f>
        <v>-</v>
      </c>
      <c r="C245" s="727" t="s">
        <v>387</v>
      </c>
      <c r="D245" s="720" t="str">
        <f>IF('[1]E-Plan II'!$I31="","",'[1]E-Plan II'!$I31)</f>
        <v/>
      </c>
      <c r="E245" s="715"/>
      <c r="F245" s="721" t="str">
        <f>IF(OR(PlanII!$C31="",PlanII!H31=""),"-",PlanII!$C31*PlanII!H31)</f>
        <v>-</v>
      </c>
      <c r="H245" s="722" t="str">
        <f>IF(PlanII!$I31="","",PlanII!$I31)</f>
        <v/>
      </c>
      <c r="I245" s="717" t="str">
        <f t="shared" si="47"/>
        <v/>
      </c>
      <c r="J245" s="718" t="str">
        <f t="shared" si="48"/>
        <v>-</v>
      </c>
      <c r="K245" s="711" t="str">
        <f t="shared" si="37"/>
        <v/>
      </c>
      <c r="L245" s="712" t="str">
        <f t="shared" si="46"/>
        <v/>
      </c>
      <c r="N245" s="719"/>
      <c r="P245" s="720" t="str">
        <f t="shared" si="43"/>
        <v/>
      </c>
      <c r="Q245" s="715"/>
      <c r="R245" s="721" t="str">
        <f t="shared" si="43"/>
        <v>-</v>
      </c>
      <c r="T245" s="722" t="str">
        <f t="shared" si="43"/>
        <v/>
      </c>
    </row>
    <row r="246" spans="1:20" ht="12.75" hidden="1" customHeight="1" x14ac:dyDescent="0.2">
      <c r="A246" s="1097"/>
      <c r="B246" s="713" t="str">
        <f>IF(PlanII!B32="","-",PlanII!B32)</f>
        <v>-</v>
      </c>
      <c r="C246" s="727" t="s">
        <v>387</v>
      </c>
      <c r="D246" s="720" t="str">
        <f>IF('[1]E-Plan II'!$I32="","",'[1]E-Plan II'!$I32)</f>
        <v/>
      </c>
      <c r="E246" s="715"/>
      <c r="F246" s="721" t="str">
        <f>IF(OR(PlanII!$C32="",PlanII!H32=""),"-",PlanII!$C32*PlanII!H32)</f>
        <v>-</v>
      </c>
      <c r="H246" s="722" t="str">
        <f>IF(PlanII!$I32="","",PlanII!$I32)</f>
        <v/>
      </c>
      <c r="I246" s="717" t="str">
        <f t="shared" si="47"/>
        <v/>
      </c>
      <c r="J246" s="718" t="str">
        <f t="shared" si="48"/>
        <v>-</v>
      </c>
      <c r="K246" s="711" t="str">
        <f t="shared" si="37"/>
        <v/>
      </c>
      <c r="L246" s="712" t="str">
        <f t="shared" si="46"/>
        <v/>
      </c>
      <c r="N246" s="719"/>
      <c r="P246" s="720" t="str">
        <f t="shared" si="43"/>
        <v/>
      </c>
      <c r="Q246" s="715"/>
      <c r="R246" s="721" t="str">
        <f t="shared" si="43"/>
        <v>-</v>
      </c>
      <c r="T246" s="722" t="str">
        <f t="shared" si="43"/>
        <v/>
      </c>
    </row>
    <row r="247" spans="1:20" ht="12.75" hidden="1" customHeight="1" x14ac:dyDescent="0.2">
      <c r="A247" s="1097"/>
      <c r="B247" s="713" t="str">
        <f>IF(PlanII!B33="","-",PlanII!B33)</f>
        <v>-</v>
      </c>
      <c r="C247" s="727" t="s">
        <v>387</v>
      </c>
      <c r="D247" s="720" t="str">
        <f>IF('[1]E-Plan II'!$I33="","",'[1]E-Plan II'!$I33)</f>
        <v/>
      </c>
      <c r="E247" s="715"/>
      <c r="F247" s="721" t="str">
        <f>IF(OR(PlanII!$C33="",PlanII!H33=""),"-",PlanII!$C33*PlanII!H33)</f>
        <v>-</v>
      </c>
      <c r="H247" s="722" t="str">
        <f>IF(PlanII!$I33="","",PlanII!$I33)</f>
        <v/>
      </c>
      <c r="I247" s="717" t="str">
        <f t="shared" si="47"/>
        <v/>
      </c>
      <c r="J247" s="718" t="str">
        <f t="shared" si="48"/>
        <v>-</v>
      </c>
      <c r="K247" s="711" t="str">
        <f t="shared" si="37"/>
        <v/>
      </c>
      <c r="L247" s="712" t="str">
        <f t="shared" si="46"/>
        <v/>
      </c>
      <c r="N247" s="719"/>
      <c r="P247" s="720" t="str">
        <f t="shared" si="43"/>
        <v/>
      </c>
      <c r="Q247" s="715"/>
      <c r="R247" s="721" t="str">
        <f t="shared" si="43"/>
        <v>-</v>
      </c>
      <c r="T247" s="722" t="str">
        <f t="shared" si="43"/>
        <v/>
      </c>
    </row>
    <row r="248" spans="1:20" ht="12.75" hidden="1" customHeight="1" x14ac:dyDescent="0.2">
      <c r="A248" s="1097"/>
      <c r="B248" s="713" t="str">
        <f>IF(PlanII!B34="","-",PlanII!B34)</f>
        <v xml:space="preserve"> Sonstige Arbeiten</v>
      </c>
      <c r="C248" s="727" t="s">
        <v>387</v>
      </c>
      <c r="D248" s="720">
        <f>IF('[1]E-Plan II'!$I34="","",'[1]E-Plan II'!$I34)</f>
        <v>251.16</v>
      </c>
      <c r="E248" s="715"/>
      <c r="F248" s="721">
        <f>IF(OR(PlanII!$C34="",PlanII!H34=""),"-",PlanII!$C34*PlanII!H34)</f>
        <v>251.16</v>
      </c>
      <c r="H248" s="722">
        <f>IF(PlanII!$I34="","",PlanII!$I34)</f>
        <v>251.16</v>
      </c>
      <c r="I248" s="717" t="str">
        <f t="shared" si="47"/>
        <v>Richtig!</v>
      </c>
      <c r="J248" s="718" t="str">
        <f t="shared" si="48"/>
        <v>-</v>
      </c>
      <c r="K248" s="711" t="str">
        <f t="shared" si="37"/>
        <v/>
      </c>
      <c r="L248" s="712" t="str">
        <f t="shared" si="46"/>
        <v/>
      </c>
      <c r="N248" s="719"/>
      <c r="P248" s="720">
        <f t="shared" si="43"/>
        <v>251.16</v>
      </c>
      <c r="Q248" s="715"/>
      <c r="R248" s="721">
        <f t="shared" si="43"/>
        <v>251.16</v>
      </c>
      <c r="T248" s="722">
        <f t="shared" si="43"/>
        <v>251.16</v>
      </c>
    </row>
    <row r="249" spans="1:20" ht="12.75" x14ac:dyDescent="0.2">
      <c r="A249" s="1097"/>
      <c r="B249" s="713" t="str">
        <f>IF(PlanII!H38="","-",PlanII!H38)</f>
        <v>Gesamt
Akh</v>
      </c>
      <c r="C249" s="727" t="s">
        <v>387</v>
      </c>
      <c r="D249" s="720">
        <f>IF('[1]E-Plan II'!$I38="","",'[1]E-Plan II'!I$38)</f>
        <v>4600.9740000000002</v>
      </c>
      <c r="E249" s="715"/>
      <c r="F249" s="721">
        <f>IF(AND(H235="",H236="",H237="",H238="",H239="",H240="",H241="",H242="",H243="",H244="",H245="",H246="",H247="",H248=""),"-",SUM(H235:H248))</f>
        <v>4600.9740000000002</v>
      </c>
      <c r="H249" s="722">
        <f>IF(PlanII!$I38="","",PlanII!I$38)</f>
        <v>4600.9740000000002</v>
      </c>
      <c r="I249" s="717" t="str">
        <f t="shared" si="47"/>
        <v>Richtig!</v>
      </c>
      <c r="J249" s="718">
        <f t="shared" si="48"/>
        <v>1</v>
      </c>
      <c r="K249" s="711" t="str">
        <f t="shared" si="37"/>
        <v>│</v>
      </c>
      <c r="L249" s="712">
        <f t="shared" si="46"/>
        <v>1</v>
      </c>
      <c r="N249" s="719" t="str">
        <f>IF($L$1="","",$L$1)</f>
        <v>x</v>
      </c>
      <c r="P249" s="720">
        <f t="shared" si="43"/>
        <v>4600.9740000000002</v>
      </c>
      <c r="Q249" s="715"/>
      <c r="R249" s="721">
        <f t="shared" si="43"/>
        <v>4600.9740000000002</v>
      </c>
      <c r="T249" s="722">
        <f t="shared" si="43"/>
        <v>4600.9740000000002</v>
      </c>
    </row>
    <row r="250" spans="1:20" ht="12.75" customHeight="1" x14ac:dyDescent="0.2">
      <c r="A250" s="1097"/>
      <c r="C250" s="727"/>
      <c r="D250" s="723"/>
      <c r="E250" s="715"/>
      <c r="F250" s="715"/>
      <c r="H250" s="724"/>
      <c r="I250" s="717"/>
      <c r="J250" s="717"/>
      <c r="K250" s="711" t="str">
        <f t="shared" si="37"/>
        <v/>
      </c>
      <c r="L250" s="712" t="str">
        <f t="shared" si="46"/>
        <v/>
      </c>
      <c r="N250" s="725" t="str">
        <f>IF($L$1="","",$L$1)</f>
        <v>x</v>
      </c>
      <c r="P250" s="723" t="str">
        <f t="shared" si="43"/>
        <v/>
      </c>
      <c r="Q250" s="715"/>
      <c r="R250" s="715" t="str">
        <f t="shared" si="43"/>
        <v/>
      </c>
      <c r="T250" s="724" t="str">
        <f t="shared" si="43"/>
        <v/>
      </c>
    </row>
    <row r="251" spans="1:20" ht="12.75" customHeight="1" x14ac:dyDescent="0.2">
      <c r="A251" s="1096" t="s">
        <v>375</v>
      </c>
      <c r="B251" s="726" t="s">
        <v>378</v>
      </c>
      <c r="C251" s="727"/>
      <c r="D251" s="708"/>
      <c r="H251" s="709"/>
      <c r="I251" s="710"/>
      <c r="J251" s="710"/>
      <c r="K251" s="711" t="str">
        <f t="shared" si="37"/>
        <v/>
      </c>
      <c r="L251" s="712" t="str">
        <f t="shared" si="46"/>
        <v/>
      </c>
      <c r="N251" s="695" t="str">
        <f>IF($L$1="","",$L$1)</f>
        <v>x</v>
      </c>
      <c r="P251" s="708" t="str">
        <f t="shared" si="43"/>
        <v/>
      </c>
      <c r="R251" s="1" t="str">
        <f t="shared" si="43"/>
        <v/>
      </c>
      <c r="T251" s="709" t="str">
        <f t="shared" si="43"/>
        <v/>
      </c>
    </row>
    <row r="252" spans="1:20" ht="12.75" x14ac:dyDescent="0.2">
      <c r="A252" s="1097"/>
      <c r="B252" s="713" t="str">
        <f>IF(PlanII!B41="","-",PlanII!B41)</f>
        <v>Summe Sonstige Erträge</v>
      </c>
      <c r="C252" s="727" t="s">
        <v>387</v>
      </c>
      <c r="D252" s="714">
        <f>IF('[1]E-Plan II'!$E41="","",'[1]E-Plan II'!$E41)</f>
        <v>377</v>
      </c>
      <c r="E252" s="715"/>
      <c r="H252" s="716">
        <f>IF(PlanII!$E41="","",PlanII!$E41)</f>
        <v>377</v>
      </c>
      <c r="I252" s="717" t="str">
        <f>IF(AND(P252="",T252=""),"",IF(P252=T252,"Richtig!",IF(T252="","Fehlt","Falsch")))</f>
        <v>Richtig!</v>
      </c>
      <c r="J252" s="718">
        <f>IF(OR(B252="-",N252="",AND(P252="",T252="")),"-",IF(I252="Richtig!",1,IF(I252="Formel: OK",0.5,IF(OR(I252="Falsch",I252="Fehlt"),0,""))))</f>
        <v>1</v>
      </c>
      <c r="K252" s="711" t="str">
        <f t="shared" si="37"/>
        <v>│</v>
      </c>
      <c r="L252" s="712">
        <f t="shared" si="46"/>
        <v>1</v>
      </c>
      <c r="N252" s="719" t="str">
        <f>IF($L$1="","",$L$1)</f>
        <v>x</v>
      </c>
      <c r="P252" s="714">
        <f t="shared" si="43"/>
        <v>377</v>
      </c>
      <c r="Q252" s="715"/>
      <c r="R252" s="1" t="str">
        <f t="shared" si="43"/>
        <v/>
      </c>
      <c r="T252" s="716">
        <f t="shared" si="43"/>
        <v>377</v>
      </c>
    </row>
    <row r="253" spans="1:20" ht="12.75" x14ac:dyDescent="0.2">
      <c r="A253" s="1097"/>
      <c r="B253" s="713" t="str">
        <f>IF(PlanII!B50="","-",PlanII!B50)</f>
        <v>SUMME FÖRDERUNGEN</v>
      </c>
      <c r="C253" s="727" t="s">
        <v>387</v>
      </c>
      <c r="D253" s="714">
        <f>IF('[1]E-Plan II'!$E50="","",'[1]E-Plan II'!$E50)</f>
        <v>6048</v>
      </c>
      <c r="E253" s="715"/>
      <c r="H253" s="716">
        <f>IF(PlanII!$E50="","",PlanII!$E50)</f>
        <v>6048</v>
      </c>
      <c r="I253" s="717" t="str">
        <f>IF(AND(P253="",T253=""),"",IF(P253=T253,"Richtig!",IF(T253="","Fehlt","Falsch")))</f>
        <v>Richtig!</v>
      </c>
      <c r="J253" s="718">
        <f>IF(OR(B253="-",N253="",AND(P253="",T253="")),"-",IF(I253="Richtig!",1,IF(I253="Formel: OK",0.5,IF(OR(I253="Falsch",I253="Fehlt"),0,""))))</f>
        <v>1</v>
      </c>
      <c r="K253" s="711" t="str">
        <f t="shared" si="37"/>
        <v>│</v>
      </c>
      <c r="L253" s="712">
        <f t="shared" si="46"/>
        <v>1</v>
      </c>
      <c r="N253" s="719" t="str">
        <f t="shared" ref="N253:N307" si="49">IF($L$1="","",$L$1)</f>
        <v>x</v>
      </c>
      <c r="P253" s="714">
        <f t="shared" si="43"/>
        <v>6048</v>
      </c>
      <c r="Q253" s="715"/>
      <c r="R253" s="1" t="str">
        <f t="shared" si="43"/>
        <v/>
      </c>
      <c r="T253" s="716">
        <f t="shared" si="43"/>
        <v>6048</v>
      </c>
    </row>
    <row r="254" spans="1:20" ht="12.75" x14ac:dyDescent="0.2">
      <c r="A254" s="1097"/>
      <c r="B254" s="713" t="str">
        <f>IF(PlanII!B52="","-",PlanII!B52)</f>
        <v>GDB einschl. Förd. und sonst. Erträge</v>
      </c>
      <c r="C254" s="727" t="s">
        <v>387</v>
      </c>
      <c r="D254" s="720">
        <f>IF('[1]E-Plan II'!$E52="","",'[1]E-Plan II'!$E52)</f>
        <v>29748.083300000002</v>
      </c>
      <c r="E254" s="715"/>
      <c r="F254" s="721">
        <f>IF(AND(H215="",H252="",H253=""),"-",SUM(H215,H252,H253))</f>
        <v>29748.083300000002</v>
      </c>
      <c r="H254" s="722">
        <f>IF(PlanII!$E52="","",PlanII!$E52)</f>
        <v>29748.083300000002</v>
      </c>
      <c r="I254" s="717" t="str">
        <f>IF(B254="-","",IF(P254=T254,"Richtig!",IF(AND(P254&lt;&gt;T254,R254=T254),"Formel: OK",IF(T254="","Fehlt","Falsch"))))</f>
        <v>Richtig!</v>
      </c>
      <c r="J254" s="718">
        <f>IF(OR(B254="-",N254="",AND(P254="",T254="")),"-",IF(I254="Richtig!",1,IF(I254="Formel: OK",0.5,IF(OR(I254="Falsch",I254="Fehlt"),0,""))))</f>
        <v>1</v>
      </c>
      <c r="K254" s="711" t="str">
        <f t="shared" ref="K254:K265" si="50">IF(L254="","","│")</f>
        <v>│</v>
      </c>
      <c r="L254" s="712">
        <f t="shared" ref="L254:L265" si="51">IF(OR(B254="-",N254="",AND(P254="",T254="")),"",1)</f>
        <v>1</v>
      </c>
      <c r="N254" s="719" t="str">
        <f t="shared" si="49"/>
        <v>x</v>
      </c>
      <c r="P254" s="720">
        <f t="shared" si="43"/>
        <v>29748.083299999998</v>
      </c>
      <c r="Q254" s="715"/>
      <c r="R254" s="721">
        <f t="shared" si="43"/>
        <v>29748.083299999998</v>
      </c>
      <c r="T254" s="722">
        <f t="shared" si="43"/>
        <v>29748.083299999998</v>
      </c>
    </row>
    <row r="255" spans="1:20" ht="12.75" customHeight="1" x14ac:dyDescent="0.2">
      <c r="A255" s="1097"/>
      <c r="C255" s="727"/>
      <c r="D255" s="723"/>
      <c r="E255" s="715"/>
      <c r="F255" s="715"/>
      <c r="H255" s="724"/>
      <c r="I255" s="717"/>
      <c r="J255" s="717"/>
      <c r="K255" s="711" t="str">
        <f t="shared" si="50"/>
        <v/>
      </c>
      <c r="L255" s="712" t="str">
        <f t="shared" si="51"/>
        <v/>
      </c>
      <c r="N255" s="725" t="str">
        <f t="shared" si="49"/>
        <v>x</v>
      </c>
      <c r="P255" s="723" t="str">
        <f t="shared" si="43"/>
        <v/>
      </c>
      <c r="Q255" s="715"/>
      <c r="R255" s="715" t="str">
        <f t="shared" si="43"/>
        <v/>
      </c>
      <c r="T255" s="724" t="str">
        <f t="shared" si="43"/>
        <v/>
      </c>
    </row>
    <row r="256" spans="1:20" ht="12.75" customHeight="1" x14ac:dyDescent="0.2">
      <c r="A256" s="1096" t="s">
        <v>379</v>
      </c>
      <c r="B256" s="726" t="s">
        <v>374</v>
      </c>
      <c r="C256" s="727"/>
      <c r="D256" s="708"/>
      <c r="H256" s="709"/>
      <c r="I256" s="710"/>
      <c r="J256" s="710"/>
      <c r="K256" s="711" t="str">
        <f t="shared" si="50"/>
        <v/>
      </c>
      <c r="L256" s="712" t="str">
        <f t="shared" si="51"/>
        <v/>
      </c>
      <c r="N256" s="695" t="str">
        <f t="shared" si="49"/>
        <v>x</v>
      </c>
      <c r="P256" s="708" t="str">
        <f t="shared" si="43"/>
        <v/>
      </c>
      <c r="R256" s="1" t="str">
        <f t="shared" si="43"/>
        <v/>
      </c>
      <c r="T256" s="709" t="str">
        <f t="shared" si="43"/>
        <v/>
      </c>
    </row>
    <row r="257" spans="1:20" ht="12.75" x14ac:dyDescent="0.2">
      <c r="A257" s="1097"/>
      <c r="B257" s="713" t="str">
        <f>IF(PlanII!B56="","-",PlanII!B56)</f>
        <v>Landwirtschaftliches Einkommen ohne Förderungen</v>
      </c>
      <c r="C257" s="727" t="s">
        <v>387</v>
      </c>
      <c r="D257" s="720">
        <f>IF('[1]E-Plan II'!$E56="","",'[1]E-Plan II'!$E56)</f>
        <v>4752.3543358010611</v>
      </c>
      <c r="E257" s="715"/>
      <c r="F257" s="721">
        <f>IF(AND(H215="",H252=""),"-",SUM(H215,H252,PlanII!E53:E55))</f>
        <v>4752.3543358010611</v>
      </c>
      <c r="H257" s="722">
        <f>IF(PlanII!$E56="","",PlanII!$E56)</f>
        <v>4752.3543358010611</v>
      </c>
      <c r="I257" s="717" t="str">
        <f>IF(B257="-","",IF(P257=T257,"Richtig!",IF(AND(P257&lt;&gt;T257,R257=T257),"Formel: OK",IF(T257="","Fehlt","Falsch"))))</f>
        <v>Richtig!</v>
      </c>
      <c r="J257" s="718">
        <f>IF(OR(B257="-",N257="",AND(P257="",T257="")),"-",IF(I257="Richtig!",1,IF(I257="Formel: OK",0.5,IF(OR(I257="Falsch",I257="Fehlt"),0,""))))</f>
        <v>1</v>
      </c>
      <c r="K257" s="711" t="str">
        <f t="shared" si="50"/>
        <v>│</v>
      </c>
      <c r="L257" s="712">
        <f t="shared" si="51"/>
        <v>1</v>
      </c>
      <c r="N257" s="719" t="str">
        <f t="shared" si="49"/>
        <v>x</v>
      </c>
      <c r="P257" s="720">
        <f t="shared" si="43"/>
        <v>4752.3543399999999</v>
      </c>
      <c r="Q257" s="715"/>
      <c r="R257" s="721">
        <f t="shared" si="43"/>
        <v>4752.3543399999999</v>
      </c>
      <c r="T257" s="722">
        <f t="shared" si="43"/>
        <v>4752.3543399999999</v>
      </c>
    </row>
    <row r="258" spans="1:20" ht="12.75" x14ac:dyDescent="0.2">
      <c r="A258" s="1097"/>
      <c r="B258" s="713" t="str">
        <f>IF(PlanII!B57="","-",PlanII!B57)</f>
        <v>LANDWIRTSCHAFTLICHES EINKOMMEN - Gesamt</v>
      </c>
      <c r="C258" s="727" t="s">
        <v>387</v>
      </c>
      <c r="D258" s="720">
        <f>IF('[1]E-Plan II'!$E57="","",'[1]E-Plan II'!$E57)</f>
        <v>10800.354335801061</v>
      </c>
      <c r="E258" s="715"/>
      <c r="F258" s="721">
        <f>IF(H254="","-",SUM(H254,PlanII!E53:E55))</f>
        <v>10800.354335801061</v>
      </c>
      <c r="H258" s="722">
        <f>IF(PlanII!$E57="","",PlanII!$E57)</f>
        <v>10800.354335801061</v>
      </c>
      <c r="I258" s="717" t="str">
        <f>IF(B258="-","",IF(P258=T258,"Richtig!",IF(AND(P258&lt;&gt;T258,R258=T258),"Formel: OK",IF(T258="","Fehlt","Falsch"))))</f>
        <v>Richtig!</v>
      </c>
      <c r="J258" s="718">
        <f>IF(OR(B258="-",N258="",AND(P258="",T258="")),"-",IF(I258="Richtig!",1,IF(I258="Formel: OK",0.5,IF(OR(I258="Falsch",I258="Fehlt"),0,""))))</f>
        <v>1</v>
      </c>
      <c r="K258" s="711" t="str">
        <f t="shared" si="50"/>
        <v>│</v>
      </c>
      <c r="L258" s="712">
        <f t="shared" si="51"/>
        <v>1</v>
      </c>
      <c r="N258" s="719" t="str">
        <f t="shared" si="49"/>
        <v>x</v>
      </c>
      <c r="P258" s="720">
        <f t="shared" si="43"/>
        <v>10800.35434</v>
      </c>
      <c r="Q258" s="715"/>
      <c r="R258" s="721">
        <f t="shared" si="43"/>
        <v>10800.35434</v>
      </c>
      <c r="T258" s="722">
        <f t="shared" si="43"/>
        <v>10800.35434</v>
      </c>
    </row>
    <row r="259" spans="1:20" ht="12.75" x14ac:dyDescent="0.2">
      <c r="A259" s="1097"/>
      <c r="B259" s="713" t="str">
        <f>IF(PlanII!B58="","-",PlanII!B58)</f>
        <v>LANDWIRTSCHAFTLICHES EINKOMMEN - EK/Akh</v>
      </c>
      <c r="C259" s="727" t="s">
        <v>387</v>
      </c>
      <c r="D259" s="720">
        <f>IF('[1]E-Plan II'!$E58="","",'[1]E-Plan II'!$E58)</f>
        <v>2.347406078756598</v>
      </c>
      <c r="E259" s="715"/>
      <c r="F259" s="721">
        <f>IF(OR(H258="",H249="",H249=0),"-",H258/H249)</f>
        <v>2.347406078756598</v>
      </c>
      <c r="H259" s="722">
        <f>IF(PlanII!$E58="","",PlanII!$E58)</f>
        <v>2.347406078756598</v>
      </c>
      <c r="I259" s="717" t="str">
        <f>IF(B259="-","",IF(P259=T259,"Richtig!",IF(AND(P259&lt;&gt;T259,R259=T259),"Formel: OK",IF(T259="","Fehlt","Falsch"))))</f>
        <v>Richtig!</v>
      </c>
      <c r="J259" s="718">
        <f>IF(OR(B259="-",N259="",AND(P259="",T259="")),"-",IF(I259="Richtig!",1,IF(I259="Formel: OK",0.5,IF(OR(I259="Falsch",I259="Fehlt"),0,""))))</f>
        <v>1</v>
      </c>
      <c r="K259" s="711" t="str">
        <f t="shared" si="50"/>
        <v>│</v>
      </c>
      <c r="L259" s="712">
        <f t="shared" si="51"/>
        <v>1</v>
      </c>
      <c r="N259" s="719" t="str">
        <f t="shared" si="49"/>
        <v>x</v>
      </c>
      <c r="P259" s="720">
        <f t="shared" si="43"/>
        <v>2.34741</v>
      </c>
      <c r="Q259" s="715"/>
      <c r="R259" s="721">
        <f t="shared" si="43"/>
        <v>2.34741</v>
      </c>
      <c r="T259" s="722">
        <f t="shared" si="43"/>
        <v>2.34741</v>
      </c>
    </row>
    <row r="260" spans="1:20" ht="12.75" x14ac:dyDescent="0.2">
      <c r="A260" s="1097"/>
      <c r="B260" s="713" t="str">
        <f>IF(PlanII!B61="","-",PlanII!B61)</f>
        <v>GESAMTEINKOMMEN</v>
      </c>
      <c r="C260" s="727" t="s">
        <v>387</v>
      </c>
      <c r="D260" s="720">
        <f>IF('[1]E-Plan II'!$E61="","",'[1]E-Plan II'!$E61)</f>
        <v>43560.354335801065</v>
      </c>
      <c r="E260" s="715"/>
      <c r="F260" s="721">
        <f>IF(H258="","-",SUM(H258,PlanII!E59:E60))</f>
        <v>43560.354335801065</v>
      </c>
      <c r="H260" s="722">
        <f>IF(PlanII!$E61="","",PlanII!$E61)</f>
        <v>43560.354335801065</v>
      </c>
      <c r="I260" s="717" t="str">
        <f>IF(B260="-","",IF(P260=T260,"Richtig!",IF(AND(P260&lt;&gt;T260,R260=T260),"Formel: OK",IF(T260="","Fehlt","Falsch"))))</f>
        <v>Richtig!</v>
      </c>
      <c r="J260" s="718">
        <f>IF(OR(B260="-",N260="",AND(P260="",T260="")),"-",IF(I260="Richtig!",1,IF(I260="Formel: OK",0.5,IF(OR(I260="Falsch",I260="Fehlt"),0,""))))</f>
        <v>1</v>
      </c>
      <c r="K260" s="711" t="str">
        <f t="shared" si="50"/>
        <v>│</v>
      </c>
      <c r="L260" s="712">
        <f t="shared" si="51"/>
        <v>1</v>
      </c>
      <c r="N260" s="719" t="str">
        <f t="shared" si="49"/>
        <v>x</v>
      </c>
      <c r="P260" s="720">
        <f t="shared" si="43"/>
        <v>43560.354339999998</v>
      </c>
      <c r="Q260" s="715"/>
      <c r="R260" s="721">
        <f t="shared" si="43"/>
        <v>43560.354339999998</v>
      </c>
      <c r="T260" s="722">
        <f t="shared" si="43"/>
        <v>43560.354339999998</v>
      </c>
    </row>
    <row r="261" spans="1:20" ht="12.75" customHeight="1" x14ac:dyDescent="0.2">
      <c r="A261" s="1097"/>
      <c r="C261" s="727"/>
      <c r="D261" s="723"/>
      <c r="E261" s="715"/>
      <c r="F261" s="715"/>
      <c r="H261" s="724"/>
      <c r="I261" s="717"/>
      <c r="J261" s="717"/>
      <c r="K261" s="711" t="str">
        <f t="shared" si="50"/>
        <v/>
      </c>
      <c r="L261" s="712" t="str">
        <f t="shared" si="51"/>
        <v/>
      </c>
      <c r="N261" s="725" t="str">
        <f t="shared" si="49"/>
        <v>x</v>
      </c>
      <c r="P261" s="723" t="str">
        <f t="shared" si="43"/>
        <v/>
      </c>
      <c r="Q261" s="715"/>
      <c r="R261" s="715" t="str">
        <f t="shared" si="43"/>
        <v/>
      </c>
      <c r="T261" s="724" t="str">
        <f t="shared" si="43"/>
        <v/>
      </c>
    </row>
    <row r="262" spans="1:20" ht="12.75" customHeight="1" x14ac:dyDescent="0.2">
      <c r="A262" s="1096" t="s">
        <v>380</v>
      </c>
      <c r="B262" s="726" t="str">
        <f>PlanII!F43</f>
        <v>Kapitaldienstgrenze</v>
      </c>
      <c r="C262" s="727"/>
      <c r="D262" s="708"/>
      <c r="H262" s="709"/>
      <c r="I262" s="710"/>
      <c r="J262" s="710"/>
      <c r="K262" s="711" t="str">
        <f t="shared" si="50"/>
        <v/>
      </c>
      <c r="L262" s="712" t="str">
        <f t="shared" si="51"/>
        <v/>
      </c>
      <c r="N262" s="695" t="str">
        <f t="shared" si="49"/>
        <v>x</v>
      </c>
      <c r="P262" s="708" t="str">
        <f t="shared" si="43"/>
        <v/>
      </c>
      <c r="R262" s="1" t="str">
        <f t="shared" si="43"/>
        <v/>
      </c>
      <c r="T262" s="709" t="str">
        <f t="shared" si="43"/>
        <v/>
      </c>
    </row>
    <row r="263" spans="1:20" ht="12.75" x14ac:dyDescent="0.2">
      <c r="A263" s="1097"/>
      <c r="B263" s="713" t="str">
        <f>IF(PlanII!F46="","-",PlanII!F46)</f>
        <v>Kapitaldienstgrenze bei PLAN-Variante</v>
      </c>
      <c r="C263" s="727" t="s">
        <v>387</v>
      </c>
      <c r="D263" s="720">
        <f>IF('[1]E-Plan II'!$I46="","",'[1]E-Plan II'!$I46)</f>
        <v>25332.557132035836</v>
      </c>
      <c r="E263" s="715"/>
      <c r="F263" s="721">
        <f>SUM(PlanII!I44:I45)</f>
        <v>25332.557132035836</v>
      </c>
      <c r="H263" s="722">
        <f>IF(PlanII!$I46="","",PlanII!$I46)</f>
        <v>25332.557132035836</v>
      </c>
      <c r="I263" s="717" t="str">
        <f>IF(B263="-","",IF(P263=T263,"Richtig!",IF(AND(P263&lt;&gt;T263,R263=T263),"Formel: OK",IF(T263="","Fehlt","Falsch"))))</f>
        <v>Richtig!</v>
      </c>
      <c r="J263" s="718">
        <f>IF(OR(B263="-",N263="",AND(P263="",T263="")),"-",IF(I263="Richtig!",1,IF(I263="Formel: OK",0.5,IF(OR(I263="Falsch",I263="Fehlt"),0,""))))</f>
        <v>1</v>
      </c>
      <c r="K263" s="711" t="str">
        <f t="shared" si="50"/>
        <v>│</v>
      </c>
      <c r="L263" s="712">
        <f t="shared" si="51"/>
        <v>1</v>
      </c>
      <c r="N263" s="719" t="str">
        <f t="shared" si="49"/>
        <v>x</v>
      </c>
      <c r="P263" s="720">
        <f t="shared" si="43"/>
        <v>25332.557130000001</v>
      </c>
      <c r="Q263" s="715"/>
      <c r="R263" s="721">
        <f t="shared" si="43"/>
        <v>25332.557130000001</v>
      </c>
      <c r="T263" s="722">
        <f t="shared" si="43"/>
        <v>25332.557130000001</v>
      </c>
    </row>
    <row r="264" spans="1:20" ht="12.75" x14ac:dyDescent="0.2">
      <c r="A264" s="1097"/>
      <c r="B264" s="713" t="str">
        <f>IF(PlanII!F49="","-",PlanII!F49)</f>
        <v>Davon Fremdkapital</v>
      </c>
      <c r="C264" s="727" t="s">
        <v>387</v>
      </c>
      <c r="D264" s="714">
        <f>IF('[1]E-Plan II'!$I49="","",'[1]E-Plan II'!$I49)</f>
        <v>82370</v>
      </c>
      <c r="E264" s="715"/>
      <c r="H264" s="716">
        <f>IF(PlanII!$I49="","",PlanII!$I49)</f>
        <v>82370</v>
      </c>
      <c r="I264" s="717" t="str">
        <f>IF(AND(P264="",T264=""),"",IF(P264=T264,"Richtig!",IF(T264="","Fehlt","Falsch")))</f>
        <v>Richtig!</v>
      </c>
      <c r="J264" s="718">
        <f>IF(OR(B264="-",N264="",AND(P264="",T264="")),"-",IF(I264="Richtig!",1,IF(I264="Formel: OK",0.5,IF(OR(I264="Falsch",I264="Fehlt"),0,""))))</f>
        <v>1</v>
      </c>
      <c r="K264" s="711" t="str">
        <f t="shared" si="50"/>
        <v>│</v>
      </c>
      <c r="L264" s="712">
        <f t="shared" si="51"/>
        <v>1</v>
      </c>
      <c r="N264" s="719" t="str">
        <f t="shared" si="49"/>
        <v>x</v>
      </c>
      <c r="P264" s="714">
        <f t="shared" si="43"/>
        <v>82370</v>
      </c>
      <c r="Q264" s="715"/>
      <c r="R264" s="1" t="str">
        <f t="shared" si="43"/>
        <v/>
      </c>
      <c r="T264" s="716">
        <f t="shared" si="43"/>
        <v>82370</v>
      </c>
    </row>
    <row r="265" spans="1:20" ht="12.75" customHeight="1" x14ac:dyDescent="0.2">
      <c r="A265" s="1097"/>
      <c r="C265" s="707"/>
      <c r="D265" s="723"/>
      <c r="E265" s="715"/>
      <c r="F265" s="715"/>
      <c r="H265" s="724"/>
      <c r="I265" s="717"/>
      <c r="J265" s="717"/>
      <c r="K265" s="711" t="str">
        <f t="shared" si="50"/>
        <v/>
      </c>
      <c r="L265" s="712" t="str">
        <f t="shared" si="51"/>
        <v/>
      </c>
      <c r="N265" s="725" t="str">
        <f t="shared" si="49"/>
        <v>x</v>
      </c>
      <c r="P265" s="723" t="str">
        <f t="shared" si="43"/>
        <v/>
      </c>
      <c r="Q265" s="715"/>
      <c r="R265" s="715" t="str">
        <f t="shared" si="43"/>
        <v/>
      </c>
      <c r="T265" s="724" t="str">
        <f t="shared" si="43"/>
        <v/>
      </c>
    </row>
    <row r="266" spans="1:20" ht="22.5" x14ac:dyDescent="0.2">
      <c r="A266" s="1089" t="str">
        <f>FinII!B1</f>
        <v>Berechnung der Kapitalkosten</v>
      </c>
      <c r="B266" s="1090"/>
      <c r="C266" s="1091"/>
      <c r="D266" s="1092" t="s">
        <v>0</v>
      </c>
      <c r="E266" s="1092"/>
      <c r="F266" s="1093" t="s">
        <v>363</v>
      </c>
      <c r="G266" s="1091"/>
      <c r="H266" s="1093" t="s">
        <v>364</v>
      </c>
      <c r="I266" s="1094" t="str">
        <f>"Fehler"</f>
        <v>Fehler</v>
      </c>
      <c r="J266" s="1095" t="s">
        <v>365</v>
      </c>
      <c r="K266" s="1095"/>
      <c r="L266" s="1095"/>
      <c r="N266" s="705" t="str">
        <f t="shared" si="49"/>
        <v>x</v>
      </c>
      <c r="P266" s="1092" t="str">
        <f t="shared" si="43"/>
        <v>Ergebnis</v>
      </c>
      <c r="Q266" s="1092"/>
      <c r="R266" s="1093" t="str">
        <f t="shared" si="43"/>
        <v>Formel-
prüfung</v>
      </c>
      <c r="S266" s="1091"/>
      <c r="T266" s="1093" t="str">
        <f t="shared" si="43"/>
        <v>Deine Be-rechnung</v>
      </c>
    </row>
    <row r="267" spans="1:20" ht="12.75" customHeight="1" x14ac:dyDescent="0.2">
      <c r="A267" s="1096" t="s">
        <v>366</v>
      </c>
      <c r="B267" s="726" t="str">
        <f>IF(FinII!G5="","-",FinII!G5)</f>
        <v>Annuität</v>
      </c>
      <c r="C267" s="707"/>
      <c r="D267" s="708"/>
      <c r="H267" s="709"/>
      <c r="I267" s="710"/>
      <c r="J267" s="710"/>
      <c r="K267" s="711" t="str">
        <f t="shared" ref="K267:K283" si="52">IF(L267="","","│")</f>
        <v/>
      </c>
      <c r="L267" s="712" t="str">
        <f t="shared" ref="L267:L283" si="53">IF(OR(B267="-",N267="",AND(P267="",T267="")),"",1)</f>
        <v/>
      </c>
      <c r="N267" s="695" t="str">
        <f t="shared" si="49"/>
        <v>x</v>
      </c>
      <c r="P267" s="708" t="str">
        <f t="shared" ref="P267:T330" si="54">IF(ISTEXT(D267),D267,IF(D267="","",ROUND(D267,$R$1)))</f>
        <v/>
      </c>
      <c r="R267" s="1" t="str">
        <f t="shared" si="54"/>
        <v/>
      </c>
      <c r="T267" s="709" t="str">
        <f t="shared" si="54"/>
        <v/>
      </c>
    </row>
    <row r="268" spans="1:20" ht="12.75" x14ac:dyDescent="0.2">
      <c r="A268" s="1097"/>
      <c r="B268" s="713" t="str">
        <f>IF(FinII!B6="","-",FinII!B6)</f>
        <v>Eigenkapital</v>
      </c>
      <c r="C268" s="727" t="s">
        <v>388</v>
      </c>
      <c r="D268" s="714">
        <f>IF('[1]E-Fin II'!$G6="","",'[1]E-Fin II'!$G6)</f>
        <v>-2876.9481297157818</v>
      </c>
      <c r="E268" s="715"/>
      <c r="H268" s="716">
        <f>IF(FinII!$G6="","",FinII!$G6)</f>
        <v>-2876.9481297157818</v>
      </c>
      <c r="I268" s="717" t="str">
        <f>IF(AND(P268="",T268=""),"",IF(P268=T268,"Richtig!",IF(T268="","Fehlt","Falsch")))</f>
        <v>Richtig!</v>
      </c>
      <c r="J268" s="718">
        <f t="shared" ref="J268:J273" si="55">IF(OR(B268="-",N268="",AND(P268="",T268="")),"-",IF(I268="Richtig!",1,IF(I268="Formel: OK",0.5,IF(OR(I268="Falsch",I268="Fehlt"),0,""))))</f>
        <v>1</v>
      </c>
      <c r="K268" s="711" t="str">
        <f t="shared" si="52"/>
        <v>│</v>
      </c>
      <c r="L268" s="712">
        <f t="shared" si="53"/>
        <v>1</v>
      </c>
      <c r="N268" s="719" t="str">
        <f t="shared" si="49"/>
        <v>x</v>
      </c>
      <c r="P268" s="714">
        <f t="shared" si="54"/>
        <v>-2876.9481300000002</v>
      </c>
      <c r="Q268" s="715"/>
      <c r="R268" s="1" t="str">
        <f t="shared" si="54"/>
        <v/>
      </c>
      <c r="T268" s="716">
        <f t="shared" si="54"/>
        <v>-2876.9481300000002</v>
      </c>
    </row>
    <row r="269" spans="1:20" ht="12.75" x14ac:dyDescent="0.2">
      <c r="A269" s="1097"/>
      <c r="B269" s="713" t="str">
        <f>IF(FinII!B7="","-",FinII!B7)</f>
        <v>AIK-Kredit</v>
      </c>
      <c r="C269" s="727" t="s">
        <v>388</v>
      </c>
      <c r="D269" s="714">
        <f>IF('[1]E-Fin II'!$G7="","",'[1]E-Fin II'!$G7)</f>
        <v>-2071.4841244484305</v>
      </c>
      <c r="E269" s="715"/>
      <c r="H269" s="716">
        <f>IF(FinII!$G7="","",FinII!$G7)</f>
        <v>-2071.4841244484305</v>
      </c>
      <c r="I269" s="717" t="str">
        <f>IF(AND(P269="",T269=""),"",IF(P269=T269,"Richtig!",IF(T269="","Fehlt","Falsch")))</f>
        <v>Richtig!</v>
      </c>
      <c r="J269" s="718">
        <f t="shared" si="55"/>
        <v>1</v>
      </c>
      <c r="K269" s="711" t="str">
        <f t="shared" si="52"/>
        <v>│</v>
      </c>
      <c r="L269" s="712">
        <f t="shared" si="53"/>
        <v>1</v>
      </c>
      <c r="N269" s="719" t="str">
        <f t="shared" si="49"/>
        <v>x</v>
      </c>
      <c r="P269" s="714">
        <f t="shared" si="54"/>
        <v>-2071.4841200000001</v>
      </c>
      <c r="Q269" s="715"/>
      <c r="R269" s="1" t="str">
        <f t="shared" si="54"/>
        <v/>
      </c>
      <c r="T269" s="716">
        <f t="shared" si="54"/>
        <v>-2071.4841200000001</v>
      </c>
    </row>
    <row r="270" spans="1:20" ht="12.75" hidden="1" customHeight="1" x14ac:dyDescent="0.2">
      <c r="A270" s="1097"/>
      <c r="B270" s="713" t="str">
        <f>IF(FinII!B8="","-",FinII!B8)</f>
        <v>-</v>
      </c>
      <c r="C270" s="707"/>
      <c r="D270" s="714" t="str">
        <f>IF('[1]E-Fin II'!$G8="","",'[1]E-Fin II'!$G8)</f>
        <v/>
      </c>
      <c r="E270" s="715"/>
      <c r="H270" s="716" t="str">
        <f>IF(FinII!$G8="","",FinII!$G8)</f>
        <v/>
      </c>
      <c r="I270" s="717" t="str">
        <f>IF(AND(P270="",T270=""),"",IF(P270=T270,"Richtig!",IF(T270="","Fehlt","Falsch")))</f>
        <v/>
      </c>
      <c r="J270" s="718" t="str">
        <f t="shared" si="55"/>
        <v>-</v>
      </c>
      <c r="K270" s="711" t="str">
        <f t="shared" si="52"/>
        <v/>
      </c>
      <c r="L270" s="712" t="str">
        <f t="shared" si="53"/>
        <v/>
      </c>
      <c r="N270" s="719"/>
      <c r="P270" s="714" t="str">
        <f t="shared" si="54"/>
        <v/>
      </c>
      <c r="Q270" s="715"/>
      <c r="R270" s="1" t="str">
        <f t="shared" si="54"/>
        <v/>
      </c>
      <c r="T270" s="716" t="str">
        <f t="shared" si="54"/>
        <v/>
      </c>
    </row>
    <row r="271" spans="1:20" ht="12.75" hidden="1" customHeight="1" x14ac:dyDescent="0.2">
      <c r="A271" s="1097"/>
      <c r="B271" s="713" t="str">
        <f>IF(FinII!B9="","-",FinII!B9)</f>
        <v>-</v>
      </c>
      <c r="C271" s="707"/>
      <c r="D271" s="714" t="str">
        <f>IF('[1]E-Fin II'!$G9="","",'[1]E-Fin II'!$G9)</f>
        <v/>
      </c>
      <c r="E271" s="715"/>
      <c r="H271" s="716" t="str">
        <f>IF(FinII!$G9="","",FinII!$G9)</f>
        <v/>
      </c>
      <c r="I271" s="717" t="str">
        <f>IF(AND(P271="",T271=""),"",IF(P271=T271,"Richtig!",IF(T271="","Fehlt","Falsch")))</f>
        <v/>
      </c>
      <c r="J271" s="718" t="str">
        <f t="shared" si="55"/>
        <v>-</v>
      </c>
      <c r="K271" s="711" t="str">
        <f t="shared" si="52"/>
        <v/>
      </c>
      <c r="L271" s="712" t="str">
        <f t="shared" si="53"/>
        <v/>
      </c>
      <c r="N271" s="719"/>
      <c r="P271" s="714" t="str">
        <f t="shared" si="54"/>
        <v/>
      </c>
      <c r="Q271" s="715"/>
      <c r="R271" s="1" t="str">
        <f t="shared" si="54"/>
        <v/>
      </c>
      <c r="T271" s="716" t="str">
        <f t="shared" si="54"/>
        <v/>
      </c>
    </row>
    <row r="272" spans="1:20" ht="12.75" x14ac:dyDescent="0.2">
      <c r="A272" s="1097"/>
      <c r="B272" s="713" t="str">
        <f>IF(FinII!B10="","-",FinII!B10)</f>
        <v>Bankdarlehen</v>
      </c>
      <c r="C272" s="707"/>
      <c r="D272" s="714">
        <f>IF('[1]E-Fin II'!$G10="","",'[1]E-Fin II'!$G10)</f>
        <v>-2018.4368459109151</v>
      </c>
      <c r="E272" s="715"/>
      <c r="H272" s="716">
        <f>IF(FinII!$G10="","",FinII!$G10)</f>
        <v>-2018.4368459109151</v>
      </c>
      <c r="I272" s="717" t="str">
        <f>IF(AND(P272="",T272=""),"",IF(P272=T272,"Richtig!",IF(T272="","Fehlt","Falsch")))</f>
        <v>Richtig!</v>
      </c>
      <c r="J272" s="718">
        <f t="shared" si="55"/>
        <v>1</v>
      </c>
      <c r="K272" s="711" t="str">
        <f t="shared" si="52"/>
        <v>│</v>
      </c>
      <c r="L272" s="712">
        <f t="shared" si="53"/>
        <v>1</v>
      </c>
      <c r="N272" s="719" t="str">
        <f t="shared" si="49"/>
        <v>x</v>
      </c>
      <c r="P272" s="714">
        <f t="shared" si="54"/>
        <v>-2018.43685</v>
      </c>
      <c r="Q272" s="715"/>
      <c r="R272" s="1" t="str">
        <f t="shared" si="54"/>
        <v/>
      </c>
      <c r="T272" s="716">
        <f t="shared" si="54"/>
        <v>-2018.43685</v>
      </c>
    </row>
    <row r="273" spans="1:20" ht="12.75" x14ac:dyDescent="0.2">
      <c r="A273" s="1097"/>
      <c r="B273" s="713" t="str">
        <f>IF(FinII!B11="","-",FinII!B11)</f>
        <v>SUMME DER ANNUITÄTEN = KAPITALKOSTEN</v>
      </c>
      <c r="C273" s="727" t="s">
        <v>388</v>
      </c>
      <c r="D273" s="720">
        <f>IF('[1]E-Fin II'!$G11="","",'[1]E-Fin II'!$G11)</f>
        <v>-6966.8691000751278</v>
      </c>
      <c r="E273" s="715"/>
      <c r="F273" s="721">
        <f>IF(AND(H268="",H269="",H270="",H271="",H272=""),"-",SUM(H268:H272))</f>
        <v>-6966.8691000751278</v>
      </c>
      <c r="H273" s="722">
        <f>IF(FinII!$G11="","",FinII!$G11)</f>
        <v>-6966.8691000751278</v>
      </c>
      <c r="I273" s="717" t="str">
        <f>IF(B273="-","",IF(P273=T273,"Richtig!",IF(AND(P273&lt;&gt;T273,R273=T273),"Formel: OK",IF(T273="","Fehlt","Falsch"))))</f>
        <v>Richtig!</v>
      </c>
      <c r="J273" s="718">
        <f t="shared" si="55"/>
        <v>1</v>
      </c>
      <c r="K273" s="711" t="str">
        <f t="shared" si="52"/>
        <v>│</v>
      </c>
      <c r="L273" s="712">
        <f t="shared" si="53"/>
        <v>1</v>
      </c>
      <c r="N273" s="719" t="str">
        <f t="shared" si="49"/>
        <v>x</v>
      </c>
      <c r="P273" s="720">
        <f t="shared" si="54"/>
        <v>-6966.8690999999999</v>
      </c>
      <c r="Q273" s="715"/>
      <c r="R273" s="721">
        <f t="shared" si="54"/>
        <v>-6966.8690999999999</v>
      </c>
      <c r="T273" s="722">
        <f t="shared" si="54"/>
        <v>-6966.8690999999999</v>
      </c>
    </row>
    <row r="274" spans="1:20" ht="12.75" customHeight="1" x14ac:dyDescent="0.2">
      <c r="A274" s="1097"/>
      <c r="C274" s="707"/>
      <c r="D274" s="723"/>
      <c r="E274" s="715"/>
      <c r="F274" s="715"/>
      <c r="H274" s="724"/>
      <c r="I274" s="717"/>
      <c r="J274" s="717"/>
      <c r="K274" s="711" t="str">
        <f t="shared" si="52"/>
        <v/>
      </c>
      <c r="L274" s="712" t="str">
        <f t="shared" si="53"/>
        <v/>
      </c>
      <c r="N274" s="725" t="str">
        <f t="shared" si="49"/>
        <v>x</v>
      </c>
      <c r="P274" s="723" t="str">
        <f t="shared" si="54"/>
        <v/>
      </c>
      <c r="Q274" s="715"/>
      <c r="R274" s="715" t="str">
        <f t="shared" si="54"/>
        <v/>
      </c>
      <c r="T274" s="724" t="str">
        <f t="shared" si="54"/>
        <v/>
      </c>
    </row>
    <row r="275" spans="1:20" ht="12.75" customHeight="1" x14ac:dyDescent="0.2">
      <c r="A275" s="1096" t="s">
        <v>368</v>
      </c>
      <c r="B275" s="726" t="str">
        <f>FinII!B13</f>
        <v>Berechnung der Leistung der Investition</v>
      </c>
      <c r="C275" s="707"/>
      <c r="D275" s="708"/>
      <c r="H275" s="709"/>
      <c r="I275" s="710"/>
      <c r="J275" s="710"/>
      <c r="K275" s="711" t="str">
        <f t="shared" si="52"/>
        <v/>
      </c>
      <c r="L275" s="712" t="str">
        <f t="shared" si="53"/>
        <v/>
      </c>
      <c r="N275" s="695" t="str">
        <f t="shared" si="49"/>
        <v>x</v>
      </c>
      <c r="P275" s="708" t="str">
        <f t="shared" si="54"/>
        <v/>
      </c>
      <c r="R275" s="1" t="str">
        <f t="shared" si="54"/>
        <v/>
      </c>
      <c r="T275" s="709" t="str">
        <f t="shared" si="54"/>
        <v/>
      </c>
    </row>
    <row r="276" spans="1:20" ht="12.75" hidden="1" customHeight="1" x14ac:dyDescent="0.2">
      <c r="A276" s="1097"/>
      <c r="B276" s="713" t="str">
        <f>IF(FinII!D13="","-",FinII!D13)</f>
        <v>-</v>
      </c>
      <c r="C276" s="707"/>
      <c r="D276" s="720">
        <f>IF('[1]E-Fin II'!$D16="","",'[1]E-Fin II'!$D16)</f>
        <v>16330.103300000002</v>
      </c>
      <c r="E276" s="715"/>
      <c r="F276" s="721" t="e">
        <f>IF(OR(FinII!D14="noch leer",FinII!D15="noch leer",AND(FinII!D14="",FinII!D15="",)),"-",SUM(FinII!D14,-FinII!D15))</f>
        <v>#VALUE!</v>
      </c>
      <c r="H276" s="722" t="str">
        <f>IF(FinII!$D16="","",FinII!$D16)</f>
        <v/>
      </c>
      <c r="I276" s="717" t="str">
        <f>IF(B276="-","",IF(P276=T276,"Richtig!",IF(AND(P276&lt;&gt;T276,R276=T276),"Formel: OK",IF(T276="","Fehlt","Falsch"))))</f>
        <v/>
      </c>
      <c r="J276" s="718" t="str">
        <f>IF(OR(B276="-",N276="",AND(P276="",T276="")),"-",IF(I276="Richtig!",1,IF(I276="Formel: OK",0.5,IF(OR(I276="Falsch",I276="Fehlt"),0,""))))</f>
        <v>-</v>
      </c>
      <c r="K276" s="711" t="str">
        <f t="shared" si="52"/>
        <v/>
      </c>
      <c r="L276" s="712" t="str">
        <f t="shared" si="53"/>
        <v/>
      </c>
      <c r="N276" s="719"/>
      <c r="P276" s="720">
        <f t="shared" si="54"/>
        <v>16330.103300000001</v>
      </c>
      <c r="Q276" s="715"/>
      <c r="R276" s="721" t="e">
        <f t="shared" si="54"/>
        <v>#VALUE!</v>
      </c>
      <c r="T276" s="722" t="str">
        <f t="shared" si="54"/>
        <v/>
      </c>
    </row>
    <row r="277" spans="1:20" ht="12.75" x14ac:dyDescent="0.2">
      <c r="A277" s="1097"/>
      <c r="B277" s="1" t="str">
        <f>IF(FinII!E13="","-",FinII!E13)</f>
        <v>LW Einkommen</v>
      </c>
      <c r="C277" s="727" t="s">
        <v>388</v>
      </c>
      <c r="D277" s="720">
        <f>IF('[1]E-Fin II'!$E16="","",'[1]E-Fin II'!$E16)</f>
        <v>7937.5835273846715</v>
      </c>
      <c r="E277" s="715"/>
      <c r="F277" s="721">
        <f>IF(OR(FinII!E14="noch leer",FinII!E15="noch leer",AND(FinII!E14="",FinII!E15="")),"-",SUM(FinII!E14,-FinII!E15))</f>
        <v>7937.5835273846715</v>
      </c>
      <c r="H277" s="722">
        <f>IF(FinII!$E16="","",FinII!$E16)</f>
        <v>7937.5835273846715</v>
      </c>
      <c r="I277" s="717" t="str">
        <f>IF(B277="-","",IF(P277=T277,"Richtig!",IF(AND(P277&lt;&gt;T277,R277=T277),"Formel: OK",IF(T277="","Fehlt","Falsch"))))</f>
        <v>Richtig!</v>
      </c>
      <c r="J277" s="718">
        <f>IF(OR(B277="-",N277="",AND(P277="",T277="")),"-",IF(I277="Richtig!",1,IF(I277="Formel: OK",0.5,IF(OR(I277="Falsch",I277="Fehlt"),0,""))))</f>
        <v>1</v>
      </c>
      <c r="K277" s="711" t="str">
        <f t="shared" si="52"/>
        <v>│</v>
      </c>
      <c r="L277" s="712">
        <f t="shared" si="53"/>
        <v>1</v>
      </c>
      <c r="N277" s="719" t="str">
        <f t="shared" si="49"/>
        <v>x</v>
      </c>
      <c r="P277" s="720">
        <f t="shared" si="54"/>
        <v>7937.5835299999999</v>
      </c>
      <c r="Q277" s="715"/>
      <c r="R277" s="721">
        <f t="shared" si="54"/>
        <v>7937.5835299999999</v>
      </c>
      <c r="T277" s="722">
        <f t="shared" si="54"/>
        <v>7937.5835299999999</v>
      </c>
    </row>
    <row r="278" spans="1:20" ht="12.75" hidden="1" customHeight="1" x14ac:dyDescent="0.2">
      <c r="A278" s="1097"/>
      <c r="B278" s="1" t="str">
        <f>IF(FinII!D13="","-",FinII!D13)</f>
        <v>-</v>
      </c>
      <c r="D278" s="720">
        <f>IF('[1]E-Fin II'!$D16="","",'[1]E-Fin II'!$D16)</f>
        <v>16330.103300000002</v>
      </c>
      <c r="E278" s="715"/>
      <c r="F278" s="721" t="str">
        <f>IF(OR(FinII!D14="noch leer",FinII!D15="noch leer",AND(FinII!D14="",FinII!D15="")),"-",SUM(FinII!D14,-FinII!D15))</f>
        <v>-</v>
      </c>
      <c r="H278" s="722" t="str">
        <f>IF(FinII!$D16="","",FinII!$D16)</f>
        <v/>
      </c>
      <c r="I278" s="717" t="str">
        <f>IF(B278="-","",IF(P278=T278,"Richtig!",IF(AND(P278&lt;&gt;T278,R278=T278),"Formel: OK",IF(T278="","Fehlt","Falsch"))))</f>
        <v/>
      </c>
      <c r="J278" s="718" t="str">
        <f>IF(OR(B278="-",N278="",AND(P278="",T278="")),"-",IF(I278="Richtig!",1,IF(I278="Formel: OK",0.5,IF(OR(I278="Falsch",I278="Fehlt"),0,""))))</f>
        <v>-</v>
      </c>
      <c r="K278" s="711" t="str">
        <f t="shared" si="52"/>
        <v/>
      </c>
      <c r="L278" s="712" t="str">
        <f t="shared" si="53"/>
        <v/>
      </c>
      <c r="N278" s="719"/>
      <c r="P278" s="720">
        <f t="shared" si="54"/>
        <v>16330.103300000001</v>
      </c>
      <c r="Q278" s="715"/>
      <c r="R278" s="721" t="str">
        <f t="shared" si="54"/>
        <v>-</v>
      </c>
      <c r="T278" s="722" t="str">
        <f t="shared" si="54"/>
        <v/>
      </c>
    </row>
    <row r="279" spans="1:20" ht="12.75" customHeight="1" x14ac:dyDescent="0.2">
      <c r="A279" s="1097"/>
      <c r="C279" s="707"/>
      <c r="D279" s="723"/>
      <c r="E279" s="715"/>
      <c r="F279" s="715"/>
      <c r="H279" s="724"/>
      <c r="I279" s="717"/>
      <c r="J279" s="717"/>
      <c r="K279" s="711" t="str">
        <f t="shared" si="52"/>
        <v/>
      </c>
      <c r="L279" s="712" t="str">
        <f t="shared" si="53"/>
        <v/>
      </c>
      <c r="N279" s="725" t="str">
        <f t="shared" si="49"/>
        <v>x</v>
      </c>
      <c r="P279" s="723" t="str">
        <f t="shared" si="54"/>
        <v/>
      </c>
      <c r="Q279" s="715"/>
      <c r="R279" s="715" t="str">
        <f t="shared" si="54"/>
        <v/>
      </c>
      <c r="T279" s="724" t="str">
        <f t="shared" si="54"/>
        <v/>
      </c>
    </row>
    <row r="280" spans="1:20" ht="12.75" customHeight="1" x14ac:dyDescent="0.2">
      <c r="A280" s="1096" t="s">
        <v>370</v>
      </c>
      <c r="B280" s="726" t="s">
        <v>382</v>
      </c>
      <c r="C280" s="707"/>
      <c r="D280" s="708"/>
      <c r="H280" s="709"/>
      <c r="I280" s="710"/>
      <c r="J280" s="710"/>
      <c r="K280" s="711" t="str">
        <f t="shared" si="52"/>
        <v/>
      </c>
      <c r="L280" s="712" t="str">
        <f t="shared" si="53"/>
        <v/>
      </c>
      <c r="N280" s="695" t="str">
        <f t="shared" si="49"/>
        <v>x</v>
      </c>
      <c r="P280" s="708" t="str">
        <f t="shared" si="54"/>
        <v/>
      </c>
      <c r="R280" s="1" t="str">
        <f t="shared" si="54"/>
        <v/>
      </c>
      <c r="T280" s="709" t="str">
        <f t="shared" si="54"/>
        <v/>
      </c>
    </row>
    <row r="281" spans="1:20" ht="12.75" x14ac:dyDescent="0.2">
      <c r="A281" s="1097"/>
      <c r="B281" s="1" t="s">
        <v>383</v>
      </c>
      <c r="C281" s="727" t="s">
        <v>388</v>
      </c>
      <c r="D281" s="720">
        <f>IF('[1]E-Fin II'!$F23="","",'[1]E-Fin II'!$F23)</f>
        <v>970.71442730954368</v>
      </c>
      <c r="E281" s="715"/>
      <c r="F281" s="721">
        <f>IF(OR(FinII!B23="",FinII!B23="noch leer",FinII!D23="",FinII!D23="noch leer"),"-",SUM(FinII!B23,-FinII!D23))</f>
        <v>970.71442730954368</v>
      </c>
      <c r="H281" s="722">
        <f>IF(FinII!$F23="","",FinII!$F23)</f>
        <v>970.71442730954368</v>
      </c>
      <c r="I281" s="717" t="str">
        <f>IF(B281="-","",IF(P281=T281,"Richtig!",IF(AND(P281&lt;&gt;T281,R281=T281),"Formel: OK",IF(T281="","Fehlt","Falsch"))))</f>
        <v>Richtig!</v>
      </c>
      <c r="J281" s="718">
        <f>IF(OR(B281="-",N281="",AND(P281="",T281="")),"-",IF(I281="Richtig!",1,IF(I281="Formel: OK",0.5,IF(OR(I281="Falsch",I281="Fehlt"),0,""))))</f>
        <v>1</v>
      </c>
      <c r="K281" s="711" t="str">
        <f t="shared" si="52"/>
        <v>│</v>
      </c>
      <c r="L281" s="712">
        <f t="shared" si="53"/>
        <v>1</v>
      </c>
      <c r="N281" s="719" t="str">
        <f t="shared" si="49"/>
        <v>x</v>
      </c>
      <c r="P281" s="720">
        <f t="shared" si="54"/>
        <v>970.71442999999999</v>
      </c>
      <c r="Q281" s="715"/>
      <c r="R281" s="721">
        <f t="shared" si="54"/>
        <v>970.71442999999999</v>
      </c>
      <c r="T281" s="722">
        <f t="shared" si="54"/>
        <v>970.71442999999999</v>
      </c>
    </row>
    <row r="282" spans="1:20" ht="12.75" x14ac:dyDescent="0.2">
      <c r="A282" s="1097"/>
      <c r="B282" s="1" t="s">
        <v>384</v>
      </c>
      <c r="C282" s="727" t="s">
        <v>388</v>
      </c>
      <c r="D282" s="720" t="str">
        <f>IF(AND('[1]E-Fin II'!$E25="",'[1]E-Fin II'!$F25&lt;&gt;""),'[1]E-Fin II'!$F24,IF(AND('[1]E-Fin II'!$F25="",'[1]E-Fin II'!$E25&lt;&gt;""),'[1]E-Fin II'!$E24,""))</f>
        <v>Ja</v>
      </c>
      <c r="E282" s="715"/>
      <c r="F282" s="721" t="str">
        <f>IF(H281="","-",IF(H281&gt;=0,"Ja","Nein"))</f>
        <v>Ja</v>
      </c>
      <c r="H282" s="722" t="str">
        <f>IF(AND(FinII!$E25="",FinII!$F25&lt;&gt;""),FinII!$F24,IF(AND(FinII!$F25="",FinII!$E25&lt;&gt;""),FinII!$E24,""))</f>
        <v>Ja</v>
      </c>
      <c r="I282" s="717" t="str">
        <f>IF(B282="-","",IF(P282=T282,"Richtig!",IF(AND(P282&lt;&gt;T282,R282=T282),"Formel: OK",IF(T282="","Fehlt","Falsch"))))</f>
        <v>Richtig!</v>
      </c>
      <c r="J282" s="718">
        <f>IF(OR(B282="-",N282="",AND(P282="",T282="")),"-",IF(I282="Richtig!",1,IF(I282="Formel: OK",0.5,IF(OR(I282="Falsch",I282="Fehlt"),0,""))))</f>
        <v>1</v>
      </c>
      <c r="K282" s="711" t="str">
        <f t="shared" si="52"/>
        <v>│</v>
      </c>
      <c r="L282" s="712">
        <f t="shared" si="53"/>
        <v>1</v>
      </c>
      <c r="N282" s="719" t="str">
        <f t="shared" si="49"/>
        <v>x</v>
      </c>
      <c r="P282" s="720" t="str">
        <f t="shared" si="54"/>
        <v>Ja</v>
      </c>
      <c r="Q282" s="715"/>
      <c r="R282" s="721" t="str">
        <f t="shared" si="54"/>
        <v>Ja</v>
      </c>
      <c r="T282" s="722" t="str">
        <f t="shared" si="54"/>
        <v>Ja</v>
      </c>
    </row>
    <row r="283" spans="1:20" ht="12.75" customHeight="1" x14ac:dyDescent="0.2">
      <c r="A283" s="1097"/>
      <c r="C283" s="707"/>
      <c r="D283" s="723"/>
      <c r="E283" s="715"/>
      <c r="F283" s="715"/>
      <c r="H283" s="724"/>
      <c r="I283" s="717"/>
      <c r="J283" s="717"/>
      <c r="K283" s="711" t="str">
        <f t="shared" si="52"/>
        <v/>
      </c>
      <c r="L283" s="712" t="str">
        <f t="shared" si="53"/>
        <v/>
      </c>
      <c r="N283" s="725" t="str">
        <f t="shared" si="49"/>
        <v>x</v>
      </c>
      <c r="P283" s="723" t="str">
        <f t="shared" si="54"/>
        <v/>
      </c>
      <c r="Q283" s="715"/>
      <c r="R283" s="715" t="str">
        <f t="shared" si="54"/>
        <v/>
      </c>
      <c r="T283" s="724" t="str">
        <f t="shared" si="54"/>
        <v/>
      </c>
    </row>
    <row r="284" spans="1:20" ht="22.5" x14ac:dyDescent="0.2">
      <c r="A284" s="1089" t="str">
        <f>FinII!B27</f>
        <v>Ermittlung des Kapitaldienstes</v>
      </c>
      <c r="B284" s="1090"/>
      <c r="C284" s="1091"/>
      <c r="D284" s="1092" t="s">
        <v>0</v>
      </c>
      <c r="E284" s="1092"/>
      <c r="F284" s="1093" t="s">
        <v>363</v>
      </c>
      <c r="G284" s="1091"/>
      <c r="H284" s="1093" t="s">
        <v>364</v>
      </c>
      <c r="I284" s="1094" t="str">
        <f>"Fehler"</f>
        <v>Fehler</v>
      </c>
      <c r="J284" s="1095" t="s">
        <v>365</v>
      </c>
      <c r="K284" s="1095"/>
      <c r="L284" s="1095"/>
      <c r="N284" s="705" t="str">
        <f t="shared" si="49"/>
        <v>x</v>
      </c>
      <c r="P284" s="1092" t="str">
        <f t="shared" si="54"/>
        <v>Ergebnis</v>
      </c>
      <c r="Q284" s="1092"/>
      <c r="R284" s="1093" t="str">
        <f t="shared" si="54"/>
        <v>Formel-
prüfung</v>
      </c>
      <c r="S284" s="1091"/>
      <c r="T284" s="1093" t="str">
        <f t="shared" si="54"/>
        <v>Deine Be-rechnung</v>
      </c>
    </row>
    <row r="285" spans="1:20" ht="12.75" customHeight="1" x14ac:dyDescent="0.2">
      <c r="A285" s="1096" t="s">
        <v>366</v>
      </c>
      <c r="B285" s="726" t="str">
        <f>FinII!G30</f>
        <v>Annuität</v>
      </c>
      <c r="C285" s="707"/>
      <c r="D285" s="708"/>
      <c r="H285" s="709"/>
      <c r="I285" s="710"/>
      <c r="J285" s="710"/>
      <c r="K285" s="711" t="str">
        <f t="shared" ref="K285:K291" si="56">IF(L285="","","│")</f>
        <v/>
      </c>
      <c r="L285" s="712" t="str">
        <f t="shared" ref="L285:L291" si="57">IF(OR(B285="-",N285="",AND(P285="",T285="")),"",1)</f>
        <v/>
      </c>
      <c r="N285" s="695" t="str">
        <f t="shared" si="49"/>
        <v>x</v>
      </c>
      <c r="P285" s="708" t="str">
        <f t="shared" si="54"/>
        <v/>
      </c>
      <c r="R285" s="1" t="str">
        <f t="shared" si="54"/>
        <v/>
      </c>
      <c r="T285" s="709" t="str">
        <f t="shared" si="54"/>
        <v/>
      </c>
    </row>
    <row r="286" spans="1:20" ht="12.75" x14ac:dyDescent="0.2">
      <c r="A286" s="1097"/>
      <c r="B286" s="713" t="str">
        <f>IF(FinII!B31="","-",FinII!B31)</f>
        <v>AIK-Kredit</v>
      </c>
      <c r="C286" s="727" t="s">
        <v>388</v>
      </c>
      <c r="D286" s="714">
        <f>IF('[1]E-Fin II'!$G31="","",'[1]E-Fin II'!$G31)</f>
        <v>-3471.551986725432</v>
      </c>
      <c r="E286" s="715"/>
      <c r="H286" s="716">
        <f>IF(FinII!$G31="","",FinII!$G31)</f>
        <v>-3471.551986725432</v>
      </c>
      <c r="I286" s="717" t="str">
        <f>IF(AND(P286="",T286=""),"",IF(P286=T286,"Richtig!",IF(T286="","Fehlt","Falsch")))</f>
        <v>Richtig!</v>
      </c>
      <c r="J286" s="718">
        <f>IF(OR(B286="-",N286="",AND(P286="",T286="")),"-",IF(I286="Richtig!",1,IF(I286="Formel: OK",0.5,IF(OR(I286="Falsch",I286="Fehlt"),0,""))))</f>
        <v>1</v>
      </c>
      <c r="K286" s="711" t="str">
        <f t="shared" si="56"/>
        <v>│</v>
      </c>
      <c r="L286" s="712">
        <f t="shared" si="57"/>
        <v>1</v>
      </c>
      <c r="N286" s="719" t="str">
        <f t="shared" si="49"/>
        <v>x</v>
      </c>
      <c r="P286" s="714">
        <f t="shared" si="54"/>
        <v>-3471.5519899999999</v>
      </c>
      <c r="Q286" s="715"/>
      <c r="R286" s="1" t="str">
        <f t="shared" si="54"/>
        <v/>
      </c>
      <c r="T286" s="716">
        <f t="shared" si="54"/>
        <v>-3471.5519899999999</v>
      </c>
    </row>
    <row r="287" spans="1:20" ht="12.75" hidden="1" customHeight="1" x14ac:dyDescent="0.2">
      <c r="A287" s="1097"/>
      <c r="B287" s="713" t="str">
        <f>IF(FinII!B32="","-",FinII!B32)</f>
        <v>-</v>
      </c>
      <c r="C287" s="707"/>
      <c r="D287" s="714" t="str">
        <f>IF('[1]E-Fin II'!$G32="","",'[1]E-Fin II'!$G32)</f>
        <v/>
      </c>
      <c r="E287" s="715"/>
      <c r="H287" s="716" t="str">
        <f>IF(FinII!$G32="","",FinII!$G32)</f>
        <v/>
      </c>
      <c r="I287" s="717" t="str">
        <f>IF(AND(P287="",T287=""),"",IF(P287=T287,"Richtig!",IF(T287="","Fehlt","Falsch")))</f>
        <v/>
      </c>
      <c r="J287" s="718" t="str">
        <f>IF(OR(B287="-",N287="",AND(P287="",T287="")),"-",IF(I287="Richtig!",1,IF(I287="Formel: OK",0.5,IF(OR(I287="Falsch",I287="Fehlt"),0,""))))</f>
        <v>-</v>
      </c>
      <c r="K287" s="711" t="str">
        <f t="shared" si="56"/>
        <v/>
      </c>
      <c r="L287" s="712" t="str">
        <f t="shared" si="57"/>
        <v/>
      </c>
      <c r="N287" s="719"/>
      <c r="P287" s="714" t="str">
        <f t="shared" si="54"/>
        <v/>
      </c>
      <c r="Q287" s="715"/>
      <c r="R287" s="1" t="str">
        <f t="shared" si="54"/>
        <v/>
      </c>
      <c r="T287" s="716" t="str">
        <f t="shared" si="54"/>
        <v/>
      </c>
    </row>
    <row r="288" spans="1:20" ht="12.75" hidden="1" customHeight="1" x14ac:dyDescent="0.2">
      <c r="A288" s="1097"/>
      <c r="B288" s="713" t="str">
        <f>IF(FinII!B33="","-",FinII!B33)</f>
        <v>-</v>
      </c>
      <c r="C288" s="707"/>
      <c r="D288" s="714" t="str">
        <f>IF('[1]E-Fin II'!$G33="","",'[1]E-Fin II'!$G33)</f>
        <v/>
      </c>
      <c r="E288" s="715"/>
      <c r="H288" s="716" t="str">
        <f>IF(FinII!$G33="","",FinII!$G33)</f>
        <v/>
      </c>
      <c r="I288" s="717" t="str">
        <f>IF(AND(P288="",T288=""),"",IF(P288=T288,"Richtig!",IF(T288="","Fehlt","Falsch")))</f>
        <v/>
      </c>
      <c r="J288" s="718" t="str">
        <f>IF(OR(B288="-",N288="",AND(P288="",T288="")),"-",IF(I288="Richtig!",1,IF(I288="Formel: OK",0.5,IF(OR(I288="Falsch",I288="Fehlt"),0,""))))</f>
        <v>-</v>
      </c>
      <c r="K288" s="711" t="str">
        <f t="shared" si="56"/>
        <v/>
      </c>
      <c r="L288" s="712" t="str">
        <f t="shared" si="57"/>
        <v/>
      </c>
      <c r="N288" s="719"/>
      <c r="P288" s="714" t="str">
        <f t="shared" si="54"/>
        <v/>
      </c>
      <c r="Q288" s="715"/>
      <c r="R288" s="1" t="str">
        <f t="shared" si="54"/>
        <v/>
      </c>
      <c r="T288" s="716" t="str">
        <f t="shared" si="54"/>
        <v/>
      </c>
    </row>
    <row r="289" spans="1:20" ht="12.75" x14ac:dyDescent="0.2">
      <c r="A289" s="1097"/>
      <c r="B289" s="713" t="str">
        <f>IF(FinII!B34="","-",FinII!B34)</f>
        <v>Bankdarlehen</v>
      </c>
      <c r="C289" s="707"/>
      <c r="D289" s="714">
        <f>IF('[1]E-Fin II'!$G34="","",'[1]E-Fin II'!$G34)</f>
        <v>-4126.3098911530569</v>
      </c>
      <c r="E289" s="715"/>
      <c r="H289" s="716">
        <f>IF(FinII!$G34="","",FinII!$G34)</f>
        <v>-4126.3098911530569</v>
      </c>
      <c r="I289" s="717" t="str">
        <f>IF(AND(P289="",T289=""),"",IF(P289=T289,"Richtig!",IF(T289="","Fehlt","Falsch")))</f>
        <v>Richtig!</v>
      </c>
      <c r="J289" s="718">
        <f>IF(OR(B289="-",N289="",AND(P289="",T289="")),"-",IF(I289="Richtig!",1,IF(I289="Formel: OK",0.5,IF(OR(I289="Falsch",I289="Fehlt"),0,""))))</f>
        <v>1</v>
      </c>
      <c r="K289" s="711" t="str">
        <f t="shared" si="56"/>
        <v>│</v>
      </c>
      <c r="L289" s="712">
        <f t="shared" si="57"/>
        <v>1</v>
      </c>
      <c r="N289" s="719" t="str">
        <f t="shared" si="49"/>
        <v>x</v>
      </c>
      <c r="P289" s="714">
        <f t="shared" si="54"/>
        <v>-4126.3098900000005</v>
      </c>
      <c r="Q289" s="715"/>
      <c r="R289" s="1" t="str">
        <f t="shared" si="54"/>
        <v/>
      </c>
      <c r="T289" s="716">
        <f t="shared" si="54"/>
        <v>-4126.3098900000005</v>
      </c>
    </row>
    <row r="290" spans="1:20" ht="12.75" x14ac:dyDescent="0.2">
      <c r="A290" s="1097"/>
      <c r="B290" s="713" t="str">
        <f>IF(FinII!B35="","-",FinII!B35)</f>
        <v>Summe Annuität = Kapitaldienst</v>
      </c>
      <c r="C290" s="727" t="s">
        <v>388</v>
      </c>
      <c r="D290" s="720">
        <f>IF('[1]E-Fin II'!$G35="","",'[1]E-Fin II'!$G35)</f>
        <v>-7597.8618778784894</v>
      </c>
      <c r="E290" s="715"/>
      <c r="F290" s="721">
        <f>IF(AND(H286="",H287="",H288="",H289=""),"-",SUM(H286:H289))</f>
        <v>-7597.8618778784894</v>
      </c>
      <c r="H290" s="722">
        <f>IF(FinII!$G35="","",FinII!$G35)</f>
        <v>-7597.8618778784894</v>
      </c>
      <c r="I290" s="717" t="str">
        <f>IF(B290="-","",IF(P290=T290,"Richtig!",IF(AND(P290&lt;&gt;T290,R290=T290),"Formel: OK",IF(T290="","Fehlt","Falsch"))))</f>
        <v>Richtig!</v>
      </c>
      <c r="J290" s="718">
        <f>IF(OR(B290="-",N290="",AND(P290="",T290="")),"-",IF(I290="Richtig!",1,IF(I290="Formel: OK",0.5,IF(OR(I290="Falsch",I290="Fehlt"),0,""))))</f>
        <v>1</v>
      </c>
      <c r="K290" s="711" t="str">
        <f t="shared" si="56"/>
        <v>│</v>
      </c>
      <c r="L290" s="712">
        <f t="shared" si="57"/>
        <v>1</v>
      </c>
      <c r="N290" s="719" t="str">
        <f t="shared" si="49"/>
        <v>x</v>
      </c>
      <c r="P290" s="720">
        <f t="shared" si="54"/>
        <v>-7597.8618800000004</v>
      </c>
      <c r="Q290" s="715"/>
      <c r="R290" s="721">
        <f t="shared" si="54"/>
        <v>-7597.8618800000004</v>
      </c>
      <c r="T290" s="722">
        <f t="shared" si="54"/>
        <v>-7597.8618800000004</v>
      </c>
    </row>
    <row r="291" spans="1:20" ht="12.75" customHeight="1" x14ac:dyDescent="0.2">
      <c r="A291" s="1097"/>
      <c r="C291" s="707"/>
      <c r="D291" s="723"/>
      <c r="E291" s="715"/>
      <c r="F291" s="715"/>
      <c r="H291" s="724"/>
      <c r="I291" s="717"/>
      <c r="J291" s="717"/>
      <c r="K291" s="711" t="str">
        <f t="shared" si="56"/>
        <v/>
      </c>
      <c r="L291" s="712" t="str">
        <f t="shared" si="57"/>
        <v/>
      </c>
      <c r="N291" s="725" t="str">
        <f t="shared" si="49"/>
        <v>x</v>
      </c>
      <c r="P291" s="723" t="str">
        <f t="shared" si="54"/>
        <v/>
      </c>
      <c r="Q291" s="715"/>
      <c r="R291" s="715" t="str">
        <f t="shared" si="54"/>
        <v/>
      </c>
      <c r="T291" s="724" t="str">
        <f t="shared" si="54"/>
        <v/>
      </c>
    </row>
    <row r="292" spans="1:20" ht="22.5" x14ac:dyDescent="0.2">
      <c r="A292" s="1089" t="str">
        <f>FinII!B37</f>
        <v>Ermittlung der jährlichen Schuldzinsen</v>
      </c>
      <c r="B292" s="1090"/>
      <c r="C292" s="1091"/>
      <c r="D292" s="1092" t="s">
        <v>0</v>
      </c>
      <c r="E292" s="1092"/>
      <c r="F292" s="1093" t="s">
        <v>363</v>
      </c>
      <c r="G292" s="1091"/>
      <c r="H292" s="1093" t="s">
        <v>364</v>
      </c>
      <c r="I292" s="1094" t="str">
        <f>"Fehler"</f>
        <v>Fehler</v>
      </c>
      <c r="J292" s="1095" t="s">
        <v>365</v>
      </c>
      <c r="K292" s="1095"/>
      <c r="L292" s="1095"/>
      <c r="N292" s="705" t="str">
        <f t="shared" si="49"/>
        <v>x</v>
      </c>
      <c r="P292" s="1092" t="str">
        <f t="shared" si="54"/>
        <v>Ergebnis</v>
      </c>
      <c r="Q292" s="1092"/>
      <c r="R292" s="1093" t="str">
        <f t="shared" si="54"/>
        <v>Formel-
prüfung</v>
      </c>
      <c r="S292" s="1091"/>
      <c r="T292" s="1093" t="str">
        <f t="shared" si="54"/>
        <v>Deine Be-rechnung</v>
      </c>
    </row>
    <row r="293" spans="1:20" ht="12.75" customHeight="1" x14ac:dyDescent="0.2">
      <c r="A293" s="1096" t="s">
        <v>366</v>
      </c>
      <c r="B293" s="726" t="s">
        <v>385</v>
      </c>
      <c r="C293" s="707"/>
      <c r="D293" s="708"/>
      <c r="H293" s="709"/>
      <c r="I293" s="710"/>
      <c r="J293" s="710"/>
      <c r="K293" s="711" t="str">
        <f t="shared" ref="K293:K307" si="58">IF(L293="","","│")</f>
        <v/>
      </c>
      <c r="L293" s="712" t="str">
        <f t="shared" ref="L293:L307" si="59">IF(OR(B293="-",N293="",AND(P293="",T293="")),"",1)</f>
        <v/>
      </c>
      <c r="N293" s="695" t="str">
        <f t="shared" si="49"/>
        <v>x</v>
      </c>
      <c r="P293" s="708" t="str">
        <f t="shared" si="54"/>
        <v/>
      </c>
      <c r="R293" s="1" t="str">
        <f t="shared" si="54"/>
        <v/>
      </c>
      <c r="T293" s="709" t="str">
        <f t="shared" si="54"/>
        <v/>
      </c>
    </row>
    <row r="294" spans="1:20" ht="12.75" x14ac:dyDescent="0.2">
      <c r="A294" s="1097"/>
      <c r="B294" s="713" t="str">
        <f>IF(FinII!B40="","-",FinII!B40)</f>
        <v>AIK-Kredit</v>
      </c>
      <c r="C294" s="727" t="s">
        <v>388</v>
      </c>
      <c r="D294" s="714">
        <f>IF('[1]E-Fin II'!$F40="","",'[1]E-Fin II'!$F40)</f>
        <v>2736.8421052631579</v>
      </c>
      <c r="E294" s="715"/>
      <c r="H294" s="716">
        <f>IF(FinII!$F40="","",FinII!$F40)</f>
        <v>2736.8421052631579</v>
      </c>
      <c r="I294" s="717" t="str">
        <f>IF(AND(P294="",T294=""),"",IF(P294=T294,"Richtig!",IF(T294="","Fehlt","Falsch")))</f>
        <v>Richtig!</v>
      </c>
      <c r="J294" s="718">
        <f>IF(OR(B294="-",N294="",AND(P294="",T294="")),"-",IF(I294="Richtig!",1,IF(I294="Formel: OK",0.5,IF(OR(I294="Falsch",I294="Fehlt"),0,""))))</f>
        <v>1</v>
      </c>
      <c r="K294" s="711" t="str">
        <f t="shared" si="58"/>
        <v>│</v>
      </c>
      <c r="L294" s="712">
        <f t="shared" si="59"/>
        <v>1</v>
      </c>
      <c r="N294" s="719" t="str">
        <f t="shared" si="49"/>
        <v>x</v>
      </c>
      <c r="P294" s="714">
        <f t="shared" si="54"/>
        <v>2736.84211</v>
      </c>
      <c r="Q294" s="715"/>
      <c r="R294" s="1" t="str">
        <f t="shared" si="54"/>
        <v/>
      </c>
      <c r="T294" s="716">
        <f t="shared" si="54"/>
        <v>2736.84211</v>
      </c>
    </row>
    <row r="295" spans="1:20" ht="12.75" hidden="1" customHeight="1" x14ac:dyDescent="0.2">
      <c r="A295" s="1097"/>
      <c r="B295" s="713" t="str">
        <f>IF(FinII!B41="","-",FinII!B41)</f>
        <v>-</v>
      </c>
      <c r="C295" s="707"/>
      <c r="D295" s="714" t="str">
        <f>IF('[1]E-Fin II'!$F41="","",'[1]E-Fin II'!$F41)</f>
        <v/>
      </c>
      <c r="E295" s="715"/>
      <c r="H295" s="716" t="str">
        <f>IF(FinII!$F41="","",FinII!$F41)</f>
        <v/>
      </c>
      <c r="I295" s="717" t="str">
        <f>IF(AND(P295="",T295=""),"",IF(P295=T295,"Richtig!",IF(T295="","Fehlt","Falsch")))</f>
        <v/>
      </c>
      <c r="J295" s="718" t="str">
        <f>IF(OR(B295="-",N295="",AND(P295="",T295="")),"-",IF(I295="Richtig!",1,IF(I295="Formel: OK",0.5,IF(OR(I295="Falsch",I295="Fehlt"),0,""))))</f>
        <v>-</v>
      </c>
      <c r="K295" s="711" t="str">
        <f t="shared" si="58"/>
        <v/>
      </c>
      <c r="L295" s="712" t="str">
        <f t="shared" si="59"/>
        <v/>
      </c>
      <c r="N295" s="719"/>
      <c r="P295" s="714" t="str">
        <f t="shared" si="54"/>
        <v/>
      </c>
      <c r="Q295" s="715"/>
      <c r="R295" s="1" t="str">
        <f t="shared" si="54"/>
        <v/>
      </c>
      <c r="T295" s="716" t="str">
        <f t="shared" si="54"/>
        <v/>
      </c>
    </row>
    <row r="296" spans="1:20" ht="12.75" hidden="1" customHeight="1" x14ac:dyDescent="0.2">
      <c r="A296" s="1097"/>
      <c r="B296" s="713" t="str">
        <f>IF(FinII!B42="","-",FinII!B42)</f>
        <v>-</v>
      </c>
      <c r="C296" s="707"/>
      <c r="D296" s="714" t="str">
        <f>IF('[1]E-Fin II'!$F42="","",'[1]E-Fin II'!$F42)</f>
        <v/>
      </c>
      <c r="E296" s="715"/>
      <c r="H296" s="716" t="str">
        <f>IF(FinII!$F42="","",FinII!$F42)</f>
        <v/>
      </c>
      <c r="I296" s="717" t="str">
        <f>IF(AND(P296="",T296=""),"",IF(P296=T296,"Richtig!",IF(T296="","Fehlt","Falsch")))</f>
        <v/>
      </c>
      <c r="J296" s="718" t="str">
        <f>IF(OR(B296="-",N296="",AND(P296="",T296="")),"-",IF(I296="Richtig!",1,IF(I296="Formel: OK",0.5,IF(OR(I296="Falsch",I296="Fehlt"),0,""))))</f>
        <v>-</v>
      </c>
      <c r="K296" s="711" t="str">
        <f t="shared" si="58"/>
        <v/>
      </c>
      <c r="L296" s="712" t="str">
        <f t="shared" si="59"/>
        <v/>
      </c>
      <c r="N296" s="719"/>
      <c r="P296" s="714" t="str">
        <f t="shared" si="54"/>
        <v/>
      </c>
      <c r="Q296" s="715"/>
      <c r="R296" s="1" t="str">
        <f t="shared" si="54"/>
        <v/>
      </c>
      <c r="T296" s="716" t="str">
        <f t="shared" si="54"/>
        <v/>
      </c>
    </row>
    <row r="297" spans="1:20" ht="12.75" x14ac:dyDescent="0.2">
      <c r="A297" s="1097"/>
      <c r="B297" s="713" t="str">
        <f>IF(FinII!B43="","-",FinII!B43)</f>
        <v>Bankdarlehen</v>
      </c>
      <c r="C297" s="707"/>
      <c r="D297" s="714">
        <f>IF('[1]E-Fin II'!$F43="","",'[1]E-Fin II'!$F43)</f>
        <v>3037</v>
      </c>
      <c r="E297" s="715"/>
      <c r="H297" s="716">
        <f>IF(FinII!$F43="","",FinII!$F43)</f>
        <v>3037</v>
      </c>
      <c r="I297" s="717" t="str">
        <f>IF(AND(P297="",T297=""),"",IF(P297=T297,"Richtig!",IF(T297="","Fehlt","Falsch")))</f>
        <v>Richtig!</v>
      </c>
      <c r="J297" s="718">
        <f>IF(OR(B297="-",N297="",AND(P297="",T297="")),"-",IF(I297="Richtig!",1,IF(I297="Formel: OK",0.5,IF(OR(I297="Falsch",I297="Fehlt"),0,""))))</f>
        <v>1</v>
      </c>
      <c r="K297" s="711" t="str">
        <f t="shared" si="58"/>
        <v>│</v>
      </c>
      <c r="L297" s="712">
        <f t="shared" si="59"/>
        <v>1</v>
      </c>
      <c r="N297" s="719" t="str">
        <f t="shared" si="49"/>
        <v>x</v>
      </c>
      <c r="P297" s="714">
        <f t="shared" si="54"/>
        <v>3037</v>
      </c>
      <c r="Q297" s="715"/>
      <c r="R297" s="1" t="str">
        <f t="shared" si="54"/>
        <v/>
      </c>
      <c r="T297" s="716">
        <f t="shared" si="54"/>
        <v>3037</v>
      </c>
    </row>
    <row r="298" spans="1:20" ht="12.75" x14ac:dyDescent="0.2">
      <c r="A298" s="1097"/>
      <c r="B298" s="713" t="str">
        <f>IF(FinII!B44="","-",FinII!B44)</f>
        <v>Summe</v>
      </c>
      <c r="C298" s="727" t="s">
        <v>388</v>
      </c>
      <c r="D298" s="720">
        <f>IF('[1]E-Fin II'!$F44="","",'[1]E-Fin II'!$F44)</f>
        <v>5773.8421052631584</v>
      </c>
      <c r="E298" s="715"/>
      <c r="F298" s="721">
        <f>IF(AND(H294="",H295="",H296="",H297=""),"-",SUM(H294:H297))</f>
        <v>5773.8421052631584</v>
      </c>
      <c r="H298" s="722">
        <f>IF(FinII!$F44="","",FinII!$F44)</f>
        <v>5773.8421052631584</v>
      </c>
      <c r="I298" s="717" t="str">
        <f>IF(B298="-","",IF(P298=T298,"Richtig!",IF(AND(P298&lt;&gt;T298,R298=T298),"Formel: OK",IF(T298="","Fehlt","Falsch"))))</f>
        <v>Richtig!</v>
      </c>
      <c r="J298" s="718">
        <f>IF(OR(B298="-",N298="",AND(P298="",T298="")),"-",IF(I298="Richtig!",1,IF(I298="Formel: OK",0.5,IF(OR(I298="Falsch",I298="Fehlt"),0,""))))</f>
        <v>1</v>
      </c>
      <c r="K298" s="711" t="str">
        <f t="shared" si="58"/>
        <v>│</v>
      </c>
      <c r="L298" s="712">
        <f t="shared" si="59"/>
        <v>1</v>
      </c>
      <c r="N298" s="719" t="str">
        <f t="shared" si="49"/>
        <v>x</v>
      </c>
      <c r="P298" s="720">
        <f t="shared" si="54"/>
        <v>5773.8421099999996</v>
      </c>
      <c r="Q298" s="715"/>
      <c r="R298" s="721">
        <f t="shared" si="54"/>
        <v>5773.8421099999996</v>
      </c>
      <c r="T298" s="722">
        <f t="shared" si="54"/>
        <v>5773.8421099999996</v>
      </c>
    </row>
    <row r="299" spans="1:20" ht="12.75" customHeight="1" x14ac:dyDescent="0.2">
      <c r="A299" s="1097"/>
      <c r="C299" s="707"/>
      <c r="D299" s="723"/>
      <c r="E299" s="715"/>
      <c r="F299" s="715"/>
      <c r="H299" s="724"/>
      <c r="I299" s="717"/>
      <c r="J299" s="717"/>
      <c r="K299" s="711" t="str">
        <f t="shared" si="58"/>
        <v/>
      </c>
      <c r="L299" s="712" t="str">
        <f t="shared" si="59"/>
        <v/>
      </c>
      <c r="N299" s="725" t="str">
        <f t="shared" si="49"/>
        <v>x</v>
      </c>
      <c r="P299" s="723" t="str">
        <f t="shared" si="54"/>
        <v/>
      </c>
      <c r="Q299" s="715"/>
      <c r="R299" s="715" t="str">
        <f t="shared" si="54"/>
        <v/>
      </c>
      <c r="T299" s="724" t="str">
        <f t="shared" si="54"/>
        <v/>
      </c>
    </row>
    <row r="300" spans="1:20" ht="12.75" x14ac:dyDescent="0.2">
      <c r="A300" s="1096" t="s">
        <v>368</v>
      </c>
      <c r="B300" s="726" t="s">
        <v>386</v>
      </c>
      <c r="C300" s="707"/>
      <c r="D300" s="708"/>
      <c r="H300" s="709"/>
      <c r="I300" s="710"/>
      <c r="J300" s="710"/>
      <c r="K300" s="711" t="str">
        <f t="shared" si="58"/>
        <v/>
      </c>
      <c r="L300" s="712" t="str">
        <f t="shared" si="59"/>
        <v/>
      </c>
      <c r="N300" s="695" t="str">
        <f t="shared" si="49"/>
        <v>x</v>
      </c>
      <c r="P300" s="708" t="str">
        <f t="shared" si="54"/>
        <v/>
      </c>
      <c r="R300" s="1" t="str">
        <f t="shared" si="54"/>
        <v/>
      </c>
      <c r="T300" s="709" t="str">
        <f t="shared" si="54"/>
        <v/>
      </c>
    </row>
    <row r="301" spans="1:20" ht="12.75" x14ac:dyDescent="0.2">
      <c r="A301" s="1097"/>
      <c r="B301" s="713" t="str">
        <f>IF(FinII!B40="","-",FinII!B40)</f>
        <v>AIK-Kredit</v>
      </c>
      <c r="C301" s="727" t="s">
        <v>388</v>
      </c>
      <c r="D301" s="714">
        <f>IF('[1]E-Fin II'!$G40="","",'[1]E-Fin II'!$G40)</f>
        <v>-734.7098814622741</v>
      </c>
      <c r="E301" s="715"/>
      <c r="H301" s="716">
        <f>IF(FinII!$G40="","",FinII!$G40)</f>
        <v>-734.7098814622741</v>
      </c>
      <c r="I301" s="717" t="str">
        <f>IF(AND(P301="",T301=""),"",IF(P301=T301,"Richtig!",IF(T301="","Fehlt","Falsch")))</f>
        <v>Richtig!</v>
      </c>
      <c r="J301" s="718">
        <f>IF(OR(B301="-",N301="",AND(P301="",T301="")),"-",IF(I301="Richtig!",1,IF(I301="Formel: OK",0.5,IF(OR(I301="Falsch",I301="Fehlt"),0,""))))</f>
        <v>1</v>
      </c>
      <c r="K301" s="711" t="str">
        <f t="shared" si="58"/>
        <v>│</v>
      </c>
      <c r="L301" s="712">
        <f t="shared" si="59"/>
        <v>1</v>
      </c>
      <c r="N301" s="719" t="str">
        <f t="shared" si="49"/>
        <v>x</v>
      </c>
      <c r="P301" s="714">
        <f t="shared" si="54"/>
        <v>-734.70988</v>
      </c>
      <c r="Q301" s="715"/>
      <c r="R301" s="1" t="str">
        <f t="shared" si="54"/>
        <v/>
      </c>
      <c r="T301" s="716">
        <f t="shared" si="54"/>
        <v>-734.70988</v>
      </c>
    </row>
    <row r="302" spans="1:20" ht="12.75" hidden="1" customHeight="1" x14ac:dyDescent="0.2">
      <c r="A302" s="1097"/>
      <c r="B302" s="713" t="str">
        <f>IF(FinII!B41="","-",FinII!B41)</f>
        <v>-</v>
      </c>
      <c r="C302" s="707"/>
      <c r="D302" s="714" t="str">
        <f>IF('[1]E-Fin II'!$G41="","",'[1]E-Fin II'!$G41)</f>
        <v/>
      </c>
      <c r="E302" s="715"/>
      <c r="H302" s="716" t="str">
        <f>IF(FinII!$G41="","",FinII!$G41)</f>
        <v/>
      </c>
      <c r="I302" s="717" t="str">
        <f>IF(AND(P302="",T302=""),"",IF(P302=T302,"Richtig!",IF(T302="","Fehlt","Falsch")))</f>
        <v/>
      </c>
      <c r="J302" s="718" t="str">
        <f>IF(OR(B302="-",N302="",AND(P302="",T302="")),"-",IF(I302="Richtig!",1,IF(I302="Formel: OK",0.5,IF(OR(I302="Falsch",I302="Fehlt"),0,""))))</f>
        <v>-</v>
      </c>
      <c r="K302" s="711" t="str">
        <f t="shared" si="58"/>
        <v/>
      </c>
      <c r="L302" s="712" t="str">
        <f t="shared" si="59"/>
        <v/>
      </c>
      <c r="N302" s="719"/>
      <c r="P302" s="714" t="str">
        <f t="shared" si="54"/>
        <v/>
      </c>
      <c r="Q302" s="715"/>
      <c r="R302" s="1" t="str">
        <f t="shared" si="54"/>
        <v/>
      </c>
      <c r="T302" s="716" t="str">
        <f t="shared" si="54"/>
        <v/>
      </c>
    </row>
    <row r="303" spans="1:20" ht="12.75" hidden="1" customHeight="1" x14ac:dyDescent="0.2">
      <c r="A303" s="1097"/>
      <c r="B303" s="713" t="str">
        <f>IF(FinII!B42="","-",FinII!B42)</f>
        <v>-</v>
      </c>
      <c r="C303" s="707"/>
      <c r="D303" s="714" t="str">
        <f>IF('[1]E-Fin II'!$G42="","",'[1]E-Fin II'!$G42)</f>
        <v/>
      </c>
      <c r="E303" s="715"/>
      <c r="H303" s="716" t="str">
        <f>IF(FinII!$G42="","",FinII!$G42)</f>
        <v/>
      </c>
      <c r="I303" s="717" t="str">
        <f>IF(AND(P303="",T303=""),"",IF(P303=T303,"Richtig!",IF(T303="","Fehlt","Falsch")))</f>
        <v/>
      </c>
      <c r="J303" s="718" t="str">
        <f>IF(OR(B303="-",N303="",AND(P303="",T303="")),"-",IF(I303="Richtig!",1,IF(I303="Formel: OK",0.5,IF(OR(I303="Falsch",I303="Fehlt"),0,""))))</f>
        <v>-</v>
      </c>
      <c r="K303" s="711" t="str">
        <f t="shared" si="58"/>
        <v/>
      </c>
      <c r="L303" s="712" t="str">
        <f t="shared" si="59"/>
        <v/>
      </c>
      <c r="N303" s="719"/>
      <c r="P303" s="714" t="str">
        <f t="shared" si="54"/>
        <v/>
      </c>
      <c r="Q303" s="715"/>
      <c r="R303" s="1" t="str">
        <f t="shared" si="54"/>
        <v/>
      </c>
      <c r="T303" s="716" t="str">
        <f t="shared" si="54"/>
        <v/>
      </c>
    </row>
    <row r="304" spans="1:20" ht="12.75" x14ac:dyDescent="0.2">
      <c r="A304" s="1097"/>
      <c r="B304" s="713" t="str">
        <f>IF(FinII!B43="","-",FinII!B43)</f>
        <v>Bankdarlehen</v>
      </c>
      <c r="C304" s="707"/>
      <c r="D304" s="714">
        <f>IF('[1]E-Fin II'!$G43="","",'[1]E-Fin II'!$G43)</f>
        <v>-1089.3098911530569</v>
      </c>
      <c r="E304" s="715"/>
      <c r="H304" s="716">
        <f>IF(FinII!$G43="","",FinII!$G43)</f>
        <v>-1089.3098911530569</v>
      </c>
      <c r="I304" s="717" t="str">
        <f>IF(AND(P304="",T304=""),"",IF(P304=T304,"Richtig!",IF(T304="","Fehlt","Falsch")))</f>
        <v>Richtig!</v>
      </c>
      <c r="J304" s="718">
        <f>IF(OR(B304="-",N304="",AND(P304="",T304="")),"-",IF(I304="Richtig!",1,IF(I304="Formel: OK",0.5,IF(OR(I304="Falsch",I304="Fehlt"),0,""))))</f>
        <v>1</v>
      </c>
      <c r="K304" s="711" t="str">
        <f t="shared" si="58"/>
        <v>│</v>
      </c>
      <c r="L304" s="712">
        <f t="shared" si="59"/>
        <v>1</v>
      </c>
      <c r="N304" s="719" t="str">
        <f t="shared" si="49"/>
        <v>x</v>
      </c>
      <c r="P304" s="714">
        <f t="shared" si="54"/>
        <v>-1089.30989</v>
      </c>
      <c r="Q304" s="715"/>
      <c r="R304" s="1" t="str">
        <f t="shared" si="54"/>
        <v/>
      </c>
      <c r="T304" s="716">
        <f t="shared" si="54"/>
        <v>-1089.30989</v>
      </c>
    </row>
    <row r="305" spans="1:20" ht="12.75" x14ac:dyDescent="0.2">
      <c r="A305" s="1097"/>
      <c r="B305" s="713" t="str">
        <f>IF(FinII!B44="","-",FinII!B44)</f>
        <v>Summe</v>
      </c>
      <c r="C305" s="727" t="s">
        <v>388</v>
      </c>
      <c r="D305" s="720">
        <f>IF('[1]E-Fin II'!$G44="","",'[1]E-Fin II'!$G44)</f>
        <v>-1824.019772615331</v>
      </c>
      <c r="E305" s="715"/>
      <c r="F305" s="721">
        <f>IF(AND(H301="",H302="",H303="",H304=""),"-",SUM(H301:H304))</f>
        <v>-1824.019772615331</v>
      </c>
      <c r="H305" s="722">
        <f>IF(FinII!$G44="","",FinII!$G44)</f>
        <v>-1824.019772615331</v>
      </c>
      <c r="I305" s="717" t="str">
        <f>IF(B305="-","",IF(P305=T305,"Richtig!",IF(AND(P305&lt;&gt;T305,R305=T305),"Formel: OK",IF(T305="","Fehlt","Falsch"))))</f>
        <v>Richtig!</v>
      </c>
      <c r="J305" s="718">
        <f>IF(OR(B305="-",N305="",AND(P305="",T305="")),"-",IF(I305="Richtig!",1,IF(I305="Formel: OK",0.5,IF(OR(I305="Falsch",I305="Fehlt"),0,""))))</f>
        <v>1</v>
      </c>
      <c r="K305" s="711" t="str">
        <f t="shared" si="58"/>
        <v>│</v>
      </c>
      <c r="L305" s="712">
        <f t="shared" si="59"/>
        <v>1</v>
      </c>
      <c r="N305" s="719" t="str">
        <f t="shared" si="49"/>
        <v>x</v>
      </c>
      <c r="P305" s="720">
        <f t="shared" si="54"/>
        <v>-1824.0197700000001</v>
      </c>
      <c r="Q305" s="715"/>
      <c r="R305" s="721">
        <f t="shared" si="54"/>
        <v>-1824.0197700000001</v>
      </c>
      <c r="T305" s="722">
        <f t="shared" si="54"/>
        <v>-1824.0197700000001</v>
      </c>
    </row>
    <row r="306" spans="1:20" ht="12.75" customHeight="1" x14ac:dyDescent="0.2">
      <c r="A306" s="707"/>
      <c r="C306" s="707"/>
      <c r="D306" s="723"/>
      <c r="E306" s="715"/>
      <c r="F306" s="715"/>
      <c r="H306" s="724"/>
      <c r="I306" s="717"/>
      <c r="J306" s="717"/>
      <c r="K306" s="711" t="str">
        <f t="shared" si="58"/>
        <v/>
      </c>
      <c r="L306" s="712" t="str">
        <f t="shared" si="59"/>
        <v/>
      </c>
      <c r="N306" s="725" t="str">
        <f t="shared" si="49"/>
        <v>x</v>
      </c>
      <c r="P306" s="723" t="str">
        <f t="shared" si="54"/>
        <v/>
      </c>
      <c r="Q306" s="715"/>
      <c r="R306" s="715" t="str">
        <f t="shared" si="54"/>
        <v/>
      </c>
      <c r="T306" s="724" t="str">
        <f t="shared" si="54"/>
        <v/>
      </c>
    </row>
    <row r="307" spans="1:20" ht="12.75" customHeight="1" x14ac:dyDescent="0.2">
      <c r="A307" s="707"/>
      <c r="C307" s="707"/>
      <c r="D307" s="723"/>
      <c r="E307" s="715"/>
      <c r="F307" s="715"/>
      <c r="H307" s="724"/>
      <c r="I307" s="717"/>
      <c r="J307" s="717"/>
      <c r="K307" s="711" t="str">
        <f t="shared" si="58"/>
        <v/>
      </c>
      <c r="L307" s="712" t="str">
        <f t="shared" si="59"/>
        <v/>
      </c>
      <c r="N307" s="725" t="str">
        <f t="shared" si="49"/>
        <v>x</v>
      </c>
      <c r="P307" s="723" t="str">
        <f t="shared" si="54"/>
        <v/>
      </c>
      <c r="Q307" s="715"/>
      <c r="R307" s="715" t="str">
        <f t="shared" si="54"/>
        <v/>
      </c>
      <c r="T307" s="724" t="str">
        <f t="shared" si="54"/>
        <v/>
      </c>
    </row>
    <row r="308" spans="1:20" ht="22.5" x14ac:dyDescent="0.2">
      <c r="A308" s="698" t="s">
        <v>389</v>
      </c>
      <c r="B308" s="699"/>
      <c r="C308" s="700"/>
      <c r="D308" s="701" t="s">
        <v>0</v>
      </c>
      <c r="E308" s="701"/>
      <c r="F308" s="702" t="s">
        <v>363</v>
      </c>
      <c r="G308" s="700"/>
      <c r="H308" s="702" t="s">
        <v>364</v>
      </c>
      <c r="I308" s="703" t="str">
        <f>"Fehler"</f>
        <v>Fehler</v>
      </c>
      <c r="J308" s="704" t="s">
        <v>365</v>
      </c>
      <c r="K308" s="704"/>
      <c r="L308" s="704"/>
      <c r="N308" s="705" t="str">
        <f>IF($L$1="","",$L$1)</f>
        <v>x</v>
      </c>
      <c r="P308" s="701" t="str">
        <f t="shared" si="54"/>
        <v>Ergebnis</v>
      </c>
      <c r="Q308" s="701"/>
      <c r="R308" s="702" t="str">
        <f t="shared" si="54"/>
        <v>Formel-
prüfung</v>
      </c>
      <c r="S308" s="700"/>
      <c r="T308" s="702" t="str">
        <f t="shared" si="54"/>
        <v>Deine Be-rechnung</v>
      </c>
    </row>
    <row r="309" spans="1:20" ht="12.75" x14ac:dyDescent="0.2">
      <c r="A309" s="706" t="s">
        <v>390</v>
      </c>
      <c r="B309" s="706"/>
      <c r="C309" s="707"/>
      <c r="D309" s="708"/>
      <c r="H309" s="709"/>
      <c r="I309" s="710"/>
      <c r="J309" s="710"/>
      <c r="K309" s="711" t="str">
        <f t="shared" ref="K309:K372" si="60">IF(L309="","","│")</f>
        <v/>
      </c>
      <c r="L309" s="712" t="str">
        <f t="shared" ref="L309:L340" si="61">IF(OR(B309="-",N309="",AND(P309="",T309="")),"",1)</f>
        <v/>
      </c>
      <c r="N309" s="695" t="str">
        <f>IF($L$1="","",$L$1)</f>
        <v>x</v>
      </c>
      <c r="P309" s="708" t="str">
        <f t="shared" si="54"/>
        <v/>
      </c>
      <c r="R309" s="1" t="str">
        <f t="shared" si="54"/>
        <v/>
      </c>
      <c r="T309" s="709" t="str">
        <f t="shared" si="54"/>
        <v/>
      </c>
    </row>
    <row r="310" spans="1:20" ht="12.75" x14ac:dyDescent="0.2">
      <c r="B310" s="713" t="s">
        <v>391</v>
      </c>
      <c r="C310" s="707"/>
      <c r="D310" s="714">
        <f>IF('[1]E-Milch'!$F$12="","",'[1]E-Milch'!$F$12)</f>
        <v>3820.6896551724139</v>
      </c>
      <c r="E310" s="715"/>
      <c r="F310" s="721">
        <f>IF(OR('[1]E-Milch'!D5="",H311=""),"-",'[1]E-Milch'!D5-H311)</f>
        <v>3820.6896551724139</v>
      </c>
      <c r="H310" s="716">
        <f>IF(Milch!$F$12="","",Milch!$F$12)</f>
        <v>3820.6896551724139</v>
      </c>
      <c r="I310" s="717" t="str">
        <f>IF(T310=P310,"Richtig!",IF(AND(P311&lt;&gt;"",T310=R310),"Formel: OK",IF(T310="","Fehlt","Falsch")))</f>
        <v>Richtig!</v>
      </c>
      <c r="J310" s="718">
        <f>IF(OR(B310="-",N310="",AND(P310="",T310="")),"-",IF(I310="Richtig!",1,IF(I310="Formel: OK",0.5,IF(OR(I310="Falsch",I310="Fehlt"),0,""))))</f>
        <v>1</v>
      </c>
      <c r="K310" s="711" t="str">
        <f t="shared" si="60"/>
        <v>│</v>
      </c>
      <c r="L310" s="712">
        <f t="shared" si="61"/>
        <v>1</v>
      </c>
      <c r="N310" s="719" t="str">
        <f>IF($L$1="","",$L$1)</f>
        <v>x</v>
      </c>
      <c r="P310" s="714">
        <f t="shared" si="54"/>
        <v>3820.68966</v>
      </c>
      <c r="Q310" s="715"/>
      <c r="R310" s="721">
        <f t="shared" si="54"/>
        <v>3820.68966</v>
      </c>
      <c r="T310" s="716">
        <f t="shared" si="54"/>
        <v>3820.68966</v>
      </c>
    </row>
    <row r="311" spans="1:20" ht="12.75" x14ac:dyDescent="0.2">
      <c r="B311" s="713" t="s">
        <v>392</v>
      </c>
      <c r="C311" s="707"/>
      <c r="D311" s="714">
        <f>IF('[1]E-Milch'!$H$12="","",'[1]E-Milch'!$H$12)</f>
        <v>1379.3103448275863</v>
      </c>
      <c r="E311" s="715"/>
      <c r="F311" s="715"/>
      <c r="H311" s="716">
        <f>IF(Milch!$H$12="","",Milch!$H$12)</f>
        <v>1379.3103448275863</v>
      </c>
      <c r="I311" s="717" t="str">
        <f>IF(T311=P311,"Richtig!",IF(T311="","Fehlt","Falsch"))</f>
        <v>Richtig!</v>
      </c>
      <c r="J311" s="718">
        <f>IF(OR(B311="-",N311="",AND(P311="",T311="")),"-",IF(I311="Richtig!",1,IF(I311="Formel: OK",0.5,IF(OR(I311="Falsch",I311="Fehlt"),0,""))))</f>
        <v>1</v>
      </c>
      <c r="K311" s="711" t="str">
        <f t="shared" si="60"/>
        <v>│</v>
      </c>
      <c r="L311" s="712">
        <f t="shared" si="61"/>
        <v>1</v>
      </c>
      <c r="N311" s="719" t="str">
        <f>IF($L$1="","",$L$1)</f>
        <v>x</v>
      </c>
      <c r="P311" s="714">
        <f t="shared" si="54"/>
        <v>1379.31034</v>
      </c>
      <c r="Q311" s="715"/>
      <c r="R311" s="715" t="str">
        <f t="shared" si="54"/>
        <v/>
      </c>
      <c r="T311" s="716">
        <f t="shared" si="54"/>
        <v>1379.31034</v>
      </c>
    </row>
    <row r="312" spans="1:20" ht="12.75" x14ac:dyDescent="0.2">
      <c r="A312" s="707"/>
      <c r="B312" s="707"/>
      <c r="C312" s="707"/>
      <c r="D312" s="723"/>
      <c r="E312" s="715"/>
      <c r="F312" s="715"/>
      <c r="H312" s="724"/>
      <c r="I312" s="717"/>
      <c r="J312" s="717"/>
      <c r="K312" s="711" t="str">
        <f t="shared" si="60"/>
        <v/>
      </c>
      <c r="L312" s="712" t="str">
        <f t="shared" si="61"/>
        <v/>
      </c>
      <c r="N312" s="725" t="str">
        <f>IF($L$1="","",$L$1)</f>
        <v>x</v>
      </c>
      <c r="P312" s="723" t="str">
        <f t="shared" si="54"/>
        <v/>
      </c>
      <c r="Q312" s="715"/>
      <c r="R312" s="715" t="str">
        <f t="shared" si="54"/>
        <v/>
      </c>
      <c r="T312" s="724" t="str">
        <f t="shared" si="54"/>
        <v/>
      </c>
    </row>
    <row r="313" spans="1:20" ht="12.75" hidden="1" customHeight="1" x14ac:dyDescent="0.2">
      <c r="A313" s="706" t="s">
        <v>393</v>
      </c>
      <c r="B313" s="706"/>
      <c r="C313" s="707"/>
      <c r="D313" s="708"/>
      <c r="H313" s="709"/>
      <c r="I313" s="710"/>
      <c r="J313" s="710"/>
      <c r="K313" s="711" t="str">
        <f t="shared" si="60"/>
        <v/>
      </c>
      <c r="L313" s="712" t="str">
        <f t="shared" si="61"/>
        <v/>
      </c>
      <c r="N313" s="695"/>
      <c r="P313" s="708" t="str">
        <f t="shared" si="54"/>
        <v/>
      </c>
      <c r="R313" s="1" t="str">
        <f t="shared" si="54"/>
        <v/>
      </c>
      <c r="T313" s="709" t="str">
        <f t="shared" si="54"/>
        <v/>
      </c>
    </row>
    <row r="314" spans="1:20" ht="12.75" hidden="1" customHeight="1" x14ac:dyDescent="0.2">
      <c r="A314" s="707"/>
      <c r="B314" s="2" t="str">
        <f>IF('[1]E-Milch'!B25="","-",'[1]E-Milch'!B25)</f>
        <v>Butter</v>
      </c>
      <c r="C314" s="707"/>
      <c r="D314" s="714">
        <f>IF('[1]E-Milch'!$C25="","",'[1]E-Milch'!$C25)</f>
        <v>690</v>
      </c>
      <c r="E314" s="715"/>
      <c r="F314" s="715"/>
      <c r="H314" s="716">
        <f>IF(Milch!$C25="","",Milch!$C25)</f>
        <v>690</v>
      </c>
      <c r="I314" s="717" t="str">
        <f t="shared" ref="I314:I319" si="62">IF(OR(B314="-",AND(P314="",T314="")),"",IF(T314=P314,"Richtig!",IF(T314="","Fehlt","Falsch")))</f>
        <v>Richtig!</v>
      </c>
      <c r="J314" s="718" t="str">
        <f t="shared" ref="J314:J319" si="63">IF(OR(B314="-",N314="",AND(P314="",T314="")),"-",IF(I314="Richtig!",1,IF(I314="Formel: OK",0.5,IF(OR(I314="Falsch",I314="Fehlt"),0,""))))</f>
        <v>-</v>
      </c>
      <c r="K314" s="711" t="str">
        <f t="shared" si="60"/>
        <v/>
      </c>
      <c r="L314" s="712" t="str">
        <f t="shared" si="61"/>
        <v/>
      </c>
      <c r="N314" s="719"/>
      <c r="P314" s="714">
        <f t="shared" si="54"/>
        <v>690</v>
      </c>
      <c r="Q314" s="715"/>
      <c r="R314" s="715" t="str">
        <f t="shared" si="54"/>
        <v/>
      </c>
      <c r="T314" s="716">
        <f t="shared" si="54"/>
        <v>690</v>
      </c>
    </row>
    <row r="315" spans="1:20" ht="12.75" hidden="1" customHeight="1" x14ac:dyDescent="0.2">
      <c r="A315" s="707"/>
      <c r="B315" s="2" t="str">
        <f>IF('[1]E-Milch'!B26="","-",'[1]E-Milch'!B26)</f>
        <v>Jogurt</v>
      </c>
      <c r="C315" s="707"/>
      <c r="D315" s="714">
        <f>IF('[1]E-Milch'!$C26="","",'[1]E-Milch'!$C26)</f>
        <v>900</v>
      </c>
      <c r="E315" s="715"/>
      <c r="F315" s="715"/>
      <c r="H315" s="716">
        <f>IF(Milch!$C26="","",Milch!$C26)</f>
        <v>900</v>
      </c>
      <c r="I315" s="717" t="str">
        <f t="shared" si="62"/>
        <v>Richtig!</v>
      </c>
      <c r="J315" s="718" t="str">
        <f t="shared" si="63"/>
        <v>-</v>
      </c>
      <c r="K315" s="711" t="str">
        <f t="shared" si="60"/>
        <v/>
      </c>
      <c r="L315" s="712" t="str">
        <f t="shared" si="61"/>
        <v/>
      </c>
      <c r="N315" s="719"/>
      <c r="P315" s="714">
        <f t="shared" si="54"/>
        <v>900</v>
      </c>
      <c r="Q315" s="715"/>
      <c r="R315" s="715" t="str">
        <f t="shared" si="54"/>
        <v/>
      </c>
      <c r="T315" s="716">
        <f t="shared" si="54"/>
        <v>900</v>
      </c>
    </row>
    <row r="316" spans="1:20" ht="12.75" hidden="1" customHeight="1" x14ac:dyDescent="0.2">
      <c r="A316" s="707"/>
      <c r="B316" s="2" t="str">
        <f>IF('[1]E-Milch'!B27="","-",'[1]E-Milch'!B27)</f>
        <v>Topfen aus Vollmilch</v>
      </c>
      <c r="C316" s="707"/>
      <c r="D316" s="714" t="str">
        <f>IF('[1]E-Milch'!$C27="","",'[1]E-Milch'!$C27)</f>
        <v/>
      </c>
      <c r="E316" s="715"/>
      <c r="F316" s="715"/>
      <c r="H316" s="716" t="str">
        <f>IF(Milch!$C27="","",Milch!$C27)</f>
        <v/>
      </c>
      <c r="I316" s="717" t="str">
        <f t="shared" si="62"/>
        <v/>
      </c>
      <c r="J316" s="718" t="str">
        <f t="shared" si="63"/>
        <v>-</v>
      </c>
      <c r="K316" s="711" t="str">
        <f t="shared" si="60"/>
        <v/>
      </c>
      <c r="L316" s="712" t="str">
        <f t="shared" si="61"/>
        <v/>
      </c>
      <c r="N316" s="719"/>
      <c r="P316" s="714" t="str">
        <f t="shared" si="54"/>
        <v/>
      </c>
      <c r="Q316" s="715"/>
      <c r="R316" s="715" t="str">
        <f t="shared" si="54"/>
        <v/>
      </c>
      <c r="T316" s="716" t="str">
        <f t="shared" si="54"/>
        <v/>
      </c>
    </row>
    <row r="317" spans="1:20" ht="12.75" hidden="1" customHeight="1" x14ac:dyDescent="0.2">
      <c r="A317" s="707"/>
      <c r="B317" s="2" t="str">
        <f>IF('[1]E-Milch'!B28="","-",'[1]E-Milch'!B28)</f>
        <v>Käse</v>
      </c>
      <c r="C317" s="707"/>
      <c r="D317" s="714">
        <f>IF('[1]E-Milch'!$C28="","",'[1]E-Milch'!$C28)</f>
        <v>340</v>
      </c>
      <c r="E317" s="715"/>
      <c r="F317" s="715"/>
      <c r="H317" s="716">
        <f>IF(Milch!$C28="","",Milch!$C28)</f>
        <v>340</v>
      </c>
      <c r="I317" s="717" t="str">
        <f t="shared" si="62"/>
        <v>Richtig!</v>
      </c>
      <c r="J317" s="718" t="str">
        <f t="shared" si="63"/>
        <v>-</v>
      </c>
      <c r="K317" s="711" t="str">
        <f t="shared" si="60"/>
        <v/>
      </c>
      <c r="L317" s="712" t="str">
        <f t="shared" si="61"/>
        <v/>
      </c>
      <c r="N317" s="719"/>
      <c r="P317" s="714">
        <f t="shared" si="54"/>
        <v>340</v>
      </c>
      <c r="Q317" s="715"/>
      <c r="R317" s="715" t="str">
        <f t="shared" si="54"/>
        <v/>
      </c>
      <c r="T317" s="716">
        <f t="shared" si="54"/>
        <v>340</v>
      </c>
    </row>
    <row r="318" spans="1:20" ht="12.75" hidden="1" customHeight="1" x14ac:dyDescent="0.2">
      <c r="A318" s="707"/>
      <c r="B318" s="2" t="str">
        <f>IF('[1]E-Milch'!B29="","-",'[1]E-Milch'!B29)</f>
        <v>-</v>
      </c>
      <c r="C318" s="707"/>
      <c r="D318" s="714" t="str">
        <f>IF('[1]E-Milch'!$C29="","",'[1]E-Milch'!$C29)</f>
        <v/>
      </c>
      <c r="E318" s="715"/>
      <c r="F318" s="715"/>
      <c r="H318" s="716" t="str">
        <f>IF(Milch!$C29="","",Milch!$C29)</f>
        <v/>
      </c>
      <c r="I318" s="717" t="str">
        <f t="shared" si="62"/>
        <v/>
      </c>
      <c r="J318" s="718" t="str">
        <f t="shared" si="63"/>
        <v>-</v>
      </c>
      <c r="K318" s="711" t="str">
        <f t="shared" si="60"/>
        <v/>
      </c>
      <c r="L318" s="712" t="str">
        <f t="shared" si="61"/>
        <v/>
      </c>
      <c r="N318" s="719"/>
      <c r="P318" s="714" t="str">
        <f t="shared" si="54"/>
        <v/>
      </c>
      <c r="Q318" s="715"/>
      <c r="R318" s="715" t="str">
        <f t="shared" si="54"/>
        <v/>
      </c>
      <c r="T318" s="716" t="str">
        <f t="shared" si="54"/>
        <v/>
      </c>
    </row>
    <row r="319" spans="1:20" ht="12.75" hidden="1" customHeight="1" x14ac:dyDescent="0.2">
      <c r="A319" s="707"/>
      <c r="B319" s="2" t="str">
        <f>IF('[1]E-Milch'!B30="","-",'[1]E-Milch'!B30)</f>
        <v>-</v>
      </c>
      <c r="C319" s="707"/>
      <c r="D319" s="714" t="str">
        <f>IF('[1]E-Milch'!$C30="","",'[1]E-Milch'!$C30)</f>
        <v/>
      </c>
      <c r="E319" s="715"/>
      <c r="F319" s="715"/>
      <c r="H319" s="716" t="str">
        <f>IF(Milch!$C30="","",Milch!$C30)</f>
        <v/>
      </c>
      <c r="I319" s="717" t="str">
        <f t="shared" si="62"/>
        <v/>
      </c>
      <c r="J319" s="718" t="str">
        <f t="shared" si="63"/>
        <v>-</v>
      </c>
      <c r="K319" s="711" t="str">
        <f t="shared" si="60"/>
        <v/>
      </c>
      <c r="L319" s="712" t="str">
        <f t="shared" si="61"/>
        <v/>
      </c>
      <c r="N319" s="719"/>
      <c r="P319" s="714" t="str">
        <f t="shared" si="54"/>
        <v/>
      </c>
      <c r="Q319" s="715"/>
      <c r="R319" s="715" t="str">
        <f t="shared" si="54"/>
        <v/>
      </c>
      <c r="T319" s="716" t="str">
        <f t="shared" si="54"/>
        <v/>
      </c>
    </row>
    <row r="320" spans="1:20" ht="12.75" hidden="1" customHeight="1" x14ac:dyDescent="0.2">
      <c r="A320" s="707"/>
      <c r="B320" s="707"/>
      <c r="C320" s="707"/>
      <c r="D320" s="708"/>
      <c r="H320" s="709"/>
      <c r="I320" s="710"/>
      <c r="J320" s="710"/>
      <c r="K320" s="711" t="str">
        <f t="shared" si="60"/>
        <v/>
      </c>
      <c r="L320" s="712" t="str">
        <f t="shared" si="61"/>
        <v/>
      </c>
      <c r="N320" s="725"/>
      <c r="P320" s="708" t="str">
        <f t="shared" si="54"/>
        <v/>
      </c>
      <c r="R320" s="1" t="str">
        <f t="shared" si="54"/>
        <v/>
      </c>
      <c r="T320" s="709" t="str">
        <f t="shared" si="54"/>
        <v/>
      </c>
    </row>
    <row r="321" spans="1:20" ht="12.75" x14ac:dyDescent="0.2">
      <c r="A321" s="706" t="s">
        <v>370</v>
      </c>
      <c r="B321" s="706" t="s">
        <v>2</v>
      </c>
      <c r="C321" s="707"/>
      <c r="D321" s="708"/>
      <c r="H321" s="709"/>
      <c r="I321" s="710"/>
      <c r="J321" s="710"/>
      <c r="K321" s="711" t="str">
        <f t="shared" si="60"/>
        <v/>
      </c>
      <c r="L321" s="712" t="str">
        <f t="shared" si="61"/>
        <v/>
      </c>
      <c r="N321" s="695" t="str">
        <f>IF($L$1="","",$L$1)</f>
        <v>x</v>
      </c>
      <c r="P321" s="708" t="str">
        <f t="shared" si="54"/>
        <v/>
      </c>
      <c r="R321" s="1" t="str">
        <f t="shared" si="54"/>
        <v/>
      </c>
      <c r="T321" s="709" t="str">
        <f t="shared" si="54"/>
        <v/>
      </c>
    </row>
    <row r="322" spans="1:20" ht="12.75" x14ac:dyDescent="0.2">
      <c r="A322" s="707"/>
      <c r="B322" s="2" t="str">
        <f>IF('[1]E-Milch'!B42="","-",'[1]E-Milch'!B42)</f>
        <v>Molkereigeld</v>
      </c>
      <c r="C322" s="707"/>
      <c r="D322" s="714">
        <f>IF('[1]E-Milch'!$F42="","",'[1]E-Milch'!$F42)</f>
        <v>660</v>
      </c>
      <c r="E322" s="715"/>
      <c r="F322" s="715"/>
      <c r="H322" s="716">
        <f>IF(Milch!$F42="","",Milch!$F42)</f>
        <v>660</v>
      </c>
      <c r="I322" s="717" t="str">
        <f t="shared" ref="I322:I331" si="64">IF(OR(B322="-",AND(P322="",T322="")),"",IF(T322=P322,"Richtig!",IF(T322="","Fehlt","Falsch")))</f>
        <v>Richtig!</v>
      </c>
      <c r="J322" s="718">
        <f t="shared" ref="J322:J335" si="65">IF(OR(B322="-",N322="",AND(P322="",T322="")),"-",IF(I322="Richtig!",1,IF(I322="Formel: OK",0.5,IF(OR(I322="Falsch",I322="Fehlt"),0,""))))</f>
        <v>1</v>
      </c>
      <c r="K322" s="711" t="str">
        <f t="shared" si="60"/>
        <v>│</v>
      </c>
      <c r="L322" s="712">
        <f t="shared" si="61"/>
        <v>1</v>
      </c>
      <c r="N322" s="719" t="str">
        <f>IF($L$1="","",$L$1)</f>
        <v>x</v>
      </c>
      <c r="P322" s="714">
        <f t="shared" si="54"/>
        <v>660</v>
      </c>
      <c r="Q322" s="715"/>
      <c r="R322" s="715" t="str">
        <f t="shared" si="54"/>
        <v/>
      </c>
      <c r="T322" s="716">
        <f t="shared" si="54"/>
        <v>660</v>
      </c>
    </row>
    <row r="323" spans="1:20" ht="12.75" x14ac:dyDescent="0.2">
      <c r="A323" s="707"/>
      <c r="B323" s="2" t="str">
        <f>IF('[1]E-Milch'!B43="","-",'[1]E-Milch'!B43)</f>
        <v>Ab-Hof</v>
      </c>
      <c r="C323" s="707"/>
      <c r="D323" s="714">
        <f>IF('[1]E-Milch'!$F43="","",'[1]E-Milch'!$F43)</f>
        <v>540</v>
      </c>
      <c r="E323" s="715"/>
      <c r="F323" s="715"/>
      <c r="H323" s="716">
        <f>IF(Milch!$F43="","",Milch!$F43)</f>
        <v>540</v>
      </c>
      <c r="I323" s="717" t="str">
        <f t="shared" si="64"/>
        <v>Richtig!</v>
      </c>
      <c r="J323" s="718">
        <f t="shared" si="65"/>
        <v>1</v>
      </c>
      <c r="K323" s="711" t="str">
        <f t="shared" si="60"/>
        <v>│</v>
      </c>
      <c r="L323" s="712">
        <f t="shared" si="61"/>
        <v>1</v>
      </c>
      <c r="N323" s="719" t="str">
        <f>IF($L$1="","",$L$1)</f>
        <v>x</v>
      </c>
      <c r="P323" s="714">
        <f t="shared" si="54"/>
        <v>540</v>
      </c>
      <c r="Q323" s="715"/>
      <c r="R323" s="715" t="str">
        <f t="shared" si="54"/>
        <v/>
      </c>
      <c r="T323" s="716">
        <f t="shared" si="54"/>
        <v>540</v>
      </c>
    </row>
    <row r="324" spans="1:20" ht="12.75" x14ac:dyDescent="0.2">
      <c r="A324" s="707"/>
      <c r="B324" s="2" t="str">
        <f>IF('[1]E-Milch'!B44="","-",'[1]E-Milch'!B44)</f>
        <v>Eigen- u. Gästeverbrauch</v>
      </c>
      <c r="C324" s="707"/>
      <c r="D324" s="714">
        <f>IF('[1]E-Milch'!$F44="","",'[1]E-Milch'!$F44)</f>
        <v>72</v>
      </c>
      <c r="E324" s="715"/>
      <c r="F324" s="715"/>
      <c r="H324" s="716">
        <f>IF(Milch!$F44="","",Milch!$F44)</f>
        <v>72</v>
      </c>
      <c r="I324" s="717" t="str">
        <f t="shared" si="64"/>
        <v>Richtig!</v>
      </c>
      <c r="J324" s="718">
        <f t="shared" si="65"/>
        <v>1</v>
      </c>
      <c r="K324" s="711" t="str">
        <f t="shared" si="60"/>
        <v>│</v>
      </c>
      <c r="L324" s="712">
        <f t="shared" si="61"/>
        <v>1</v>
      </c>
      <c r="N324" s="719" t="str">
        <f>IF($L$1="","",$L$1)</f>
        <v>x</v>
      </c>
      <c r="P324" s="714">
        <f t="shared" si="54"/>
        <v>72</v>
      </c>
      <c r="Q324" s="715"/>
      <c r="R324" s="715" t="str">
        <f t="shared" si="54"/>
        <v/>
      </c>
      <c r="T324" s="716">
        <f t="shared" si="54"/>
        <v>72</v>
      </c>
    </row>
    <row r="325" spans="1:20" ht="12.75" hidden="1" customHeight="1" x14ac:dyDescent="0.2">
      <c r="A325" s="707"/>
      <c r="B325" s="2" t="str">
        <f>IF('[1]E-Milch'!B45="","-",'[1]E-Milch'!B45)</f>
        <v>Butter</v>
      </c>
      <c r="C325" s="707"/>
      <c r="D325" s="714">
        <f>IF('[1]E-Milch'!$F45="","",'[1]E-Milch'!$F45)</f>
        <v>177</v>
      </c>
      <c r="E325" s="715"/>
      <c r="F325" s="715"/>
      <c r="H325" s="716">
        <f>IF(Milch!$F45="","",Milch!$F45)</f>
        <v>177</v>
      </c>
      <c r="I325" s="717" t="str">
        <f t="shared" si="64"/>
        <v>Richtig!</v>
      </c>
      <c r="J325" s="718" t="str">
        <f t="shared" si="65"/>
        <v>-</v>
      </c>
      <c r="K325" s="711" t="str">
        <f t="shared" si="60"/>
        <v/>
      </c>
      <c r="L325" s="712" t="str">
        <f t="shared" si="61"/>
        <v/>
      </c>
      <c r="N325" s="719"/>
      <c r="P325" s="714">
        <f t="shared" si="54"/>
        <v>177</v>
      </c>
      <c r="Q325" s="715"/>
      <c r="R325" s="715" t="str">
        <f t="shared" si="54"/>
        <v/>
      </c>
      <c r="T325" s="716">
        <f t="shared" si="54"/>
        <v>177</v>
      </c>
    </row>
    <row r="326" spans="1:20" ht="12.75" hidden="1" customHeight="1" x14ac:dyDescent="0.2">
      <c r="A326" s="707"/>
      <c r="B326" s="2" t="str">
        <f>IF('[1]E-Milch'!B46="","-",'[1]E-Milch'!B46)</f>
        <v>Jogurt</v>
      </c>
      <c r="C326" s="707"/>
      <c r="D326" s="714">
        <f>IF('[1]E-Milch'!$F46="","",'[1]E-Milch'!$F46)</f>
        <v>1440</v>
      </c>
      <c r="E326" s="715"/>
      <c r="F326" s="715"/>
      <c r="H326" s="716">
        <f>IF(Milch!$F46="","",Milch!$F46)</f>
        <v>1440</v>
      </c>
      <c r="I326" s="717" t="str">
        <f t="shared" si="64"/>
        <v>Richtig!</v>
      </c>
      <c r="J326" s="718" t="str">
        <f t="shared" si="65"/>
        <v>-</v>
      </c>
      <c r="K326" s="711" t="str">
        <f t="shared" si="60"/>
        <v/>
      </c>
      <c r="L326" s="712" t="str">
        <f t="shared" si="61"/>
        <v/>
      </c>
      <c r="N326" s="719"/>
      <c r="P326" s="714">
        <f t="shared" si="54"/>
        <v>1440</v>
      </c>
      <c r="Q326" s="715"/>
      <c r="R326" s="715" t="str">
        <f t="shared" si="54"/>
        <v/>
      </c>
      <c r="T326" s="716">
        <f t="shared" si="54"/>
        <v>1440</v>
      </c>
    </row>
    <row r="327" spans="1:20" ht="12.75" hidden="1" customHeight="1" x14ac:dyDescent="0.2">
      <c r="A327" s="707"/>
      <c r="B327" s="2" t="str">
        <f>IF('[1]E-Milch'!B47="","-",'[1]E-Milch'!B47)</f>
        <v>Topfen aus Vollmilch</v>
      </c>
      <c r="C327" s="707"/>
      <c r="D327" s="714" t="str">
        <f>IF('[1]E-Milch'!$F47="","",'[1]E-Milch'!$F47)</f>
        <v/>
      </c>
      <c r="E327" s="715"/>
      <c r="F327" s="715"/>
      <c r="H327" s="716" t="str">
        <f>IF(Milch!$F47="","",Milch!$F47)</f>
        <v/>
      </c>
      <c r="I327" s="717" t="str">
        <f t="shared" si="64"/>
        <v/>
      </c>
      <c r="J327" s="718" t="str">
        <f t="shared" si="65"/>
        <v>-</v>
      </c>
      <c r="K327" s="711" t="str">
        <f t="shared" si="60"/>
        <v/>
      </c>
      <c r="L327" s="712" t="str">
        <f t="shared" si="61"/>
        <v/>
      </c>
      <c r="N327" s="719"/>
      <c r="P327" s="714" t="str">
        <f t="shared" si="54"/>
        <v/>
      </c>
      <c r="Q327" s="715"/>
      <c r="R327" s="715" t="str">
        <f t="shared" si="54"/>
        <v/>
      </c>
      <c r="T327" s="716" t="str">
        <f t="shared" si="54"/>
        <v/>
      </c>
    </row>
    <row r="328" spans="1:20" ht="12.75" x14ac:dyDescent="0.2">
      <c r="A328" s="707"/>
      <c r="B328" s="2" t="str">
        <f>IF('[1]E-Milch'!B48="","-",'[1]E-Milch'!B48)</f>
        <v>Käse</v>
      </c>
      <c r="C328" s="707"/>
      <c r="D328" s="714">
        <f>IF('[1]E-Milch'!$F48="","",'[1]E-Milch'!$F48)</f>
        <v>320</v>
      </c>
      <c r="E328" s="715"/>
      <c r="F328" s="715"/>
      <c r="H328" s="716">
        <f>IF(Milch!$F48="","",Milch!$F48)</f>
        <v>320</v>
      </c>
      <c r="I328" s="717" t="str">
        <f t="shared" si="64"/>
        <v>Richtig!</v>
      </c>
      <c r="J328" s="718">
        <f t="shared" si="65"/>
        <v>1</v>
      </c>
      <c r="K328" s="711" t="str">
        <f t="shared" si="60"/>
        <v>│</v>
      </c>
      <c r="L328" s="712">
        <f t="shared" si="61"/>
        <v>1</v>
      </c>
      <c r="N328" s="719" t="str">
        <f>IF($L$1="","",$L$1)</f>
        <v>x</v>
      </c>
      <c r="P328" s="714">
        <f t="shared" si="54"/>
        <v>320</v>
      </c>
      <c r="Q328" s="715"/>
      <c r="R328" s="715" t="str">
        <f t="shared" si="54"/>
        <v/>
      </c>
      <c r="T328" s="716">
        <f t="shared" si="54"/>
        <v>320</v>
      </c>
    </row>
    <row r="329" spans="1:20" ht="12.75" hidden="1" customHeight="1" x14ac:dyDescent="0.2">
      <c r="A329" s="707"/>
      <c r="B329" s="2" t="str">
        <f>IF('[1]E-Milch'!B49="","-",'[1]E-Milch'!B49)</f>
        <v>-</v>
      </c>
      <c r="C329" s="707"/>
      <c r="D329" s="714" t="str">
        <f>IF('[1]E-Milch'!$F49="","",'[1]E-Milch'!$F49)</f>
        <v/>
      </c>
      <c r="E329" s="715"/>
      <c r="F329" s="715"/>
      <c r="H329" s="716" t="str">
        <f>IF(Milch!$F49="","",Milch!$F49)</f>
        <v/>
      </c>
      <c r="I329" s="717" t="str">
        <f t="shared" si="64"/>
        <v/>
      </c>
      <c r="J329" s="718" t="str">
        <f t="shared" si="65"/>
        <v>-</v>
      </c>
      <c r="K329" s="711" t="str">
        <f t="shared" si="60"/>
        <v/>
      </c>
      <c r="L329" s="712" t="str">
        <f t="shared" si="61"/>
        <v/>
      </c>
      <c r="N329" s="719"/>
      <c r="P329" s="714" t="str">
        <f t="shared" si="54"/>
        <v/>
      </c>
      <c r="Q329" s="715"/>
      <c r="R329" s="715" t="str">
        <f t="shared" si="54"/>
        <v/>
      </c>
      <c r="T329" s="716" t="str">
        <f t="shared" si="54"/>
        <v/>
      </c>
    </row>
    <row r="330" spans="1:20" ht="12.75" hidden="1" customHeight="1" x14ac:dyDescent="0.2">
      <c r="A330" s="707"/>
      <c r="B330" s="2" t="str">
        <f>IF('[1]E-Milch'!B50="","-",'[1]E-Milch'!B50)</f>
        <v>-</v>
      </c>
      <c r="C330" s="707"/>
      <c r="D330" s="714" t="str">
        <f>IF('[1]E-Milch'!$F50="","",'[1]E-Milch'!$F50)</f>
        <v/>
      </c>
      <c r="E330" s="715"/>
      <c r="F330" s="715"/>
      <c r="H330" s="716" t="str">
        <f>IF(Milch!$F50="","",Milch!$F50)</f>
        <v/>
      </c>
      <c r="I330" s="717" t="str">
        <f t="shared" si="64"/>
        <v/>
      </c>
      <c r="J330" s="718" t="str">
        <f t="shared" si="65"/>
        <v>-</v>
      </c>
      <c r="K330" s="711" t="str">
        <f t="shared" si="60"/>
        <v/>
      </c>
      <c r="L330" s="712" t="str">
        <f t="shared" si="61"/>
        <v/>
      </c>
      <c r="N330" s="719"/>
      <c r="P330" s="714" t="str">
        <f t="shared" si="54"/>
        <v/>
      </c>
      <c r="Q330" s="715"/>
      <c r="R330" s="715" t="str">
        <f t="shared" si="54"/>
        <v/>
      </c>
      <c r="T330" s="716" t="str">
        <f t="shared" si="54"/>
        <v/>
      </c>
    </row>
    <row r="331" spans="1:20" ht="12.75" hidden="1" customHeight="1" x14ac:dyDescent="0.2">
      <c r="A331" s="707"/>
      <c r="B331" s="2" t="str">
        <f>IF('[1]E-Milch'!B51="","-",'[1]E-Milch'!B51)</f>
        <v>Magermilch</v>
      </c>
      <c r="C331" s="707"/>
      <c r="D331" s="714">
        <f>IF('[1]E-Milch'!$F51="","",'[1]E-Milch'!$F51)</f>
        <v>23.92</v>
      </c>
      <c r="E331" s="715"/>
      <c r="F331" s="715"/>
      <c r="H331" s="716">
        <f>IF(Milch!$F51="","",Milch!$F51)</f>
        <v>23.92</v>
      </c>
      <c r="I331" s="717" t="str">
        <f t="shared" si="64"/>
        <v>Richtig!</v>
      </c>
      <c r="J331" s="718" t="str">
        <f t="shared" si="65"/>
        <v>-</v>
      </c>
      <c r="K331" s="711" t="str">
        <f t="shared" si="60"/>
        <v/>
      </c>
      <c r="L331" s="712" t="str">
        <f t="shared" si="61"/>
        <v/>
      </c>
      <c r="N331" s="719"/>
      <c r="P331" s="714">
        <f t="shared" ref="P331:T394" si="66">IF(ISTEXT(D331),D331,IF(D331="","",ROUND(D331,$R$1)))</f>
        <v>23.92</v>
      </c>
      <c r="Q331" s="715"/>
      <c r="R331" s="715" t="str">
        <f t="shared" si="66"/>
        <v/>
      </c>
      <c r="T331" s="716">
        <f t="shared" si="66"/>
        <v>23.92</v>
      </c>
    </row>
    <row r="332" spans="1:20" ht="12.75" x14ac:dyDescent="0.2">
      <c r="A332" s="707"/>
      <c r="B332" s="2" t="str">
        <f>IF('[1]E-Milch'!B52="","-",'[1]E-Milch'!B52)</f>
        <v>Summe Milcherlös</v>
      </c>
      <c r="C332" s="707"/>
      <c r="D332" s="720">
        <f>IF('[1]E-Milch'!$F52="","",'[1]E-Milch'!$F52)</f>
        <v>3232.92</v>
      </c>
      <c r="E332" s="715"/>
      <c r="F332" s="721">
        <f>SUM(H322:H331)</f>
        <v>3232.92</v>
      </c>
      <c r="H332" s="722">
        <f>IF(Milch!$F52="","",Milch!$F52)</f>
        <v>3232.92</v>
      </c>
      <c r="I332" s="717" t="str">
        <f>IF(B332="-","",IF(T332=P332,"Richtig!",IF(AND(P332&lt;&gt;T332,R332=T332),"Formel: OK",IF(T332="","Fehlt","Falsch"))))</f>
        <v>Richtig!</v>
      </c>
      <c r="J332" s="718">
        <f t="shared" si="65"/>
        <v>1</v>
      </c>
      <c r="K332" s="711" t="str">
        <f t="shared" si="60"/>
        <v>│</v>
      </c>
      <c r="L332" s="712">
        <f t="shared" si="61"/>
        <v>1</v>
      </c>
      <c r="N332" s="719" t="str">
        <f t="shared" ref="N332:N342" si="67">IF($L$1="","",$L$1)</f>
        <v>x</v>
      </c>
      <c r="P332" s="720">
        <f t="shared" si="66"/>
        <v>3232.92</v>
      </c>
      <c r="Q332" s="715"/>
      <c r="R332" s="721">
        <f t="shared" si="66"/>
        <v>3232.92</v>
      </c>
      <c r="T332" s="722">
        <f t="shared" si="66"/>
        <v>3232.92</v>
      </c>
    </row>
    <row r="333" spans="1:20" ht="12.75" x14ac:dyDescent="0.2">
      <c r="A333" s="707"/>
      <c r="B333" s="2" t="str">
        <f>IF('[1]E-Milch'!B53="","-",'[1]E-Milch'!B53)</f>
        <v>Altkuherlös</v>
      </c>
      <c r="C333" s="707"/>
      <c r="D333" s="714">
        <f>IF('[1]E-Milch'!$F53="","",'[1]E-Milch'!$F53)</f>
        <v>55.833333333333336</v>
      </c>
      <c r="E333" s="715"/>
      <c r="F333" s="715"/>
      <c r="H333" s="716">
        <f>IF(Milch!$F53="","",Milch!$F53)</f>
        <v>55.833333333333336</v>
      </c>
      <c r="I333" s="717" t="str">
        <f>IF(B333="-","",IF(T333=P333,"Richtig!",IF(T333="","Fehlt","Falsch")))</f>
        <v>Richtig!</v>
      </c>
      <c r="J333" s="718">
        <f t="shared" si="65"/>
        <v>1</v>
      </c>
      <c r="K333" s="711" t="str">
        <f t="shared" si="60"/>
        <v>│</v>
      </c>
      <c r="L333" s="712">
        <f t="shared" si="61"/>
        <v>1</v>
      </c>
      <c r="N333" s="719" t="str">
        <f t="shared" si="67"/>
        <v>x</v>
      </c>
      <c r="P333" s="714">
        <f t="shared" si="66"/>
        <v>55.833329999999997</v>
      </c>
      <c r="Q333" s="715"/>
      <c r="R333" s="715" t="str">
        <f t="shared" si="66"/>
        <v/>
      </c>
      <c r="T333" s="716">
        <f t="shared" si="66"/>
        <v>55.833329999999997</v>
      </c>
    </row>
    <row r="334" spans="1:20" ht="12.75" x14ac:dyDescent="0.2">
      <c r="A334" s="707"/>
      <c r="B334" s="2" t="str">
        <f>IF('[1]E-Milch'!B54="","-",'[1]E-Milch'!B54)</f>
        <v>Kälbererlös</v>
      </c>
      <c r="C334" s="707"/>
      <c r="D334" s="714">
        <f>IF('[1]E-Milch'!$F54="","",'[1]E-Milch'!$F54)</f>
        <v>229.5</v>
      </c>
      <c r="E334" s="715"/>
      <c r="F334" s="715"/>
      <c r="H334" s="716">
        <f>IF(Milch!$F54="","",Milch!$F54)</f>
        <v>229.5</v>
      </c>
      <c r="I334" s="717" t="str">
        <f>IF(B334="-","",IF(T334=P334,"Richtig!",IF(T334="","Fehlt","Falsch")))</f>
        <v>Richtig!</v>
      </c>
      <c r="J334" s="718">
        <f t="shared" si="65"/>
        <v>1</v>
      </c>
      <c r="K334" s="711" t="str">
        <f t="shared" si="60"/>
        <v>│</v>
      </c>
      <c r="L334" s="712">
        <f t="shared" si="61"/>
        <v>1</v>
      </c>
      <c r="N334" s="719" t="str">
        <f t="shared" si="67"/>
        <v>x</v>
      </c>
      <c r="P334" s="714">
        <f t="shared" si="66"/>
        <v>229.5</v>
      </c>
      <c r="Q334" s="715"/>
      <c r="R334" s="715" t="str">
        <f t="shared" si="66"/>
        <v/>
      </c>
      <c r="T334" s="716">
        <f t="shared" si="66"/>
        <v>229.5</v>
      </c>
    </row>
    <row r="335" spans="1:20" ht="12.75" x14ac:dyDescent="0.2">
      <c r="A335" s="707"/>
      <c r="B335" s="2" t="str">
        <f>IF('[1]E-Milch'!B55="","-",'[1]E-Milch'!B55)</f>
        <v>SUMME ROHERTRAG</v>
      </c>
      <c r="C335" s="707"/>
      <c r="D335" s="720">
        <f>IF('[1]E-Milch'!$F55="","",'[1]E-Milch'!$F55)</f>
        <v>3518.2533333333336</v>
      </c>
      <c r="E335" s="715"/>
      <c r="F335" s="721">
        <f>SUM(F332,H333:H334)</f>
        <v>3518.2533333333336</v>
      </c>
      <c r="H335" s="722">
        <f>IF(Milch!$F55="","",Milch!$F55)</f>
        <v>3518.2533333333336</v>
      </c>
      <c r="I335" s="717" t="str">
        <f>IF(B335="-","",IF(T335=P335,"Richtig!",IF(AND(P335&lt;&gt;T335,R335=T335),"Formel: OK",IF(T335="","Fehlt","Falsch"))))</f>
        <v>Richtig!</v>
      </c>
      <c r="J335" s="718">
        <f t="shared" si="65"/>
        <v>1</v>
      </c>
      <c r="K335" s="711" t="str">
        <f t="shared" si="60"/>
        <v>│</v>
      </c>
      <c r="L335" s="712">
        <f t="shared" si="61"/>
        <v>1</v>
      </c>
      <c r="N335" s="719" t="str">
        <f t="shared" si="67"/>
        <v>x</v>
      </c>
      <c r="P335" s="720">
        <f t="shared" si="66"/>
        <v>3518.25333</v>
      </c>
      <c r="Q335" s="715"/>
      <c r="R335" s="721">
        <f t="shared" si="66"/>
        <v>3518.25333</v>
      </c>
      <c r="T335" s="722">
        <f t="shared" si="66"/>
        <v>3518.25333</v>
      </c>
    </row>
    <row r="336" spans="1:20" ht="12.75" x14ac:dyDescent="0.2">
      <c r="A336" s="707"/>
      <c r="B336" s="707"/>
      <c r="C336" s="707"/>
      <c r="D336" s="708"/>
      <c r="H336" s="709"/>
      <c r="I336" s="710"/>
      <c r="J336" s="710"/>
      <c r="K336" s="711" t="str">
        <f t="shared" si="60"/>
        <v/>
      </c>
      <c r="L336" s="712" t="str">
        <f t="shared" si="61"/>
        <v/>
      </c>
      <c r="N336" s="725" t="str">
        <f t="shared" si="67"/>
        <v>x</v>
      </c>
      <c r="P336" s="708" t="str">
        <f t="shared" si="66"/>
        <v/>
      </c>
      <c r="R336" s="1" t="str">
        <f t="shared" si="66"/>
        <v/>
      </c>
      <c r="T336" s="709" t="str">
        <f t="shared" si="66"/>
        <v/>
      </c>
    </row>
    <row r="337" spans="1:20" ht="12.75" x14ac:dyDescent="0.2">
      <c r="A337" s="706" t="s">
        <v>373</v>
      </c>
      <c r="B337" s="706" t="s">
        <v>394</v>
      </c>
      <c r="C337" s="707"/>
      <c r="D337" s="708"/>
      <c r="H337" s="709"/>
      <c r="I337" s="710"/>
      <c r="J337" s="710"/>
      <c r="K337" s="711" t="str">
        <f t="shared" si="60"/>
        <v/>
      </c>
      <c r="L337" s="712" t="str">
        <f t="shared" si="61"/>
        <v/>
      </c>
      <c r="N337" s="695" t="str">
        <f t="shared" si="67"/>
        <v>x</v>
      </c>
      <c r="P337" s="708" t="str">
        <f t="shared" si="66"/>
        <v/>
      </c>
      <c r="R337" s="1" t="str">
        <f t="shared" si="66"/>
        <v/>
      </c>
      <c r="T337" s="709" t="str">
        <f t="shared" si="66"/>
        <v/>
      </c>
    </row>
    <row r="338" spans="1:20" ht="12.75" x14ac:dyDescent="0.2">
      <c r="A338" s="707"/>
      <c r="B338" s="2" t="str">
        <f>IF('[1]E-Milch'!B59="","-",'[1]E-Milch'!B59)</f>
        <v>Bestandesergänzung</v>
      </c>
      <c r="C338" s="707"/>
      <c r="D338" s="714">
        <f>IF('[1]E-Milch'!$F59="","",'[1]E-Milch'!$F59)</f>
        <v>131.66666666666666</v>
      </c>
      <c r="E338" s="715"/>
      <c r="F338" s="715"/>
      <c r="H338" s="716">
        <f>IF(Milch!$F59="","",Milch!$F59)</f>
        <v>131.66666666666666</v>
      </c>
      <c r="I338" s="717" t="str">
        <f t="shared" ref="I338:I351" si="68">IF(OR(B338="-",AND(P338="",T338="")),"",IF(T338=P338,"Richtig!",IF(T338="","Fehlt","Falsch")))</f>
        <v>Richtig!</v>
      </c>
      <c r="J338" s="718">
        <f t="shared" ref="J338:J352" si="69">IF(OR(B338="-",N338="",AND(P338="",T338="")),"-",IF(I338="Richtig!",1,IF(I338="Formel: OK",0.5,IF(OR(I338="Falsch",I338="Fehlt"),0,""))))</f>
        <v>1</v>
      </c>
      <c r="K338" s="711" t="str">
        <f t="shared" si="60"/>
        <v>│</v>
      </c>
      <c r="L338" s="712">
        <f t="shared" si="61"/>
        <v>1</v>
      </c>
      <c r="N338" s="719" t="str">
        <f t="shared" si="67"/>
        <v>x</v>
      </c>
      <c r="P338" s="714">
        <f t="shared" si="66"/>
        <v>131.66667000000001</v>
      </c>
      <c r="Q338" s="715"/>
      <c r="R338" s="715" t="str">
        <f t="shared" si="66"/>
        <v/>
      </c>
      <c r="T338" s="716">
        <f t="shared" si="66"/>
        <v>131.66667000000001</v>
      </c>
    </row>
    <row r="339" spans="1:20" ht="12.75" x14ac:dyDescent="0.2">
      <c r="A339" s="707"/>
      <c r="B339" s="2" t="str">
        <f>IF('[1]E-Milch'!B60="","-",'[1]E-Milch'!B60)</f>
        <v>KF</v>
      </c>
      <c r="C339" s="707"/>
      <c r="D339" s="714">
        <f>IF('[1]E-Milch'!$F60="","",'[1]E-Milch'!$F60)</f>
        <v>352</v>
      </c>
      <c r="E339" s="715"/>
      <c r="F339" s="715"/>
      <c r="H339" s="716">
        <f>IF(Milch!$F60="","",Milch!$F60)</f>
        <v>352</v>
      </c>
      <c r="I339" s="717" t="str">
        <f t="shared" si="68"/>
        <v>Richtig!</v>
      </c>
      <c r="J339" s="718">
        <f t="shared" si="69"/>
        <v>1</v>
      </c>
      <c r="K339" s="711" t="str">
        <f t="shared" si="60"/>
        <v>│</v>
      </c>
      <c r="L339" s="712">
        <f t="shared" si="61"/>
        <v>1</v>
      </c>
      <c r="N339" s="719" t="str">
        <f t="shared" si="67"/>
        <v>x</v>
      </c>
      <c r="P339" s="714">
        <f t="shared" si="66"/>
        <v>352</v>
      </c>
      <c r="Q339" s="715"/>
      <c r="R339" s="715" t="str">
        <f t="shared" si="66"/>
        <v/>
      </c>
      <c r="T339" s="716">
        <f t="shared" si="66"/>
        <v>352</v>
      </c>
    </row>
    <row r="340" spans="1:20" ht="12.75" x14ac:dyDescent="0.2">
      <c r="A340" s="707"/>
      <c r="B340" s="2" t="str">
        <f>IF('[1]E-Milch'!B61="","-",'[1]E-Milch'!B61)</f>
        <v>Mineralstoffmischung</v>
      </c>
      <c r="C340" s="707"/>
      <c r="D340" s="714">
        <f>IF('[1]E-Milch'!$F61="","",'[1]E-Milch'!$F61)</f>
        <v>34.299999999999997</v>
      </c>
      <c r="E340" s="715"/>
      <c r="F340" s="715"/>
      <c r="H340" s="716">
        <f>IF(Milch!$F61="","",Milch!$F61)</f>
        <v>34.299999999999997</v>
      </c>
      <c r="I340" s="717" t="str">
        <f t="shared" si="68"/>
        <v>Richtig!</v>
      </c>
      <c r="J340" s="718">
        <f t="shared" si="69"/>
        <v>1</v>
      </c>
      <c r="K340" s="711" t="str">
        <f t="shared" si="60"/>
        <v>│</v>
      </c>
      <c r="L340" s="712">
        <f t="shared" si="61"/>
        <v>1</v>
      </c>
      <c r="N340" s="719" t="str">
        <f t="shared" si="67"/>
        <v>x</v>
      </c>
      <c r="P340" s="714">
        <f t="shared" si="66"/>
        <v>34.299999999999997</v>
      </c>
      <c r="Q340" s="715"/>
      <c r="R340" s="715" t="str">
        <f t="shared" si="66"/>
        <v/>
      </c>
      <c r="T340" s="716">
        <f t="shared" si="66"/>
        <v>34.299999999999997</v>
      </c>
    </row>
    <row r="341" spans="1:20" ht="12.75" x14ac:dyDescent="0.2">
      <c r="A341" s="707"/>
      <c r="B341" s="2" t="str">
        <f>IF('[1]E-Milch'!B62="","-",'[1]E-Milch'!B62)</f>
        <v>Tierarzt</v>
      </c>
      <c r="C341" s="707"/>
      <c r="D341" s="714">
        <f>IF('[1]E-Milch'!$F62="","",'[1]E-Milch'!$F62)</f>
        <v>65</v>
      </c>
      <c r="E341" s="715"/>
      <c r="F341" s="715"/>
      <c r="H341" s="716">
        <f>IF(Milch!$F62="","",Milch!$F62)</f>
        <v>65</v>
      </c>
      <c r="I341" s="717" t="str">
        <f t="shared" si="68"/>
        <v>Richtig!</v>
      </c>
      <c r="J341" s="718">
        <f t="shared" si="69"/>
        <v>1</v>
      </c>
      <c r="K341" s="711" t="str">
        <f t="shared" si="60"/>
        <v>│</v>
      </c>
      <c r="L341" s="712">
        <f t="shared" ref="L341:L370" si="70">IF(OR(B341="-",N341="",AND(P341="",T341="")),"",1)</f>
        <v>1</v>
      </c>
      <c r="N341" s="719" t="str">
        <f t="shared" si="67"/>
        <v>x</v>
      </c>
      <c r="P341" s="714">
        <f t="shared" si="66"/>
        <v>65</v>
      </c>
      <c r="Q341" s="715"/>
      <c r="R341" s="715" t="str">
        <f t="shared" si="66"/>
        <v/>
      </c>
      <c r="T341" s="716">
        <f t="shared" si="66"/>
        <v>65</v>
      </c>
    </row>
    <row r="342" spans="1:20" ht="12.75" x14ac:dyDescent="0.2">
      <c r="A342" s="707"/>
      <c r="B342" s="2" t="str">
        <f>IF('[1]E-Milch'!B63="","-",'[1]E-Milch'!B63)</f>
        <v>Deckgeld</v>
      </c>
      <c r="C342" s="707"/>
      <c r="D342" s="714">
        <f>IF('[1]E-Milch'!$F63="","",'[1]E-Milch'!$F63)</f>
        <v>35</v>
      </c>
      <c r="E342" s="715"/>
      <c r="F342" s="715"/>
      <c r="H342" s="716">
        <f>IF(Milch!$F63="","",Milch!$F63)</f>
        <v>35</v>
      </c>
      <c r="I342" s="717" t="str">
        <f t="shared" si="68"/>
        <v>Richtig!</v>
      </c>
      <c r="J342" s="718">
        <f t="shared" si="69"/>
        <v>1</v>
      </c>
      <c r="K342" s="711" t="str">
        <f t="shared" si="60"/>
        <v>│</v>
      </c>
      <c r="L342" s="712">
        <f t="shared" si="70"/>
        <v>1</v>
      </c>
      <c r="N342" s="719" t="str">
        <f t="shared" si="67"/>
        <v>x</v>
      </c>
      <c r="P342" s="714">
        <f t="shared" si="66"/>
        <v>35</v>
      </c>
      <c r="Q342" s="715"/>
      <c r="R342" s="715" t="str">
        <f t="shared" si="66"/>
        <v/>
      </c>
      <c r="T342" s="716">
        <f t="shared" si="66"/>
        <v>35</v>
      </c>
    </row>
    <row r="343" spans="1:20" ht="12.75" hidden="1" customHeight="1" x14ac:dyDescent="0.2">
      <c r="A343" s="707"/>
      <c r="B343" s="2" t="str">
        <f>IF('[1]E-Milch'!B64="","-",'[1]E-Milch'!B64)</f>
        <v>Kontrollgebühren</v>
      </c>
      <c r="C343" s="707"/>
      <c r="D343" s="714">
        <f>IF('[1]E-Milch'!$F64="","",'[1]E-Milch'!$F64)</f>
        <v>9</v>
      </c>
      <c r="E343" s="715"/>
      <c r="F343" s="715"/>
      <c r="H343" s="716">
        <f>IF(Milch!$F64="","",Milch!$F64)</f>
        <v>9</v>
      </c>
      <c r="I343" s="717" t="str">
        <f t="shared" si="68"/>
        <v>Richtig!</v>
      </c>
      <c r="J343" s="718" t="str">
        <f t="shared" si="69"/>
        <v>-</v>
      </c>
      <c r="K343" s="711" t="str">
        <f t="shared" si="60"/>
        <v/>
      </c>
      <c r="L343" s="712" t="str">
        <f t="shared" si="70"/>
        <v/>
      </c>
      <c r="N343" s="719"/>
      <c r="P343" s="714">
        <f t="shared" si="66"/>
        <v>9</v>
      </c>
      <c r="Q343" s="715"/>
      <c r="R343" s="715" t="str">
        <f t="shared" si="66"/>
        <v/>
      </c>
      <c r="T343" s="716">
        <f t="shared" si="66"/>
        <v>9</v>
      </c>
    </row>
    <row r="344" spans="1:20" ht="12.75" hidden="1" customHeight="1" x14ac:dyDescent="0.2">
      <c r="A344" s="707"/>
      <c r="B344" s="2" t="str">
        <f>IF('[1]E-Milch'!B65="","-",'[1]E-Milch'!B65)</f>
        <v>Versicherung</v>
      </c>
      <c r="C344" s="707"/>
      <c r="D344" s="714">
        <f>IF('[1]E-Milch'!$F65="","",'[1]E-Milch'!$F65)</f>
        <v>23</v>
      </c>
      <c r="E344" s="715"/>
      <c r="F344" s="715"/>
      <c r="H344" s="716">
        <f>IF(Milch!$F65="","",Milch!$F65)</f>
        <v>23</v>
      </c>
      <c r="I344" s="717" t="str">
        <f t="shared" si="68"/>
        <v>Richtig!</v>
      </c>
      <c r="J344" s="718" t="str">
        <f t="shared" si="69"/>
        <v>-</v>
      </c>
      <c r="K344" s="711" t="str">
        <f t="shared" si="60"/>
        <v/>
      </c>
      <c r="L344" s="712" t="str">
        <f t="shared" si="70"/>
        <v/>
      </c>
      <c r="N344" s="719"/>
      <c r="P344" s="714">
        <f t="shared" si="66"/>
        <v>23</v>
      </c>
      <c r="Q344" s="715"/>
      <c r="R344" s="715" t="str">
        <f t="shared" si="66"/>
        <v/>
      </c>
      <c r="T344" s="716">
        <f t="shared" si="66"/>
        <v>23</v>
      </c>
    </row>
    <row r="345" spans="1:20" ht="12.75" x14ac:dyDescent="0.2">
      <c r="A345" s="707"/>
      <c r="B345" s="2" t="str">
        <f>IF('[1]E-Milch'!B66="","-",'[1]E-Milch'!B66)</f>
        <v>Alpung</v>
      </c>
      <c r="C345" s="707"/>
      <c r="D345" s="714">
        <f>IF('[1]E-Milch'!$F66="","",'[1]E-Milch'!$F66)</f>
        <v>80</v>
      </c>
      <c r="E345" s="715"/>
      <c r="F345" s="715"/>
      <c r="H345" s="716">
        <f>IF(Milch!$F66="","",Milch!$F66)</f>
        <v>80</v>
      </c>
      <c r="I345" s="717" t="str">
        <f t="shared" si="68"/>
        <v>Richtig!</v>
      </c>
      <c r="J345" s="718">
        <f t="shared" si="69"/>
        <v>1</v>
      </c>
      <c r="K345" s="711" t="str">
        <f t="shared" si="60"/>
        <v>│</v>
      </c>
      <c r="L345" s="712">
        <f t="shared" si="70"/>
        <v>1</v>
      </c>
      <c r="N345" s="719" t="str">
        <f>IF($L$1="","",$L$1)</f>
        <v>x</v>
      </c>
      <c r="P345" s="714">
        <f t="shared" si="66"/>
        <v>80</v>
      </c>
      <c r="Q345" s="715"/>
      <c r="R345" s="715" t="str">
        <f t="shared" si="66"/>
        <v/>
      </c>
      <c r="T345" s="716">
        <f t="shared" si="66"/>
        <v>80</v>
      </c>
    </row>
    <row r="346" spans="1:20" ht="12.75" x14ac:dyDescent="0.2">
      <c r="A346" s="707"/>
      <c r="B346" s="2" t="str">
        <f>IF('[1]E-Milch'!B67="","-",'[1]E-Milch'!B67)</f>
        <v>Energie</v>
      </c>
      <c r="C346" s="707"/>
      <c r="D346" s="714">
        <f>IF('[1]E-Milch'!$F67="","",'[1]E-Milch'!$F67)</f>
        <v>32</v>
      </c>
      <c r="E346" s="715"/>
      <c r="F346" s="715"/>
      <c r="H346" s="716">
        <f>IF(Milch!$F67="","",Milch!$F67)</f>
        <v>32</v>
      </c>
      <c r="I346" s="717" t="str">
        <f t="shared" si="68"/>
        <v>Richtig!</v>
      </c>
      <c r="J346" s="718">
        <f t="shared" si="69"/>
        <v>1</v>
      </c>
      <c r="K346" s="711" t="str">
        <f t="shared" si="60"/>
        <v>│</v>
      </c>
      <c r="L346" s="712">
        <f t="shared" si="70"/>
        <v>1</v>
      </c>
      <c r="N346" s="719" t="str">
        <f>IF($L$1="","",$L$1)</f>
        <v>x</v>
      </c>
      <c r="P346" s="714">
        <f t="shared" si="66"/>
        <v>32</v>
      </c>
      <c r="Q346" s="715"/>
      <c r="R346" s="715" t="str">
        <f t="shared" si="66"/>
        <v/>
      </c>
      <c r="T346" s="716">
        <f t="shared" si="66"/>
        <v>32</v>
      </c>
    </row>
    <row r="347" spans="1:20" ht="12.75" x14ac:dyDescent="0.2">
      <c r="A347" s="707"/>
      <c r="B347" s="2" t="str">
        <f>IF('[1]E-Milch'!B68="","-",'[1]E-Milch'!B68)</f>
        <v>Einstreu</v>
      </c>
      <c r="C347" s="707"/>
      <c r="D347" s="714">
        <f>IF('[1]E-Milch'!$F68="","",'[1]E-Milch'!$F68)</f>
        <v>50</v>
      </c>
      <c r="E347" s="715"/>
      <c r="F347" s="715"/>
      <c r="H347" s="716">
        <f>IF(Milch!$F68="","",Milch!$F68)</f>
        <v>50</v>
      </c>
      <c r="I347" s="717" t="str">
        <f t="shared" si="68"/>
        <v>Richtig!</v>
      </c>
      <c r="J347" s="718">
        <f t="shared" si="69"/>
        <v>1</v>
      </c>
      <c r="K347" s="711" t="str">
        <f t="shared" si="60"/>
        <v>│</v>
      </c>
      <c r="L347" s="712">
        <f t="shared" si="70"/>
        <v>1</v>
      </c>
      <c r="N347" s="719" t="str">
        <f>IF($L$1="","",$L$1)</f>
        <v>x</v>
      </c>
      <c r="P347" s="714">
        <f t="shared" si="66"/>
        <v>50</v>
      </c>
      <c r="Q347" s="715"/>
      <c r="R347" s="715" t="str">
        <f t="shared" si="66"/>
        <v/>
      </c>
      <c r="T347" s="716">
        <f t="shared" si="66"/>
        <v>50</v>
      </c>
    </row>
    <row r="348" spans="1:20" ht="12.75" x14ac:dyDescent="0.2">
      <c r="A348" s="707"/>
      <c r="B348" s="2" t="str">
        <f>IF('[1]E-Milch'!B69="","-",'[1]E-Milch'!B69)</f>
        <v>Vermarktungs-/Verarbeitungskosten</v>
      </c>
      <c r="C348" s="707"/>
      <c r="D348" s="714">
        <f>IF('[1]E-Milch'!$F69="","",'[1]E-Milch'!$F69)</f>
        <v>115.8</v>
      </c>
      <c r="E348" s="715"/>
      <c r="F348" s="715"/>
      <c r="H348" s="716">
        <f>IF(Milch!$F69="","",Milch!$F69)</f>
        <v>115.8</v>
      </c>
      <c r="I348" s="717" t="str">
        <f t="shared" si="68"/>
        <v>Richtig!</v>
      </c>
      <c r="J348" s="718">
        <f t="shared" si="69"/>
        <v>1</v>
      </c>
      <c r="K348" s="711" t="str">
        <f t="shared" si="60"/>
        <v>│</v>
      </c>
      <c r="L348" s="712">
        <f t="shared" si="70"/>
        <v>1</v>
      </c>
      <c r="N348" s="719" t="str">
        <f>IF($L$1="","",$L$1)</f>
        <v>x</v>
      </c>
      <c r="P348" s="714">
        <f t="shared" si="66"/>
        <v>115.8</v>
      </c>
      <c r="Q348" s="715"/>
      <c r="R348" s="715" t="str">
        <f t="shared" si="66"/>
        <v/>
      </c>
      <c r="T348" s="716">
        <f t="shared" si="66"/>
        <v>115.8</v>
      </c>
    </row>
    <row r="349" spans="1:20" ht="12.75" x14ac:dyDescent="0.2">
      <c r="A349" s="707"/>
      <c r="B349" s="2" t="str">
        <f>IF('[1]E-Milch'!B70="","-",'[1]E-Milch'!B70)</f>
        <v>Verpackung/Etik. - in €/kg Produktion</v>
      </c>
      <c r="C349" s="707"/>
      <c r="D349" s="714">
        <f>IF('[1]E-Milch'!$F70="","",'[1]E-Milch'!$F70)</f>
        <v>450</v>
      </c>
      <c r="E349" s="715"/>
      <c r="F349" s="715"/>
      <c r="H349" s="716">
        <f>IF(Milch!$F70="","",Milch!$F70)</f>
        <v>450</v>
      </c>
      <c r="I349" s="717" t="str">
        <f t="shared" si="68"/>
        <v>Richtig!</v>
      </c>
      <c r="J349" s="718">
        <f t="shared" si="69"/>
        <v>1</v>
      </c>
      <c r="K349" s="711" t="str">
        <f t="shared" si="60"/>
        <v>│</v>
      </c>
      <c r="L349" s="712">
        <f t="shared" si="70"/>
        <v>1</v>
      </c>
      <c r="N349" s="719" t="str">
        <f>IF($L$1="","",$L$1)</f>
        <v>x</v>
      </c>
      <c r="P349" s="714">
        <f t="shared" si="66"/>
        <v>450</v>
      </c>
      <c r="Q349" s="715"/>
      <c r="R349" s="715" t="str">
        <f t="shared" si="66"/>
        <v/>
      </c>
      <c r="T349" s="716">
        <f t="shared" si="66"/>
        <v>450</v>
      </c>
    </row>
    <row r="350" spans="1:20" ht="12.75" hidden="1" customHeight="1" x14ac:dyDescent="0.2">
      <c r="A350" s="707"/>
      <c r="B350" s="2" t="str">
        <f>IF('[1]E-Milch'!B71="","-",'[1]E-Milch'!B71)</f>
        <v>Reinigung und Energie</v>
      </c>
      <c r="C350" s="707"/>
      <c r="D350" s="714">
        <f>IF('[1]E-Milch'!$F71="","",'[1]E-Milch'!$F71)</f>
        <v>71</v>
      </c>
      <c r="E350" s="715"/>
      <c r="F350" s="715"/>
      <c r="H350" s="716">
        <f>IF(Milch!$F71="","",Milch!$F71)</f>
        <v>71</v>
      </c>
      <c r="I350" s="717" t="str">
        <f t="shared" si="68"/>
        <v>Richtig!</v>
      </c>
      <c r="J350" s="718" t="str">
        <f t="shared" si="69"/>
        <v>-</v>
      </c>
      <c r="K350" s="711" t="str">
        <f t="shared" si="60"/>
        <v/>
      </c>
      <c r="L350" s="712" t="str">
        <f t="shared" si="70"/>
        <v/>
      </c>
      <c r="N350" s="719"/>
      <c r="P350" s="714">
        <f t="shared" si="66"/>
        <v>71</v>
      </c>
      <c r="Q350" s="715"/>
      <c r="R350" s="715" t="str">
        <f t="shared" si="66"/>
        <v/>
      </c>
      <c r="T350" s="716">
        <f t="shared" si="66"/>
        <v>71</v>
      </c>
    </row>
    <row r="351" spans="1:20" ht="12.75" x14ac:dyDescent="0.2">
      <c r="A351" s="707"/>
      <c r="B351" s="2" t="str">
        <f>IF('[1]E-Milch'!B72="","-",'[1]E-Milch'!B72)</f>
        <v>Zuteilbare FK Butterfass, Zentrifuge</v>
      </c>
      <c r="C351" s="707"/>
      <c r="D351" s="714">
        <f>IF('[1]E-Milch'!$F72="","",'[1]E-Milch'!$F72)</f>
        <v>168</v>
      </c>
      <c r="E351" s="715"/>
      <c r="F351" s="715"/>
      <c r="H351" s="716">
        <f>IF(Milch!$F72="","",Milch!$F72)</f>
        <v>168</v>
      </c>
      <c r="I351" s="717" t="str">
        <f t="shared" si="68"/>
        <v>Richtig!</v>
      </c>
      <c r="J351" s="718">
        <f t="shared" si="69"/>
        <v>1</v>
      </c>
      <c r="K351" s="711" t="str">
        <f t="shared" si="60"/>
        <v>│</v>
      </c>
      <c r="L351" s="712">
        <f t="shared" si="70"/>
        <v>1</v>
      </c>
      <c r="N351" s="719" t="str">
        <f t="shared" ref="N351:N356" si="71">IF($L$1="","",$L$1)</f>
        <v>x</v>
      </c>
      <c r="P351" s="714">
        <f t="shared" si="66"/>
        <v>168</v>
      </c>
      <c r="Q351" s="715"/>
      <c r="R351" s="715" t="str">
        <f t="shared" si="66"/>
        <v/>
      </c>
      <c r="T351" s="716">
        <f t="shared" si="66"/>
        <v>168</v>
      </c>
    </row>
    <row r="352" spans="1:20" ht="12.75" x14ac:dyDescent="0.2">
      <c r="A352" s="707"/>
      <c r="B352" s="2" t="str">
        <f>IF('[1]E-Milch'!B73="","-",'[1]E-Milch'!B73)</f>
        <v>SUMME VK</v>
      </c>
      <c r="C352" s="707"/>
      <c r="D352" s="720">
        <f>IF('[1]E-Milch'!$F73="","",'[1]E-Milch'!$F73)</f>
        <v>1616.7666666666664</v>
      </c>
      <c r="E352" s="715"/>
      <c r="F352" s="721">
        <f>SUM(H338:H351)</f>
        <v>1616.7666666666664</v>
      </c>
      <c r="H352" s="722">
        <f>IF(Milch!$F73="","",Milch!$F73)</f>
        <v>1616.7666666666664</v>
      </c>
      <c r="I352" s="717" t="str">
        <f>IF(B352="-","",IF(T352=P352,"Richtig!",IF(AND(P352&lt;&gt;T352,R352=T352),"Formel: OK",IF(T352="","Fehlt","Falsch"))))</f>
        <v>Richtig!</v>
      </c>
      <c r="J352" s="718">
        <f t="shared" si="69"/>
        <v>1</v>
      </c>
      <c r="K352" s="711" t="str">
        <f t="shared" si="60"/>
        <v>│</v>
      </c>
      <c r="L352" s="712">
        <f t="shared" si="70"/>
        <v>1</v>
      </c>
      <c r="N352" s="719" t="str">
        <f t="shared" si="71"/>
        <v>x</v>
      </c>
      <c r="P352" s="720">
        <f t="shared" si="66"/>
        <v>1616.76667</v>
      </c>
      <c r="Q352" s="715"/>
      <c r="R352" s="721">
        <f t="shared" si="66"/>
        <v>1616.76667</v>
      </c>
      <c r="T352" s="722">
        <f t="shared" si="66"/>
        <v>1616.76667</v>
      </c>
    </row>
    <row r="353" spans="1:20" ht="12.75" x14ac:dyDescent="0.2">
      <c r="A353" s="707"/>
      <c r="B353" s="707"/>
      <c r="C353" s="707"/>
      <c r="D353" s="708"/>
      <c r="H353" s="709"/>
      <c r="I353" s="710"/>
      <c r="J353" s="710"/>
      <c r="K353" s="711" t="str">
        <f t="shared" si="60"/>
        <v/>
      </c>
      <c r="L353" s="712" t="str">
        <f t="shared" si="70"/>
        <v/>
      </c>
      <c r="N353" s="725" t="str">
        <f t="shared" si="71"/>
        <v>x</v>
      </c>
      <c r="P353" s="708" t="str">
        <f t="shared" si="66"/>
        <v/>
      </c>
      <c r="R353" s="1" t="str">
        <f t="shared" si="66"/>
        <v/>
      </c>
      <c r="T353" s="709" t="str">
        <f t="shared" si="66"/>
        <v/>
      </c>
    </row>
    <row r="354" spans="1:20" ht="12.75" x14ac:dyDescent="0.2">
      <c r="A354" s="706" t="s">
        <v>375</v>
      </c>
      <c r="B354" s="706" t="s">
        <v>395</v>
      </c>
      <c r="C354" s="707"/>
      <c r="D354" s="708"/>
      <c r="H354" s="709"/>
      <c r="I354" s="710"/>
      <c r="J354" s="710"/>
      <c r="K354" s="711" t="str">
        <f t="shared" si="60"/>
        <v/>
      </c>
      <c r="L354" s="712" t="str">
        <f t="shared" si="70"/>
        <v/>
      </c>
      <c r="N354" s="695" t="str">
        <f t="shared" si="71"/>
        <v>x</v>
      </c>
      <c r="P354" s="708" t="str">
        <f t="shared" si="66"/>
        <v/>
      </c>
      <c r="R354" s="1" t="str">
        <f t="shared" si="66"/>
        <v/>
      </c>
      <c r="T354" s="709" t="str">
        <f t="shared" si="66"/>
        <v/>
      </c>
    </row>
    <row r="355" spans="1:20" ht="12.75" x14ac:dyDescent="0.2">
      <c r="A355" s="707"/>
      <c r="B355" s="2" t="str">
        <f>IF('[1]E-Milch'!B80="","-",'[1]E-Milch'!B80)</f>
        <v>Heu</v>
      </c>
      <c r="C355" s="707"/>
      <c r="D355" s="714">
        <f>IF('[1]E-Milch'!F80="","",'[1]E-Milch'!F80)</f>
        <v>195.20260548801795</v>
      </c>
      <c r="E355" s="715"/>
      <c r="F355" s="715"/>
      <c r="H355" s="716">
        <f>IF(Milch!F80="","",Milch!F80)</f>
        <v>195.20260548801795</v>
      </c>
      <c r="I355" s="717" t="str">
        <f>IF(AND(P355="",T355=""),"",IF(T355=P355,"Richtig!",IF(T355="","Fehlt","Falsch")))</f>
        <v>Richtig!</v>
      </c>
      <c r="J355" s="718">
        <f>IF(OR(B355="-",N355="",AND(P355="",T355="")),"-",IF(I355="Richtig!",1,IF(I355="Formel: OK",0.5,IF(OR(I355="Falsch",I355="Fehlt"),0,""))))</f>
        <v>1</v>
      </c>
      <c r="K355" s="711" t="str">
        <f t="shared" si="60"/>
        <v>│</v>
      </c>
      <c r="L355" s="712">
        <f t="shared" si="70"/>
        <v>1</v>
      </c>
      <c r="N355" s="719" t="str">
        <f t="shared" si="71"/>
        <v>x</v>
      </c>
      <c r="P355" s="714">
        <f t="shared" si="66"/>
        <v>195.20260999999999</v>
      </c>
      <c r="Q355" s="715"/>
      <c r="R355" s="715" t="str">
        <f t="shared" si="66"/>
        <v/>
      </c>
      <c r="T355" s="716">
        <f t="shared" si="66"/>
        <v>195.20260999999999</v>
      </c>
    </row>
    <row r="356" spans="1:20" ht="12.75" x14ac:dyDescent="0.2">
      <c r="A356" s="707"/>
      <c r="B356" s="2" t="str">
        <f>IF('[1]E-Milch'!B81="","-",'[1]E-Milch'!B81)</f>
        <v>Grassilage</v>
      </c>
      <c r="C356" s="707"/>
      <c r="D356" s="714">
        <f>IF('[1]E-Milch'!F81="","",'[1]E-Milch'!F81)</f>
        <v>74.718700665270021</v>
      </c>
      <c r="E356" s="715"/>
      <c r="F356" s="715"/>
      <c r="H356" s="716">
        <f>IF(Milch!F81="","",Milch!F81)</f>
        <v>74.718700665270021</v>
      </c>
      <c r="I356" s="717" t="str">
        <f>IF(AND(P356="",T356=""),"",IF(T356=P356,"Richtig!",IF(T356="","Fehlt","Falsch")))</f>
        <v>Richtig!</v>
      </c>
      <c r="J356" s="718">
        <f>IF(OR(B356="-",N356="",AND(P356="",T356="")),"-",IF(I356="Richtig!",1,IF(I356="Formel: OK",0.5,IF(OR(I356="Falsch",I356="Fehlt"),0,""))))</f>
        <v>1</v>
      </c>
      <c r="K356" s="711" t="str">
        <f t="shared" si="60"/>
        <v>│</v>
      </c>
      <c r="L356" s="712">
        <f t="shared" si="70"/>
        <v>1</v>
      </c>
      <c r="N356" s="719" t="str">
        <f t="shared" si="71"/>
        <v>x</v>
      </c>
      <c r="P356" s="714">
        <f t="shared" si="66"/>
        <v>74.718699999999998</v>
      </c>
      <c r="Q356" s="715"/>
      <c r="R356" s="715" t="str">
        <f t="shared" si="66"/>
        <v/>
      </c>
      <c r="T356" s="716">
        <f t="shared" si="66"/>
        <v>74.718699999999998</v>
      </c>
    </row>
    <row r="357" spans="1:20" ht="12.75" hidden="1" customHeight="1" x14ac:dyDescent="0.2">
      <c r="A357" s="707"/>
      <c r="B357" s="2" t="str">
        <f>IF('[1]E-Milch'!B82="","-",'[1]E-Milch'!B82)</f>
        <v>Maissilage</v>
      </c>
      <c r="C357" s="707"/>
      <c r="D357" s="714">
        <f>IF('[1]E-Milch'!F82="","",'[1]E-Milch'!F82)</f>
        <v>59.774960532216006</v>
      </c>
      <c r="E357" s="715"/>
      <c r="F357" s="715"/>
      <c r="H357" s="716">
        <f>IF(Milch!F82="","",Milch!F82)</f>
        <v>59.774960532216006</v>
      </c>
      <c r="I357" s="717" t="str">
        <f>IF(AND(P357="",T357=""),"",IF(T357=P357,"Richtig!",IF(T357="","Fehlt","Falsch")))</f>
        <v>Richtig!</v>
      </c>
      <c r="J357" s="718" t="str">
        <f>IF(OR(B357="-",N357="",AND(P357="",T357="")),"-",IF(I357="Richtig!",1,IF(I357="Formel: OK",0.5,IF(OR(I357="Falsch",I357="Fehlt"),0,""))))</f>
        <v>-</v>
      </c>
      <c r="K357" s="711" t="str">
        <f t="shared" si="60"/>
        <v/>
      </c>
      <c r="L357" s="712" t="str">
        <f t="shared" si="70"/>
        <v/>
      </c>
      <c r="N357" s="719"/>
      <c r="P357" s="714">
        <f t="shared" si="66"/>
        <v>59.77496</v>
      </c>
      <c r="Q357" s="715"/>
      <c r="R357" s="715" t="str">
        <f t="shared" si="66"/>
        <v/>
      </c>
      <c r="T357" s="716">
        <f t="shared" si="66"/>
        <v>59.77496</v>
      </c>
    </row>
    <row r="358" spans="1:20" ht="12.75" x14ac:dyDescent="0.2">
      <c r="A358" s="707"/>
      <c r="B358" s="2" t="str">
        <f>IF('[1]E-Milch'!G80="","-",'[1]E-Milch'!G80)</f>
        <v>∑ Grundfutterkosten</v>
      </c>
      <c r="C358" s="707"/>
      <c r="D358" s="720">
        <f>IF('[1]E-Milch'!G81="","",'[1]E-Milch'!G81)</f>
        <v>329.69626668550399</v>
      </c>
      <c r="E358" s="715"/>
      <c r="F358" s="721">
        <f>SUM(H355:H357)</f>
        <v>329.69626668550399</v>
      </c>
      <c r="H358" s="722">
        <f>IF(Milch!G81="","",Milch!G81)</f>
        <v>329.69626668550399</v>
      </c>
      <c r="I358" s="717" t="str">
        <f>IF(B358="-","",IF(T358=P358,"Richtig!",IF(AND(P358&lt;&gt;T358,R358=T358),"Formel: OK",IF(T358="","Fehlt","Falsch"))))</f>
        <v>Richtig!</v>
      </c>
      <c r="J358" s="718">
        <f>IF(OR(B358="-",N358="",AND(P358="",T358="")),"-",IF(I358="Richtig!",1,IF(I358="Formel: OK",0.5,IF(OR(I358="Falsch",I358="Fehlt"),0,""))))</f>
        <v>1</v>
      </c>
      <c r="K358" s="711" t="str">
        <f t="shared" si="60"/>
        <v>│</v>
      </c>
      <c r="L358" s="712">
        <f t="shared" si="70"/>
        <v>1</v>
      </c>
      <c r="N358" s="719" t="str">
        <f>IF($L$1="","",$L$1)</f>
        <v>x</v>
      </c>
      <c r="P358" s="720">
        <f t="shared" si="66"/>
        <v>329.69627000000003</v>
      </c>
      <c r="Q358" s="715"/>
      <c r="R358" s="721">
        <f t="shared" si="66"/>
        <v>329.69627000000003</v>
      </c>
      <c r="T358" s="722">
        <f t="shared" si="66"/>
        <v>329.69627000000003</v>
      </c>
    </row>
    <row r="359" spans="1:20" ht="12.75" x14ac:dyDescent="0.2">
      <c r="A359" s="707"/>
      <c r="B359" s="707"/>
      <c r="C359" s="707"/>
      <c r="D359" s="708"/>
      <c r="H359" s="709"/>
      <c r="I359" s="710"/>
      <c r="J359" s="710"/>
      <c r="K359" s="711" t="str">
        <f t="shared" si="60"/>
        <v/>
      </c>
      <c r="L359" s="712" t="str">
        <f t="shared" si="70"/>
        <v/>
      </c>
      <c r="N359" s="725" t="str">
        <f>IF($L$1="","",$L$1)</f>
        <v>x</v>
      </c>
      <c r="P359" s="708" t="str">
        <f t="shared" si="66"/>
        <v/>
      </c>
      <c r="R359" s="1" t="str">
        <f t="shared" si="66"/>
        <v/>
      </c>
      <c r="T359" s="709" t="str">
        <f t="shared" si="66"/>
        <v/>
      </c>
    </row>
    <row r="360" spans="1:20" ht="12.75" x14ac:dyDescent="0.2">
      <c r="A360" s="706" t="s">
        <v>379</v>
      </c>
      <c r="B360" s="706" t="s">
        <v>396</v>
      </c>
      <c r="C360" s="707"/>
      <c r="D360" s="708"/>
      <c r="H360" s="709"/>
      <c r="I360" s="710"/>
      <c r="J360" s="710"/>
      <c r="K360" s="711" t="str">
        <f t="shared" si="60"/>
        <v/>
      </c>
      <c r="L360" s="712" t="str">
        <f t="shared" si="70"/>
        <v/>
      </c>
      <c r="N360" s="695" t="str">
        <f>IF($L$1="","",$L$1)</f>
        <v>x</v>
      </c>
      <c r="P360" s="708" t="str">
        <f t="shared" si="66"/>
        <v/>
      </c>
      <c r="R360" s="1" t="str">
        <f t="shared" si="66"/>
        <v/>
      </c>
      <c r="T360" s="709" t="str">
        <f t="shared" si="66"/>
        <v/>
      </c>
    </row>
    <row r="361" spans="1:20" ht="12.75" x14ac:dyDescent="0.2">
      <c r="A361" s="706"/>
      <c r="B361" s="2" t="str">
        <f>IF('[1]E-Milch'!B74="","-",'[1]E-Milch'!B74)</f>
        <v>DBK  Kalkulation (vorläufiger DB)</v>
      </c>
      <c r="C361" s="707"/>
      <c r="D361" s="720">
        <f>IF('[1]E-Milch'!G74="","",'[1]E-Milch'!G74)</f>
        <v>1901.4866666666671</v>
      </c>
      <c r="E361" s="715"/>
      <c r="F361" s="721">
        <f>F335-F352</f>
        <v>1901.4866666666671</v>
      </c>
      <c r="H361" s="722">
        <f>IF(Milch!G74="","",Milch!G74)</f>
        <v>1901.4866666666671</v>
      </c>
      <c r="I361" s="717" t="str">
        <f>IF(B361="-","",IF(T361=P361,"Richtig!",IF(AND(P361&lt;&gt;T361,R361=T361),"Formel: OK",IF(T361="","Fehlt","Falsch"))))</f>
        <v>Richtig!</v>
      </c>
      <c r="J361" s="718">
        <f>IF(OR(B361="-",N361="",AND(P361="",T361="")),"-",IF(I361="Richtig!",1,IF(I361="Formel: OK",0.5,IF(OR(I361="Falsch",I361="Fehlt"),0,""))))</f>
        <v>1</v>
      </c>
      <c r="K361" s="711" t="str">
        <f t="shared" si="60"/>
        <v>│</v>
      </c>
      <c r="L361" s="712">
        <f t="shared" si="70"/>
        <v>1</v>
      </c>
      <c r="N361" s="719" t="str">
        <f>IF($L$1="","",$L$1)</f>
        <v>x</v>
      </c>
      <c r="P361" s="720">
        <f t="shared" si="66"/>
        <v>1901.48667</v>
      </c>
      <c r="Q361" s="715"/>
      <c r="R361" s="721">
        <f t="shared" si="66"/>
        <v>1901.48667</v>
      </c>
      <c r="T361" s="722">
        <f t="shared" si="66"/>
        <v>1901.48667</v>
      </c>
    </row>
    <row r="362" spans="1:20" ht="12.75" x14ac:dyDescent="0.2">
      <c r="A362" s="707"/>
      <c r="B362" s="2" t="str">
        <f>IF('[1]E-Milch'!B83="","-",'[1]E-Milch'!B83)</f>
        <v>DB mit Berücksichtigung der Futterkosten</v>
      </c>
      <c r="C362" s="707"/>
      <c r="D362" s="720">
        <f>IF('[1]E-Milch'!G83="","",'[1]E-Milch'!G83)</f>
        <v>1571.7903999811631</v>
      </c>
      <c r="E362" s="715"/>
      <c r="F362" s="721">
        <f>F361-F358</f>
        <v>1571.7903999811631</v>
      </c>
      <c r="H362" s="722">
        <f>IF(Milch!G83="","",Milch!G83)</f>
        <v>1571.7903999811631</v>
      </c>
      <c r="I362" s="717" t="str">
        <f>IF(B362="-","",IF(T362=P362,"Richtig!",IF(AND(P362&lt;&gt;T362,R362=T362),"Formel: OK",IF(T362="","Fehlt","Falsch"))))</f>
        <v>Richtig!</v>
      </c>
      <c r="J362" s="718">
        <f>IF(OR(B362="-",N362="",AND(P362="",T362="")),"-",IF(I362="Richtig!",1,IF(I362="Formel: OK",0.5,IF(OR(I362="Falsch",I362="Fehlt"),0,""))))</f>
        <v>1</v>
      </c>
      <c r="K362" s="711" t="str">
        <f t="shared" si="60"/>
        <v>│</v>
      </c>
      <c r="L362" s="712">
        <f t="shared" si="70"/>
        <v>1</v>
      </c>
      <c r="N362" s="719" t="str">
        <f>IF($L$1="","",$L$1)</f>
        <v>x</v>
      </c>
      <c r="P362" s="720">
        <f t="shared" si="66"/>
        <v>1571.7904000000001</v>
      </c>
      <c r="Q362" s="715"/>
      <c r="R362" s="721">
        <f t="shared" si="66"/>
        <v>1571.7904000000001</v>
      </c>
      <c r="T362" s="722">
        <f t="shared" si="66"/>
        <v>1571.7904000000001</v>
      </c>
    </row>
    <row r="363" spans="1:20" ht="12.75" hidden="1" customHeight="1" x14ac:dyDescent="0.2">
      <c r="A363" s="707"/>
      <c r="B363" s="2" t="str">
        <f>IF('[1]E-Milch'!B88="","-",'[1]E-Milch'!B88)</f>
        <v>SUMME FÖRDERUNGEN</v>
      </c>
      <c r="C363" s="707"/>
      <c r="D363" s="714">
        <f>IF('[1]E-Milch'!G88="","",'[1]E-Milch'!G88)</f>
        <v>0</v>
      </c>
      <c r="E363" s="715"/>
      <c r="F363" s="715"/>
      <c r="H363" s="716">
        <f>IF(Milch!G88="","",Milch!G88)</f>
        <v>0</v>
      </c>
      <c r="I363" s="717" t="str">
        <f>IF(AND(P363="",T363=""),"",IF(T363=P363,"Richtig!",IF(T363="","Fehlt","Falsch")))</f>
        <v>Richtig!</v>
      </c>
      <c r="J363" s="718" t="str">
        <f>IF(OR(B363="-",N363="",AND(P363="",T363="")),"-",IF(I363="Richtig!",1,IF(I363="Formel: OK",0.5,IF(OR(I363="Falsch",I363="Fehlt"),0,""))))</f>
        <v>-</v>
      </c>
      <c r="K363" s="711" t="str">
        <f t="shared" si="60"/>
        <v/>
      </c>
      <c r="L363" s="712" t="str">
        <f t="shared" si="70"/>
        <v/>
      </c>
      <c r="N363" s="719"/>
      <c r="P363" s="714">
        <f t="shared" si="66"/>
        <v>0</v>
      </c>
      <c r="Q363" s="715"/>
      <c r="R363" s="715" t="str">
        <f t="shared" si="66"/>
        <v/>
      </c>
      <c r="T363" s="716">
        <f t="shared" si="66"/>
        <v>0</v>
      </c>
    </row>
    <row r="364" spans="1:20" ht="12.75" x14ac:dyDescent="0.2">
      <c r="A364" s="707"/>
      <c r="B364" s="2" t="str">
        <f>IF('[1]E-Milch'!B89="","-",'[1]E-Milch'!B89)</f>
        <v>DB mit Berücksichtigung der Futterkosten und Förderungen</v>
      </c>
      <c r="C364" s="707"/>
      <c r="D364" s="720">
        <f>IF('[1]E-Milch'!G89="","",'[1]E-Milch'!G89)</f>
        <v>1571.7903999811631</v>
      </c>
      <c r="E364" s="715"/>
      <c r="F364" s="721">
        <f>IF(OR(F362="",H363=""),"-",F362+H363)</f>
        <v>1571.7903999811631</v>
      </c>
      <c r="H364" s="722">
        <f>IF(Milch!G89="","",Milch!G89)</f>
        <v>1571.7903999811631</v>
      </c>
      <c r="I364" s="717" t="str">
        <f>IF(B364="-","",IF(T364=P364,"Richtig!",IF(AND(P364&lt;&gt;T364,R364=T364),"Formel: OK",IF(T364="","Fehlt","Falsch"))))</f>
        <v>Richtig!</v>
      </c>
      <c r="J364" s="718">
        <f>IF(OR(B364="-",N364="",AND(P364="",T364="")),"-",IF(I364="Richtig!",1,IF(I364="Formel: OK",0.5,IF(OR(I364="Falsch",I364="Fehlt"),0,""))))</f>
        <v>1</v>
      </c>
      <c r="K364" s="711" t="str">
        <f t="shared" si="60"/>
        <v>│</v>
      </c>
      <c r="L364" s="712">
        <f t="shared" si="70"/>
        <v>1</v>
      </c>
      <c r="N364" s="719" t="str">
        <f>IF($L$1="","",$L$1)</f>
        <v>x</v>
      </c>
      <c r="P364" s="720">
        <f t="shared" si="66"/>
        <v>1571.7904000000001</v>
      </c>
      <c r="Q364" s="715"/>
      <c r="R364" s="721">
        <f t="shared" si="66"/>
        <v>1571.7904000000001</v>
      </c>
      <c r="T364" s="722">
        <f t="shared" si="66"/>
        <v>1571.7904000000001</v>
      </c>
    </row>
    <row r="365" spans="1:20" ht="12.75" x14ac:dyDescent="0.2">
      <c r="A365" s="707"/>
      <c r="B365" s="707"/>
      <c r="C365" s="707"/>
      <c r="D365" s="708"/>
      <c r="H365" s="709"/>
      <c r="I365" s="710"/>
      <c r="J365" s="710"/>
      <c r="K365" s="711" t="str">
        <f t="shared" si="60"/>
        <v/>
      </c>
      <c r="L365" s="712" t="str">
        <f t="shared" si="70"/>
        <v/>
      </c>
      <c r="N365" s="725" t="str">
        <f>IF($L$1="","",$L$1)</f>
        <v>x</v>
      </c>
      <c r="P365" s="708" t="str">
        <f t="shared" si="66"/>
        <v/>
      </c>
      <c r="R365" s="1" t="str">
        <f t="shared" si="66"/>
        <v/>
      </c>
      <c r="T365" s="709" t="str">
        <f t="shared" si="66"/>
        <v/>
      </c>
    </row>
    <row r="366" spans="1:20" ht="12.75" x14ac:dyDescent="0.2">
      <c r="A366" s="706" t="s">
        <v>380</v>
      </c>
      <c r="B366" s="706" t="s">
        <v>397</v>
      </c>
      <c r="C366" s="707"/>
      <c r="D366" s="708"/>
      <c r="H366" s="709"/>
      <c r="I366" s="710"/>
      <c r="J366" s="710"/>
      <c r="K366" s="711" t="str">
        <f t="shared" si="60"/>
        <v/>
      </c>
      <c r="L366" s="712" t="str">
        <f t="shared" si="70"/>
        <v/>
      </c>
      <c r="N366" s="695" t="str">
        <f>IF($L$1="","",$L$1)</f>
        <v>x</v>
      </c>
      <c r="P366" s="708" t="str">
        <f t="shared" si="66"/>
        <v/>
      </c>
      <c r="R366" s="1" t="str">
        <f t="shared" si="66"/>
        <v/>
      </c>
      <c r="T366" s="709" t="str">
        <f t="shared" si="66"/>
        <v/>
      </c>
    </row>
    <row r="367" spans="1:20" ht="12.75" hidden="1" customHeight="1" x14ac:dyDescent="0.2">
      <c r="A367" s="707"/>
      <c r="B367" s="2" t="str">
        <f>IF('[1]E-Milch'!B92="","-",'[1]E-Milch'!B92)</f>
        <v>Stallarbeitszeit</v>
      </c>
      <c r="C367" s="707"/>
      <c r="D367" s="714">
        <f>IF('[1]E-Milch'!G92="","",'[1]E-Milch'!G92)</f>
        <v>270</v>
      </c>
      <c r="E367" s="715"/>
      <c r="F367" s="715"/>
      <c r="H367" s="716">
        <f>IF(Milch!G92="","",Milch!G92)</f>
        <v>270</v>
      </c>
      <c r="I367" s="717" t="str">
        <f>IF(AND(P367="",T367=""),"",IF(T367=P367,"Richtig!",IF(T367="","Fehlt","Falsch")))</f>
        <v>Richtig!</v>
      </c>
      <c r="J367" s="718" t="str">
        <f>IF(OR(B367="-",N367="",AND(P367="",T367="")),"-",IF(I367="Richtig!",1,IF(I367="Formel: OK",0.5,IF(OR(I367="Falsch",I367="Fehlt"),0,""))))</f>
        <v>-</v>
      </c>
      <c r="K367" s="711" t="str">
        <f t="shared" si="60"/>
        <v/>
      </c>
      <c r="L367" s="712" t="str">
        <f t="shared" si="70"/>
        <v/>
      </c>
      <c r="N367" s="719"/>
      <c r="P367" s="714">
        <f t="shared" si="66"/>
        <v>270</v>
      </c>
      <c r="Q367" s="715"/>
      <c r="R367" s="715" t="str">
        <f t="shared" si="66"/>
        <v/>
      </c>
      <c r="T367" s="716">
        <f t="shared" si="66"/>
        <v>270</v>
      </c>
    </row>
    <row r="368" spans="1:20" ht="12.75" x14ac:dyDescent="0.2">
      <c r="A368" s="707"/>
      <c r="B368" s="2" t="str">
        <f>IF('[1]E-Milch'!B94="","-",'[1]E-Milch'!B94)</f>
        <v>Gesamtstunden an Arbeitszeit</v>
      </c>
      <c r="C368" s="707"/>
      <c r="D368" s="720">
        <f>IF('[1]E-Milch'!G94="","",'[1]E-Milch'!G94)</f>
        <v>340.55</v>
      </c>
      <c r="E368" s="715"/>
      <c r="F368" s="721">
        <f>SUM('[1]E-Milch'!G93,H367)</f>
        <v>340.55</v>
      </c>
      <c r="H368" s="722">
        <f>IF(Milch!G94="","",Milch!G94)</f>
        <v>340.55</v>
      </c>
      <c r="I368" s="717" t="str">
        <f>IF(B368="-","",IF(T368=P368,"Richtig!",IF(AND(P368&lt;&gt;T368,R368=T368),"Formel: OK",IF(T368="","Fehlt","Falsch"))))</f>
        <v>Richtig!</v>
      </c>
      <c r="J368" s="718">
        <f>IF(OR(B368="-",N368="",AND(P368="",T368="")),"-",IF(I368="Richtig!",1,IF(I368="Formel: OK",0.5,IF(OR(I368="Falsch",I368="Fehlt"),0,""))))</f>
        <v>1</v>
      </c>
      <c r="K368" s="711" t="str">
        <f t="shared" si="60"/>
        <v>│</v>
      </c>
      <c r="L368" s="712">
        <f t="shared" si="70"/>
        <v>1</v>
      </c>
      <c r="N368" s="719" t="str">
        <f>IF($L$1="","",$L$1)</f>
        <v>x</v>
      </c>
      <c r="P368" s="720">
        <f t="shared" si="66"/>
        <v>340.55</v>
      </c>
      <c r="Q368" s="715"/>
      <c r="R368" s="721">
        <f t="shared" si="66"/>
        <v>340.55</v>
      </c>
      <c r="T368" s="722">
        <f t="shared" si="66"/>
        <v>340.55</v>
      </c>
    </row>
    <row r="369" spans="1:20" ht="12.75" x14ac:dyDescent="0.2">
      <c r="A369" s="707"/>
      <c r="B369" s="2" t="str">
        <f>IF('[1]E-Milch'!B95="","-",'[1]E-Milch'!B95)</f>
        <v>DB je AK/Stunde</v>
      </c>
      <c r="C369" s="707"/>
      <c r="D369" s="720">
        <f>IF('[1]E-Milch'!G95="","",'[1]E-Milch'!G95)</f>
        <v>4.6154467772167465</v>
      </c>
      <c r="E369" s="715"/>
      <c r="F369" s="721">
        <f>IF(OR(F364="",F364="-",F368=""),"-",F364/F368)</f>
        <v>4.6154467772167465</v>
      </c>
      <c r="H369" s="722">
        <f>IF(Milch!G95="","",Milch!G95)</f>
        <v>4.6154467772167465</v>
      </c>
      <c r="I369" s="717" t="str">
        <f>IF(B369="-","",IF(T369=P369,"Richtig!",IF(AND(P369&lt;&gt;T369,R369=T369),"Formel: OK",IF(T369="","Fehlt","Falsch"))))</f>
        <v>Richtig!</v>
      </c>
      <c r="J369" s="718">
        <f>IF(OR(B369="-",N369="",AND(P369="",T369="")),"-",IF(I369="Richtig!",1,IF(I369="Formel: OK",0.5,IF(OR(I369="Falsch",I369="Fehlt"),0,""))))</f>
        <v>1</v>
      </c>
      <c r="K369" s="711" t="str">
        <f t="shared" si="60"/>
        <v>│</v>
      </c>
      <c r="L369" s="712">
        <f t="shared" si="70"/>
        <v>1</v>
      </c>
      <c r="N369" s="719" t="str">
        <f>IF($L$1="","",$L$1)</f>
        <v>x</v>
      </c>
      <c r="P369" s="720">
        <f t="shared" si="66"/>
        <v>4.6154500000000001</v>
      </c>
      <c r="Q369" s="715"/>
      <c r="R369" s="721">
        <f t="shared" si="66"/>
        <v>4.6154500000000001</v>
      </c>
      <c r="T369" s="722">
        <f t="shared" si="66"/>
        <v>4.6154500000000001</v>
      </c>
    </row>
    <row r="370" spans="1:20" ht="12.75" x14ac:dyDescent="0.2">
      <c r="A370" s="707"/>
      <c r="C370" s="707"/>
      <c r="D370" s="708"/>
      <c r="H370" s="709"/>
      <c r="I370" s="710"/>
      <c r="J370" s="710"/>
      <c r="K370" s="711" t="str">
        <f t="shared" si="60"/>
        <v/>
      </c>
      <c r="L370" s="712" t="str">
        <f t="shared" si="70"/>
        <v/>
      </c>
      <c r="N370" s="725" t="str">
        <f>IF($L$1="","",$L$1)</f>
        <v>x</v>
      </c>
      <c r="P370" s="708" t="str">
        <f t="shared" si="66"/>
        <v/>
      </c>
      <c r="R370" s="1" t="str">
        <f t="shared" si="66"/>
        <v/>
      </c>
      <c r="T370" s="709" t="str">
        <f t="shared" si="66"/>
        <v/>
      </c>
    </row>
    <row r="371" spans="1:20" ht="22.5" x14ac:dyDescent="0.2">
      <c r="A371" s="698" t="s">
        <v>398</v>
      </c>
      <c r="B371" s="699"/>
      <c r="C371" s="700"/>
      <c r="D371" s="701" t="s">
        <v>0</v>
      </c>
      <c r="E371" s="701"/>
      <c r="F371" s="702" t="s">
        <v>363</v>
      </c>
      <c r="G371" s="700"/>
      <c r="H371" s="702" t="s">
        <v>364</v>
      </c>
      <c r="I371" s="703" t="str">
        <f>"Fehler"</f>
        <v>Fehler</v>
      </c>
      <c r="J371" s="704" t="s">
        <v>365</v>
      </c>
      <c r="K371" s="704"/>
      <c r="L371" s="704"/>
      <c r="N371" s="705" t="str">
        <f t="shared" ref="N371:N415" si="72">IF($L$1="","",$L$1)</f>
        <v>x</v>
      </c>
      <c r="P371" s="701" t="str">
        <f t="shared" si="66"/>
        <v>Ergebnis</v>
      </c>
      <c r="Q371" s="701"/>
      <c r="R371" s="702" t="str">
        <f t="shared" si="66"/>
        <v>Formel-
prüfung</v>
      </c>
      <c r="S371" s="700"/>
      <c r="T371" s="702" t="str">
        <f t="shared" si="66"/>
        <v>Deine Be-rechnung</v>
      </c>
    </row>
    <row r="372" spans="1:20" ht="12.75" x14ac:dyDescent="0.2">
      <c r="A372" s="706" t="s">
        <v>399</v>
      </c>
      <c r="B372" s="706"/>
      <c r="C372" s="707"/>
      <c r="D372" s="708"/>
      <c r="H372" s="706"/>
      <c r="I372" s="710"/>
      <c r="J372" s="710"/>
      <c r="K372" s="711" t="str">
        <f t="shared" si="60"/>
        <v/>
      </c>
      <c r="L372" s="712" t="str">
        <f t="shared" ref="L372:L415" si="73">IF(OR(B372="-",N372="",AND(P372="",T372="")),"",1)</f>
        <v/>
      </c>
      <c r="N372" s="695" t="str">
        <f t="shared" si="72"/>
        <v>x</v>
      </c>
      <c r="P372" s="708" t="str">
        <f t="shared" si="66"/>
        <v/>
      </c>
      <c r="R372" s="1" t="str">
        <f t="shared" si="66"/>
        <v/>
      </c>
      <c r="T372" s="706" t="str">
        <f t="shared" si="66"/>
        <v/>
      </c>
    </row>
    <row r="373" spans="1:20" ht="12.75" hidden="1" customHeight="1" x14ac:dyDescent="0.2">
      <c r="B373" s="713" t="str">
        <f>IF(MuKu!B7=""," - ",MuKu!$B$4&amp;" - "&amp;MuKu!B7)</f>
        <v>Futterbedarf - Bedarf/Tag</v>
      </c>
      <c r="C373" s="707"/>
      <c r="D373" s="714">
        <f>IF('[1]E-MuKu'!$D7="","",'[1]E-MuKu'!$D7)</f>
        <v>63.702251736408726</v>
      </c>
      <c r="E373" s="715"/>
      <c r="H373" s="728">
        <f>IF(MuKu!$D7="","",MuKu!$D7)</f>
        <v>63.702251736408726</v>
      </c>
      <c r="I373" s="717" t="str">
        <f>IF(T373=P373,"Richtig!",IF(T373="","Fehlt","Falsch"))</f>
        <v>Richtig!</v>
      </c>
      <c r="J373" s="718" t="str">
        <f>IF(OR(B373="-",N373="",AND(P373="",T373="")),"-",IF(I373="Richtig!",1,IF(I373="Formel: OK",0.5,IF(OR(I373="Falsch",I373="Fehlt"),0,""))))</f>
        <v>-</v>
      </c>
      <c r="K373" s="711" t="str">
        <f t="shared" ref="K373:K436" si="74">IF(L373="","","│")</f>
        <v/>
      </c>
      <c r="L373" s="712" t="str">
        <f t="shared" si="73"/>
        <v/>
      </c>
      <c r="N373" s="719"/>
      <c r="P373" s="714">
        <f t="shared" si="66"/>
        <v>63.702249999999999</v>
      </c>
      <c r="Q373" s="715"/>
      <c r="R373" s="1" t="str">
        <f t="shared" si="66"/>
        <v/>
      </c>
      <c r="T373" s="728">
        <f t="shared" si="66"/>
        <v>63.702249999999999</v>
      </c>
    </row>
    <row r="374" spans="1:20" ht="12.75" hidden="1" customHeight="1" x14ac:dyDescent="0.2">
      <c r="B374" s="713" t="str">
        <f>IF(MuKu!B8=""," - ",MuKu!$B$4&amp;" - "&amp;MuKu!B8)</f>
        <v>Futterbedarf - Bedarf je Mutterkuh</v>
      </c>
      <c r="C374" s="707"/>
      <c r="D374" s="714">
        <f>IF('[1]E-MuKu'!$D8="","",'[1]E-MuKu'!$D8)</f>
        <v>18473.653003558531</v>
      </c>
      <c r="E374" s="715"/>
      <c r="F374" s="715"/>
      <c r="H374" s="728">
        <f>IF(MuKu!$D8="","",MuKu!$D8)</f>
        <v>18473.653003558531</v>
      </c>
      <c r="I374" s="717" t="str">
        <f>IF(T374=P374,"Richtig!",IF(T374="","Fehlt","Falsch"))</f>
        <v>Richtig!</v>
      </c>
      <c r="J374" s="718" t="str">
        <f>IF(OR(B374="-",N374="",AND(P374="",T374="")),"-",IF(I374="Richtig!",1,IF(I374="Formel: OK",0.5,IF(OR(I374="Falsch",I374="Fehlt"),0,""))))</f>
        <v>-</v>
      </c>
      <c r="K374" s="711" t="str">
        <f t="shared" si="74"/>
        <v/>
      </c>
      <c r="L374" s="712" t="str">
        <f t="shared" si="73"/>
        <v/>
      </c>
      <c r="N374" s="719"/>
      <c r="P374" s="714">
        <f t="shared" si="66"/>
        <v>18473.652999999998</v>
      </c>
      <c r="Q374" s="715"/>
      <c r="R374" s="715" t="str">
        <f t="shared" si="66"/>
        <v/>
      </c>
      <c r="T374" s="728">
        <f t="shared" si="66"/>
        <v>18473.652999999998</v>
      </c>
    </row>
    <row r="375" spans="1:20" ht="12.75" x14ac:dyDescent="0.2">
      <c r="B375" s="713" t="str">
        <f>IF(MuKu!B10=""," - ",MuKu!$B$4&amp;" - "&amp;MuKu!B10)</f>
        <v>Futterbedarf - Jahresbedarf ink. Nachkommen</v>
      </c>
      <c r="C375" s="707"/>
      <c r="D375" s="720">
        <f>IF('[1]E-MuKu'!$D10="","",'[1]E-MuKu'!$D10)</f>
        <v>25473.653003558531</v>
      </c>
      <c r="E375" s="715"/>
      <c r="F375" s="721">
        <f>IF(AND(H374="",MuKu!D9=""),"-",SUM(H374,MuKu!D9))</f>
        <v>25473.653003558531</v>
      </c>
      <c r="H375" s="729">
        <f>IF(MuKu!$D10="","",MuKu!$D10)</f>
        <v>25473.653003558531</v>
      </c>
      <c r="I375" s="717" t="str">
        <f>IF(B375="-","",IF(T375=P375,"Richtig!",IF(AND(P375&lt;&gt;T375,R375=T375),"Formel: OK",IF(T375="","Fehlt","Falsch"))))</f>
        <v>Richtig!</v>
      </c>
      <c r="J375" s="718">
        <f>IF(OR(B375="-",N375="",AND(P375="",T375="")),"-",IF(I375="Richtig!",1,IF(I375="Formel: OK",0.5,IF(OR(I375="Falsch",I375="Fehlt"),0,""))))</f>
        <v>1</v>
      </c>
      <c r="K375" s="711" t="str">
        <f t="shared" si="74"/>
        <v>│</v>
      </c>
      <c r="L375" s="712">
        <f t="shared" si="73"/>
        <v>1</v>
      </c>
      <c r="N375" s="719" t="str">
        <f t="shared" si="72"/>
        <v>x</v>
      </c>
      <c r="P375" s="720">
        <f t="shared" si="66"/>
        <v>25473.652999999998</v>
      </c>
      <c r="Q375" s="715"/>
      <c r="R375" s="721">
        <f t="shared" si="66"/>
        <v>25473.652999999998</v>
      </c>
      <c r="T375" s="729">
        <f t="shared" si="66"/>
        <v>25473.652999999998</v>
      </c>
    </row>
    <row r="376" spans="1:20" ht="12.75" x14ac:dyDescent="0.2">
      <c r="A376" s="707"/>
      <c r="C376" s="707"/>
      <c r="D376" s="723"/>
      <c r="E376" s="715"/>
      <c r="F376" s="715"/>
      <c r="H376" s="730"/>
      <c r="I376" s="717"/>
      <c r="J376" s="717"/>
      <c r="K376" s="711" t="str">
        <f t="shared" si="74"/>
        <v/>
      </c>
      <c r="L376" s="712" t="str">
        <f t="shared" si="73"/>
        <v/>
      </c>
      <c r="N376" s="725" t="str">
        <f t="shared" si="72"/>
        <v>x</v>
      </c>
      <c r="P376" s="723" t="str">
        <f t="shared" si="66"/>
        <v/>
      </c>
      <c r="Q376" s="715"/>
      <c r="R376" s="715" t="str">
        <f t="shared" si="66"/>
        <v/>
      </c>
      <c r="T376" s="730" t="str">
        <f t="shared" si="66"/>
        <v/>
      </c>
    </row>
    <row r="377" spans="1:20" ht="12.75" x14ac:dyDescent="0.2">
      <c r="A377" s="706" t="s">
        <v>400</v>
      </c>
      <c r="B377" s="706"/>
      <c r="C377" s="707"/>
      <c r="D377" s="708"/>
      <c r="H377" s="706"/>
      <c r="I377" s="710"/>
      <c r="J377" s="710"/>
      <c r="K377" s="711" t="str">
        <f t="shared" si="74"/>
        <v/>
      </c>
      <c r="L377" s="712" t="str">
        <f t="shared" si="73"/>
        <v/>
      </c>
      <c r="N377" s="695" t="str">
        <f t="shared" si="72"/>
        <v>x</v>
      </c>
      <c r="P377" s="708" t="str">
        <f t="shared" si="66"/>
        <v/>
      </c>
      <c r="R377" s="1" t="str">
        <f t="shared" si="66"/>
        <v/>
      </c>
      <c r="T377" s="706" t="str">
        <f t="shared" si="66"/>
        <v/>
      </c>
    </row>
    <row r="378" spans="1:20" ht="12.75" hidden="1" customHeight="1" x14ac:dyDescent="0.2">
      <c r="A378" s="706"/>
      <c r="B378" s="713" t="str">
        <f>IF(AND(MuKu!$E$22="",MuKu!B23=""),"-",("Verkaufsm"&amp;MID(MuKu!$E$22,2,4)&amp;" - "&amp;MuKu!B23))</f>
        <v>Verkaufsmenge - Kalbin</v>
      </c>
      <c r="C378" s="707"/>
      <c r="D378" s="714">
        <f>IF('[1]E-MuKu'!$E23="","",'[1]E-MuKu'!$E23)</f>
        <v>0.45</v>
      </c>
      <c r="E378" s="715"/>
      <c r="H378" s="728">
        <f>IF(MuKu!$E23="","",MuKu!$E23)</f>
        <v>0.45</v>
      </c>
      <c r="I378" s="717" t="str">
        <f>IF(T378=P378,"Richtig!",IF(T378="","Fehlt","Falsch"))</f>
        <v>Richtig!</v>
      </c>
      <c r="J378" s="718" t="str">
        <f t="shared" ref="J378:J384" si="75">IF(OR(B378="-",N378="",AND(P378="",T378="")),"-",IF(I378="Richtig!",1,IF(I378="Formel: OK",0.5,IF(OR(I378="Falsch",I378="Fehlt"),0,""))))</f>
        <v>-</v>
      </c>
      <c r="K378" s="711" t="str">
        <f t="shared" si="74"/>
        <v/>
      </c>
      <c r="L378" s="712" t="str">
        <f t="shared" si="73"/>
        <v/>
      </c>
      <c r="N378" s="719"/>
      <c r="P378" s="714">
        <f t="shared" si="66"/>
        <v>0.45</v>
      </c>
      <c r="Q378" s="715"/>
      <c r="R378" s="1" t="str">
        <f t="shared" si="66"/>
        <v/>
      </c>
      <c r="T378" s="728">
        <f t="shared" si="66"/>
        <v>0.45</v>
      </c>
    </row>
    <row r="379" spans="1:20" ht="12.75" hidden="1" customHeight="1" x14ac:dyDescent="0.2">
      <c r="A379" s="706"/>
      <c r="B379" s="713" t="str">
        <f>IF(AND(MuKu!$E$22="",MuKu!B24=""),"-",("Verkaufsm"&amp;MID(MuKu!$E$22,2,4)&amp;" - "&amp;MuKu!B24))</f>
        <v>Verkaufsmenge - Stier</v>
      </c>
      <c r="C379" s="707"/>
      <c r="D379" s="714">
        <f>IF('[1]E-MuKu'!$E24="","",'[1]E-MuKu'!$E24)</f>
        <v>0.45</v>
      </c>
      <c r="E379" s="715"/>
      <c r="H379" s="728">
        <f>IF(MuKu!$E24="","",MuKu!$E24)</f>
        <v>0.45</v>
      </c>
      <c r="I379" s="717" t="str">
        <f>IF(T379=P379,"Richtig!",IF(T379="","Fehlt","Falsch"))</f>
        <v>Richtig!</v>
      </c>
      <c r="J379" s="718" t="str">
        <f t="shared" si="75"/>
        <v>-</v>
      </c>
      <c r="K379" s="711" t="str">
        <f t="shared" si="74"/>
        <v/>
      </c>
      <c r="L379" s="712" t="str">
        <f t="shared" si="73"/>
        <v/>
      </c>
      <c r="N379" s="719"/>
      <c r="P379" s="714">
        <f t="shared" si="66"/>
        <v>0.45</v>
      </c>
      <c r="Q379" s="715"/>
      <c r="R379" s="1" t="str">
        <f t="shared" si="66"/>
        <v/>
      </c>
      <c r="T379" s="728">
        <f t="shared" si="66"/>
        <v>0.45</v>
      </c>
    </row>
    <row r="380" spans="1:20" ht="12.75" x14ac:dyDescent="0.2">
      <c r="B380" s="713" t="str">
        <f>IF(AND(MuKu!$E$22="",MuKu!B25=""),"-",("Verkaufsm"&amp;MID(MuKu!$E$22,2,4)&amp;" - "&amp;MID(MuKu!B25,1,6)))</f>
        <v>Verkaufsmenge - Altkuh</v>
      </c>
      <c r="C380" s="707"/>
      <c r="D380" s="714">
        <f>IF('[1]E-MuKu'!$E25="","",'[1]E-MuKu'!$E25)</f>
        <v>0.14285714285714285</v>
      </c>
      <c r="E380" s="715"/>
      <c r="H380" s="728">
        <f>IF(MuKu!$E25="","",MuKu!$E25)</f>
        <v>0.14285714285714285</v>
      </c>
      <c r="I380" s="717" t="str">
        <f>IF(T380=P380,"Richtig!",IF(T380="","Fehlt","Falsch"))</f>
        <v>Richtig!</v>
      </c>
      <c r="J380" s="718">
        <f t="shared" si="75"/>
        <v>1</v>
      </c>
      <c r="K380" s="711" t="str">
        <f t="shared" si="74"/>
        <v>│</v>
      </c>
      <c r="L380" s="712">
        <f t="shared" si="73"/>
        <v>1</v>
      </c>
      <c r="N380" s="719" t="str">
        <f t="shared" si="72"/>
        <v>x</v>
      </c>
      <c r="P380" s="714">
        <f t="shared" si="66"/>
        <v>0.14285999999999999</v>
      </c>
      <c r="Q380" s="715"/>
      <c r="R380" s="1" t="str">
        <f t="shared" si="66"/>
        <v/>
      </c>
      <c r="T380" s="728">
        <f t="shared" si="66"/>
        <v>0.14285999999999999</v>
      </c>
    </row>
    <row r="381" spans="1:20" ht="12.75" hidden="1" customHeight="1" x14ac:dyDescent="0.2">
      <c r="B381" s="713" t="str">
        <f>IF(MuKu!B23=""," - ",MuKu!$B$21&amp;" - "&amp;MuKu!B23)</f>
        <v>Rohertrag - Kalbin</v>
      </c>
      <c r="C381" s="707"/>
      <c r="D381" s="720">
        <f>IF('[1]E-MuKu'!$H23="","",'[1]E-MuKu'!$H23)</f>
        <v>394.11</v>
      </c>
      <c r="E381" s="715"/>
      <c r="F381" s="721">
        <f>IF(OR(H378="",MuKu!C18="",MuKu!E18="",MuKu!H18=""),"-",H378*MuKu!C18*MuKu!E18*MuKu!H18)</f>
        <v>394.11</v>
      </c>
      <c r="H381" s="729">
        <f>IF(MuKu!$H23="","",MuKu!$H23)</f>
        <v>394.11</v>
      </c>
      <c r="I381" s="717" t="str">
        <f>IF(B381="-","",IF(T381=P381,"Richtig!",IF(AND(P381&lt;&gt;T381,R381=T381),"Formel: OK",IF(T381="","Fehlt","Falsch"))))</f>
        <v>Richtig!</v>
      </c>
      <c r="J381" s="718" t="str">
        <f t="shared" si="75"/>
        <v>-</v>
      </c>
      <c r="K381" s="711" t="str">
        <f t="shared" si="74"/>
        <v/>
      </c>
      <c r="L381" s="712" t="str">
        <f t="shared" si="73"/>
        <v/>
      </c>
      <c r="N381" s="719"/>
      <c r="P381" s="720">
        <f t="shared" si="66"/>
        <v>394.11</v>
      </c>
      <c r="Q381" s="715"/>
      <c r="R381" s="721">
        <f t="shared" si="66"/>
        <v>394.11</v>
      </c>
      <c r="T381" s="729">
        <f t="shared" si="66"/>
        <v>394.11</v>
      </c>
    </row>
    <row r="382" spans="1:20" ht="12.75" hidden="1" customHeight="1" x14ac:dyDescent="0.2">
      <c r="B382" s="713" t="str">
        <f>IF(MuKu!B24=""," - ",MuKu!$B$21&amp;" - "&amp;MuKu!B24)</f>
        <v>Rohertrag - Stier</v>
      </c>
      <c r="C382" s="707"/>
      <c r="D382" s="720">
        <f>IF('[1]E-MuKu'!$H24="","",'[1]E-MuKu'!$H24)</f>
        <v>525.98700000000008</v>
      </c>
      <c r="E382" s="715"/>
      <c r="F382" s="721">
        <f>IF(OR(H379="",MuKu!C19="",MuKu!E19="",MuKu!H19=""),"-",H379*MuKu!C19*MuKu!E19*MuKu!H19)</f>
        <v>525.98700000000008</v>
      </c>
      <c r="H382" s="729">
        <f>IF(MuKu!$H24="","",MuKu!$H24)</f>
        <v>525.98700000000008</v>
      </c>
      <c r="I382" s="717" t="str">
        <f>IF(B382="-","",IF(T382=P382,"Richtig!",IF(AND(P382&lt;&gt;T382,R382=T382),"Formel: OK",IF(T382="","Fehlt","Falsch"))))</f>
        <v>Richtig!</v>
      </c>
      <c r="J382" s="718" t="str">
        <f t="shared" si="75"/>
        <v>-</v>
      </c>
      <c r="K382" s="711" t="str">
        <f t="shared" si="74"/>
        <v/>
      </c>
      <c r="L382" s="712" t="str">
        <f t="shared" si="73"/>
        <v/>
      </c>
      <c r="N382" s="719"/>
      <c r="P382" s="720">
        <f t="shared" si="66"/>
        <v>525.98699999999997</v>
      </c>
      <c r="Q382" s="715"/>
      <c r="R382" s="721">
        <f t="shared" si="66"/>
        <v>525.98699999999997</v>
      </c>
      <c r="T382" s="729">
        <f t="shared" si="66"/>
        <v>525.98699999999997</v>
      </c>
    </row>
    <row r="383" spans="1:20" ht="12.75" hidden="1" customHeight="1" x14ac:dyDescent="0.2">
      <c r="B383" s="713" t="str">
        <f>IF(MuKu!B25=""," - ",MuKu!$B$21&amp;" - "&amp;MuKu!B25)</f>
        <v>Rohertrag - Altkuherlös</v>
      </c>
      <c r="C383" s="707"/>
      <c r="D383" s="720">
        <f>IF('[1]E-MuKu'!$H25="","",'[1]E-MuKu'!$H25)</f>
        <v>105.39999999999999</v>
      </c>
      <c r="E383" s="715"/>
      <c r="F383" s="721">
        <f>IF(OR(H380="",MuKu!D25="",MuKu!H15=""),"-",H380*MuKu!D25*MuKu!H15)</f>
        <v>105.39999999999999</v>
      </c>
      <c r="H383" s="729">
        <f>IF(MuKu!$H25="","",MuKu!$H25)</f>
        <v>105.39999999999999</v>
      </c>
      <c r="I383" s="717" t="str">
        <f>IF(B383="-","",IF(T383=P383,"Richtig!",IF(AND(P383&lt;&gt;T383,R383=T383),"Formel: OK",IF(T383="","Fehlt","Falsch"))))</f>
        <v>Richtig!</v>
      </c>
      <c r="J383" s="718" t="str">
        <f t="shared" si="75"/>
        <v>-</v>
      </c>
      <c r="K383" s="711" t="str">
        <f t="shared" si="74"/>
        <v/>
      </c>
      <c r="L383" s="712" t="str">
        <f t="shared" si="73"/>
        <v/>
      </c>
      <c r="N383" s="719"/>
      <c r="P383" s="720">
        <f t="shared" si="66"/>
        <v>105.4</v>
      </c>
      <c r="Q383" s="715"/>
      <c r="R383" s="721">
        <f t="shared" si="66"/>
        <v>105.4</v>
      </c>
      <c r="T383" s="729">
        <f t="shared" si="66"/>
        <v>105.4</v>
      </c>
    </row>
    <row r="384" spans="1:20" ht="12.75" x14ac:dyDescent="0.2">
      <c r="B384" s="2" t="str">
        <f>IF(MuKu!B26=""," - ",MuKu!B26)</f>
        <v>SUMME ROHERTRAG</v>
      </c>
      <c r="C384" s="707"/>
      <c r="D384" s="720">
        <f>IF('[1]E-MuKu'!$H26="","",'[1]E-MuKu'!$H26)</f>
        <v>1025.4970000000001</v>
      </c>
      <c r="E384" s="715"/>
      <c r="F384" s="721">
        <f>IF(AND(H381="",H382="",H383=""),"-",SUM(H381:H383))</f>
        <v>1025.4970000000001</v>
      </c>
      <c r="H384" s="729">
        <f>IF(MuKu!$H26="","",MuKu!$H26)</f>
        <v>1025.4970000000001</v>
      </c>
      <c r="I384" s="717" t="str">
        <f>IF(B384="-","",IF(T384=P384,"Richtig!",IF(AND(P384&lt;&gt;T384,R384=T384),"Formel: OK",IF(T384="","Fehlt","Falsch"))))</f>
        <v>Richtig!</v>
      </c>
      <c r="J384" s="718">
        <f t="shared" si="75"/>
        <v>1</v>
      </c>
      <c r="K384" s="711" t="str">
        <f t="shared" si="74"/>
        <v>│</v>
      </c>
      <c r="L384" s="712">
        <f t="shared" si="73"/>
        <v>1</v>
      </c>
      <c r="N384" s="719" t="str">
        <f t="shared" si="72"/>
        <v>x</v>
      </c>
      <c r="P384" s="720">
        <f t="shared" si="66"/>
        <v>1025.4970000000001</v>
      </c>
      <c r="Q384" s="715"/>
      <c r="R384" s="721">
        <f t="shared" si="66"/>
        <v>1025.4970000000001</v>
      </c>
      <c r="T384" s="729">
        <f t="shared" si="66"/>
        <v>1025.4970000000001</v>
      </c>
    </row>
    <row r="385" spans="1:20" ht="12.75" x14ac:dyDescent="0.2">
      <c r="A385" s="707"/>
      <c r="B385" s="707"/>
      <c r="C385" s="707"/>
      <c r="D385" s="723"/>
      <c r="E385" s="715"/>
      <c r="F385" s="715"/>
      <c r="H385" s="730"/>
      <c r="I385" s="717"/>
      <c r="J385" s="717"/>
      <c r="K385" s="711" t="str">
        <f t="shared" si="74"/>
        <v/>
      </c>
      <c r="L385" s="712" t="str">
        <f t="shared" si="73"/>
        <v/>
      </c>
      <c r="N385" s="725" t="str">
        <f t="shared" si="72"/>
        <v>x</v>
      </c>
      <c r="P385" s="723" t="str">
        <f t="shared" si="66"/>
        <v/>
      </c>
      <c r="Q385" s="715"/>
      <c r="R385" s="715" t="str">
        <f t="shared" si="66"/>
        <v/>
      </c>
      <c r="T385" s="730" t="str">
        <f t="shared" si="66"/>
        <v/>
      </c>
    </row>
    <row r="386" spans="1:20" ht="12.75" x14ac:dyDescent="0.2">
      <c r="A386" s="706" t="s">
        <v>401</v>
      </c>
      <c r="B386" s="706"/>
      <c r="C386" s="707"/>
      <c r="D386" s="708"/>
      <c r="H386" s="706"/>
      <c r="I386" s="710"/>
      <c r="J386" s="710"/>
      <c r="K386" s="711" t="str">
        <f t="shared" si="74"/>
        <v/>
      </c>
      <c r="L386" s="712" t="str">
        <f t="shared" si="73"/>
        <v/>
      </c>
      <c r="N386" s="695" t="str">
        <f t="shared" si="72"/>
        <v>x</v>
      </c>
      <c r="P386" s="708" t="str">
        <f t="shared" si="66"/>
        <v/>
      </c>
      <c r="R386" s="1" t="str">
        <f t="shared" si="66"/>
        <v/>
      </c>
      <c r="T386" s="706" t="str">
        <f t="shared" si="66"/>
        <v/>
      </c>
    </row>
    <row r="387" spans="1:20" ht="12.75" hidden="1" customHeight="1" x14ac:dyDescent="0.2">
      <c r="A387" s="707"/>
      <c r="B387" s="2" t="str">
        <f>IF(MuKu!B29=""," - ",MuKu!B29&amp;" - "&amp;MuKu!D28)</f>
        <v>Bestandsergänzung - Menge</v>
      </c>
      <c r="C387" s="707"/>
      <c r="D387" s="714">
        <f>IF('[1]E-MuKu'!$D29="","",'[1]E-MuKu'!$D29)</f>
        <v>0.14285714285714285</v>
      </c>
      <c r="E387" s="715"/>
      <c r="F387" s="715"/>
      <c r="H387" s="728">
        <f>IF(MuKu!$D29="","",MuKu!$D29)</f>
        <v>0.14285714285714285</v>
      </c>
      <c r="I387" s="717" t="str">
        <f>IF(B387="-","",IF(T387=P387,"Richtig!",IF(T387="","Fehlt","Falsch")))</f>
        <v>Richtig!</v>
      </c>
      <c r="J387" s="718" t="str">
        <f t="shared" ref="J387:J400" si="76">IF(OR(B387="-",N387="",AND(P387="",T387="")),"-",IF(I387="Richtig!",1,IF(I387="Formel: OK",0.5,IF(OR(I387="Falsch",I387="Fehlt"),0,""))))</f>
        <v>-</v>
      </c>
      <c r="K387" s="711" t="str">
        <f t="shared" si="74"/>
        <v/>
      </c>
      <c r="L387" s="712" t="str">
        <f t="shared" si="73"/>
        <v/>
      </c>
      <c r="N387" s="719"/>
      <c r="P387" s="714">
        <f t="shared" si="66"/>
        <v>0.14285999999999999</v>
      </c>
      <c r="Q387" s="715"/>
      <c r="R387" s="715" t="str">
        <f t="shared" si="66"/>
        <v/>
      </c>
      <c r="T387" s="728">
        <f t="shared" si="66"/>
        <v>0.14285999999999999</v>
      </c>
    </row>
    <row r="388" spans="1:20" ht="12.75" hidden="1" customHeight="1" x14ac:dyDescent="0.2">
      <c r="A388" s="707"/>
      <c r="B388" s="2" t="str">
        <f>IF(MuKu!B29=""," - ",MID(MuKu!$B$28,1,1)&amp;MID(MuKu!$B$28,10,1)&amp;" - "&amp;MuKu!B29)</f>
        <v>VK - Bestandsergänzung</v>
      </c>
      <c r="C388" s="707"/>
      <c r="D388" s="720">
        <f>IF('[1]E-MuKu'!$H29="","",'[1]E-MuKu'!$H29)</f>
        <v>125.1142857142857</v>
      </c>
      <c r="E388" s="715"/>
      <c r="F388" s="721">
        <f>IF(OR(H381="",H378="",H387=""),"-",H381/H378*H387)</f>
        <v>125.1142857142857</v>
      </c>
      <c r="H388" s="729">
        <f>IF(MuKu!$H29="","",MuKu!$H29)</f>
        <v>125.1142857142857</v>
      </c>
      <c r="I388" s="717" t="str">
        <f>IF(B388="-","",IF(T388=P388,"Richtig!",IF(AND(P388&lt;&gt;T388,R388=T388),"Formel: OK",IF(T388="","Fehlt","Falsch"))))</f>
        <v>Richtig!</v>
      </c>
      <c r="J388" s="718" t="str">
        <f t="shared" si="76"/>
        <v>-</v>
      </c>
      <c r="K388" s="711" t="str">
        <f t="shared" si="74"/>
        <v/>
      </c>
      <c r="L388" s="712" t="str">
        <f t="shared" si="73"/>
        <v/>
      </c>
      <c r="N388" s="719"/>
      <c r="P388" s="720">
        <f t="shared" si="66"/>
        <v>125.11429</v>
      </c>
      <c r="Q388" s="715"/>
      <c r="R388" s="721">
        <f t="shared" si="66"/>
        <v>125.11429</v>
      </c>
      <c r="T388" s="729">
        <f t="shared" si="66"/>
        <v>125.11429</v>
      </c>
    </row>
    <row r="389" spans="1:20" ht="12.75" x14ac:dyDescent="0.2">
      <c r="A389" s="707"/>
      <c r="B389" s="2" t="str">
        <f>IF(MuKu!B30=""," - ",MID(MuKu!$B$28,1,1)&amp;MID(MuKu!$B$28,10,1)&amp;" - "&amp;MuKu!B30)</f>
        <v xml:space="preserve">VK - KF-Gaben </v>
      </c>
      <c r="C389" s="707"/>
      <c r="D389" s="714">
        <f>IF('[1]E-MuKu'!$H30="","",'[1]E-MuKu'!$H30)</f>
        <v>9.24</v>
      </c>
      <c r="E389" s="715"/>
      <c r="F389" s="715"/>
      <c r="H389" s="728">
        <f>IF(MuKu!$H30="","",MuKu!$H30)</f>
        <v>9.24</v>
      </c>
      <c r="I389" s="717" t="str">
        <f>IF(B389="-","",IF(T389=P389,"Richtig!",IF(T389="","Fehlt","Falsch")))</f>
        <v>Richtig!</v>
      </c>
      <c r="J389" s="718">
        <f t="shared" si="76"/>
        <v>1</v>
      </c>
      <c r="K389" s="711" t="str">
        <f t="shared" si="74"/>
        <v>│</v>
      </c>
      <c r="L389" s="712">
        <f t="shared" si="73"/>
        <v>1</v>
      </c>
      <c r="N389" s="719" t="str">
        <f t="shared" si="72"/>
        <v>x</v>
      </c>
      <c r="P389" s="714">
        <f t="shared" si="66"/>
        <v>9.24</v>
      </c>
      <c r="Q389" s="715"/>
      <c r="R389" s="715" t="str">
        <f t="shared" si="66"/>
        <v/>
      </c>
      <c r="T389" s="728">
        <f t="shared" si="66"/>
        <v>9.24</v>
      </c>
    </row>
    <row r="390" spans="1:20" ht="12.75" x14ac:dyDescent="0.2">
      <c r="A390" s="707"/>
      <c r="B390" s="2" t="str">
        <f>IF(MuKu!B31=""," - ",MID(MuKu!$B$28,1,1)&amp;MID(MuKu!$B$28,10,1)&amp;" - "&amp;MuKu!B31)</f>
        <v>VK - Mineralstoffe</v>
      </c>
      <c r="C390" s="707"/>
      <c r="D390" s="714">
        <f>IF('[1]E-MuKu'!$H31="","",'[1]E-MuKu'!$H31)</f>
        <v>9.7900000000000009</v>
      </c>
      <c r="E390" s="715"/>
      <c r="F390" s="715"/>
      <c r="H390" s="728">
        <f>IF(MuKu!$H31="","",MuKu!$H31)</f>
        <v>9.7900000000000009</v>
      </c>
      <c r="I390" s="717" t="str">
        <f>IF(B390="-","",IF(T390=P390,"Richtig!",IF(T390="","Fehlt","Falsch")))</f>
        <v>Richtig!</v>
      </c>
      <c r="J390" s="718">
        <f t="shared" si="76"/>
        <v>1</v>
      </c>
      <c r="K390" s="711" t="str">
        <f t="shared" si="74"/>
        <v>│</v>
      </c>
      <c r="L390" s="712">
        <f t="shared" si="73"/>
        <v>1</v>
      </c>
      <c r="N390" s="719" t="str">
        <f t="shared" si="72"/>
        <v>x</v>
      </c>
      <c r="P390" s="714">
        <f t="shared" si="66"/>
        <v>9.7899999999999991</v>
      </c>
      <c r="Q390" s="715"/>
      <c r="R390" s="715" t="str">
        <f t="shared" si="66"/>
        <v/>
      </c>
      <c r="T390" s="728">
        <f t="shared" si="66"/>
        <v>9.7899999999999991</v>
      </c>
    </row>
    <row r="391" spans="1:20" ht="12.75" hidden="1" customHeight="1" x14ac:dyDescent="0.2">
      <c r="A391" s="707"/>
      <c r="B391" s="2" t="str">
        <f>IF(MuKu!B32=""," - ",MID(MuKu!$B$28,1,1)&amp;MID(MuKu!$B$28,10,1)&amp;" - "&amp;MuKu!B32)</f>
        <v>VK - Tierarzt Med.</v>
      </c>
      <c r="C391" s="707"/>
      <c r="D391" s="714">
        <f>IF('[1]E-MuKu'!$H32="","",'[1]E-MuKu'!$H32)</f>
        <v>16.829999999999998</v>
      </c>
      <c r="E391" s="715"/>
      <c r="F391" s="715"/>
      <c r="H391" s="728">
        <f>IF(MuKu!$H32="","",MuKu!$H32)</f>
        <v>16.829999999999998</v>
      </c>
      <c r="I391" s="717" t="str">
        <f>IF(B391="-","",IF(T391=P391,"Richtig!",IF(T391="","Fehlt","Falsch")))</f>
        <v>Richtig!</v>
      </c>
      <c r="J391" s="718" t="str">
        <f t="shared" si="76"/>
        <v>-</v>
      </c>
      <c r="K391" s="711" t="str">
        <f t="shared" si="74"/>
        <v/>
      </c>
      <c r="L391" s="712" t="str">
        <f t="shared" si="73"/>
        <v/>
      </c>
      <c r="N391" s="719"/>
      <c r="P391" s="714">
        <f t="shared" si="66"/>
        <v>16.829999999999998</v>
      </c>
      <c r="Q391" s="715"/>
      <c r="R391" s="715" t="str">
        <f t="shared" si="66"/>
        <v/>
      </c>
      <c r="T391" s="728">
        <f t="shared" si="66"/>
        <v>16.829999999999998</v>
      </c>
    </row>
    <row r="392" spans="1:20" ht="12.75" hidden="1" customHeight="1" x14ac:dyDescent="0.2">
      <c r="A392" s="707"/>
      <c r="B392" s="2" t="str">
        <f>IF(MuKu!B33=""," - ",MID(MuKu!$B$28,1,1)&amp;MID(MuKu!$B$28,10,1)&amp;" - "&amp;MuKu!B33)</f>
        <v>VK - Deckgeld</v>
      </c>
      <c r="C392" s="707"/>
      <c r="D392" s="714">
        <f>IF('[1]E-MuKu'!$H33="","",'[1]E-MuKu'!$H33)</f>
        <v>29.7</v>
      </c>
      <c r="E392" s="715"/>
      <c r="F392" s="715"/>
      <c r="H392" s="728">
        <f>IF(MuKu!$H33="","",MuKu!$H33)</f>
        <v>29.7</v>
      </c>
      <c r="I392" s="717" t="str">
        <f>IF(B392="-","",IF(T392=P392,"Richtig!",IF(T392="","Fehlt","Falsch")))</f>
        <v>Richtig!</v>
      </c>
      <c r="J392" s="718" t="str">
        <f t="shared" si="76"/>
        <v>-</v>
      </c>
      <c r="K392" s="711" t="str">
        <f t="shared" si="74"/>
        <v/>
      </c>
      <c r="L392" s="712" t="str">
        <f t="shared" si="73"/>
        <v/>
      </c>
      <c r="N392" s="719"/>
      <c r="P392" s="714">
        <f t="shared" si="66"/>
        <v>29.7</v>
      </c>
      <c r="Q392" s="715"/>
      <c r="R392" s="715" t="str">
        <f t="shared" si="66"/>
        <v/>
      </c>
      <c r="T392" s="728">
        <f t="shared" si="66"/>
        <v>29.7</v>
      </c>
    </row>
    <row r="393" spans="1:20" ht="12.75" hidden="1" customHeight="1" x14ac:dyDescent="0.2">
      <c r="A393" s="707"/>
      <c r="B393" s="2" t="str">
        <f>IF(MuKu!B34=""," - ",MID(MuKu!$B$28,1,1)&amp;MID(MuKu!$B$28,10,1)&amp;" - "&amp;MuKu!B34)</f>
        <v>VK - Versicherung</v>
      </c>
      <c r="C393" s="707"/>
      <c r="D393" s="720">
        <f>IF('[1]E-MuKu'!$H34="","",'[1]E-MuKu'!$H34)</f>
        <v>30.76491</v>
      </c>
      <c r="E393" s="715"/>
      <c r="F393" s="721">
        <f>IF(OR(H384="",MuKu!D34=""),"-",H384*MuKu!D34)</f>
        <v>30.76491</v>
      </c>
      <c r="H393" s="729">
        <f>IF(MuKu!$H34="","",MuKu!$H34)</f>
        <v>30.76491</v>
      </c>
      <c r="I393" s="717" t="str">
        <f>IF(B393="-","",IF(T393=P393,"Richtig!",IF(AND(P393&lt;&gt;T393,R393=T393),"Formel: OK",IF(T393="","Fehlt","Falsch"))))</f>
        <v>Richtig!</v>
      </c>
      <c r="J393" s="718" t="str">
        <f t="shared" si="76"/>
        <v>-</v>
      </c>
      <c r="K393" s="711" t="str">
        <f t="shared" si="74"/>
        <v/>
      </c>
      <c r="L393" s="712" t="str">
        <f t="shared" si="73"/>
        <v/>
      </c>
      <c r="N393" s="719"/>
      <c r="P393" s="720">
        <f t="shared" si="66"/>
        <v>30.76491</v>
      </c>
      <c r="Q393" s="715"/>
      <c r="R393" s="721">
        <f t="shared" si="66"/>
        <v>30.76491</v>
      </c>
      <c r="T393" s="729">
        <f t="shared" si="66"/>
        <v>30.76491</v>
      </c>
    </row>
    <row r="394" spans="1:20" ht="12.75" hidden="1" customHeight="1" x14ac:dyDescent="0.2">
      <c r="A394" s="707"/>
      <c r="B394" s="2" t="str">
        <f>IF(MuKu!B35=""," - ",MID(MuKu!$B$28,1,1)&amp;MID(MuKu!$B$28,10,1)&amp;" - "&amp;MuKu!B35)</f>
        <v>VK - Beiträge</v>
      </c>
      <c r="C394" s="707"/>
      <c r="D394" s="714">
        <f>IF('[1]E-MuKu'!$H35="","",'[1]E-MuKu'!$H35)</f>
        <v>13.86</v>
      </c>
      <c r="E394" s="715"/>
      <c r="F394" s="715"/>
      <c r="H394" s="728">
        <f>IF(MuKu!$H35="","",MuKu!$H35)</f>
        <v>13.86</v>
      </c>
      <c r="I394" s="717" t="str">
        <f>IF(B394="-","",IF(T394=P394,"Richtig!",IF(T394="","Fehlt","Falsch")))</f>
        <v>Richtig!</v>
      </c>
      <c r="J394" s="718" t="str">
        <f t="shared" si="76"/>
        <v>-</v>
      </c>
      <c r="K394" s="711" t="str">
        <f t="shared" si="74"/>
        <v/>
      </c>
      <c r="L394" s="712" t="str">
        <f t="shared" si="73"/>
        <v/>
      </c>
      <c r="N394" s="719"/>
      <c r="P394" s="714">
        <f t="shared" si="66"/>
        <v>13.86</v>
      </c>
      <c r="Q394" s="715"/>
      <c r="R394" s="715" t="str">
        <f t="shared" si="66"/>
        <v/>
      </c>
      <c r="T394" s="728">
        <f t="shared" si="66"/>
        <v>13.86</v>
      </c>
    </row>
    <row r="395" spans="1:20" ht="12.75" hidden="1" customHeight="1" x14ac:dyDescent="0.2">
      <c r="A395" s="707"/>
      <c r="B395" s="2" t="str">
        <f>IF(MuKu!B36=""," - ",MID(MuKu!$B$28,1,1)&amp;MID(MuKu!$B$28,10,1)&amp;" - "&amp;MuKu!B36)</f>
        <v>VK - Sonstige Kosten</v>
      </c>
      <c r="C395" s="707"/>
      <c r="D395" s="714">
        <f>IF('[1]E-MuKu'!$H36="","",'[1]E-MuKu'!$H36)</f>
        <v>47.52</v>
      </c>
      <c r="E395" s="715"/>
      <c r="F395" s="715"/>
      <c r="H395" s="728">
        <f>IF(MuKu!$H36="","",MuKu!$H36)</f>
        <v>47.52</v>
      </c>
      <c r="I395" s="717" t="str">
        <f>IF(B395="-","",IF(T395=P395,"Richtig!",IF(T395="","Fehlt","Falsch")))</f>
        <v>Richtig!</v>
      </c>
      <c r="J395" s="718" t="str">
        <f t="shared" si="76"/>
        <v>-</v>
      </c>
      <c r="K395" s="711" t="str">
        <f t="shared" si="74"/>
        <v/>
      </c>
      <c r="L395" s="712" t="str">
        <f t="shared" si="73"/>
        <v/>
      </c>
      <c r="N395" s="719"/>
      <c r="P395" s="714">
        <f t="shared" ref="P395:T458" si="77">IF(ISTEXT(D395),D395,IF(D395="","",ROUND(D395,$R$1)))</f>
        <v>47.52</v>
      </c>
      <c r="Q395" s="715"/>
      <c r="R395" s="715" t="str">
        <f t="shared" si="77"/>
        <v/>
      </c>
      <c r="T395" s="728">
        <f t="shared" si="77"/>
        <v>47.52</v>
      </c>
    </row>
    <row r="396" spans="1:20" ht="12.75" hidden="1" customHeight="1" x14ac:dyDescent="0.2">
      <c r="A396" s="707"/>
      <c r="B396" s="2" t="str">
        <f>IF(MuKu!B37=""," - ",MID(MuKu!$B$28,1,1)&amp;MID(MuKu!$B$28,10,1)&amp;" - "&amp;MuKu!B37)</f>
        <v>VK - Alpung, Transportkosten....</v>
      </c>
      <c r="C396" s="707"/>
      <c r="D396" s="714">
        <f>IF('[1]E-MuKu'!$H37="","",'[1]E-MuKu'!$H37)</f>
        <v>31.68</v>
      </c>
      <c r="E396" s="715"/>
      <c r="F396" s="715"/>
      <c r="H396" s="728">
        <f>IF(MuKu!$H37="","",MuKu!$H37)</f>
        <v>31.68</v>
      </c>
      <c r="I396" s="717" t="str">
        <f>IF(B396="-","",IF(T396=P396,"Richtig!",IF(T396="","Fehlt","Falsch")))</f>
        <v>Richtig!</v>
      </c>
      <c r="J396" s="718" t="str">
        <f t="shared" si="76"/>
        <v>-</v>
      </c>
      <c r="K396" s="711" t="str">
        <f t="shared" si="74"/>
        <v/>
      </c>
      <c r="L396" s="712" t="str">
        <f t="shared" si="73"/>
        <v/>
      </c>
      <c r="N396" s="719"/>
      <c r="P396" s="714">
        <f t="shared" si="77"/>
        <v>31.68</v>
      </c>
      <c r="Q396" s="715"/>
      <c r="R396" s="715" t="str">
        <f t="shared" si="77"/>
        <v/>
      </c>
      <c r="T396" s="728">
        <f t="shared" si="77"/>
        <v>31.68</v>
      </c>
    </row>
    <row r="397" spans="1:20" ht="12.75" hidden="1" customHeight="1" x14ac:dyDescent="0.2">
      <c r="A397" s="707"/>
      <c r="B397" s="2" t="str">
        <f>IF(MuKu!B38=""," - ",MID(MuKu!$B$28,1,1)&amp;MID(MuKu!$B$28,10,1)&amp;" - "&amp;MuKu!B38)</f>
        <v>VK - Schlachtung</v>
      </c>
      <c r="C397" s="707"/>
      <c r="D397" s="714">
        <f>IF('[1]E-MuKu'!$H38="","",'[1]E-MuKu'!$H38)</f>
        <v>40.590000000000003</v>
      </c>
      <c r="E397" s="715"/>
      <c r="F397" s="715"/>
      <c r="H397" s="728">
        <f>IF(MuKu!$H38="","",MuKu!$H38)</f>
        <v>40.590000000000003</v>
      </c>
      <c r="I397" s="717" t="str">
        <f>IF(B397="-","",IF(T397=P397,"Richtig!",IF(T397="","Fehlt","Falsch")))</f>
        <v>Richtig!</v>
      </c>
      <c r="J397" s="718" t="str">
        <f t="shared" si="76"/>
        <v>-</v>
      </c>
      <c r="K397" s="711" t="str">
        <f t="shared" si="74"/>
        <v/>
      </c>
      <c r="L397" s="712" t="str">
        <f t="shared" si="73"/>
        <v/>
      </c>
      <c r="N397" s="719"/>
      <c r="P397" s="714">
        <f t="shared" si="77"/>
        <v>40.590000000000003</v>
      </c>
      <c r="Q397" s="715"/>
      <c r="R397" s="715" t="str">
        <f t="shared" si="77"/>
        <v/>
      </c>
      <c r="T397" s="728">
        <f t="shared" si="77"/>
        <v>40.590000000000003</v>
      </c>
    </row>
    <row r="398" spans="1:20" ht="12.75" hidden="1" customHeight="1" x14ac:dyDescent="0.2">
      <c r="A398" s="707"/>
      <c r="B398" s="2" t="str">
        <f>IF(MuKu!B39=""," - ",MID(MuKu!$B$28,1,1)&amp;MID(MuKu!$B$28,10,1)&amp;" - "&amp;MuKu!B39)</f>
        <v xml:space="preserve">VK - Mischpakete </v>
      </c>
      <c r="C398" s="707"/>
      <c r="D398" s="714">
        <f>IF('[1]E-MuKu'!$H39="","",'[1]E-MuKu'!$H39)</f>
        <v>32.67</v>
      </c>
      <c r="E398" s="715"/>
      <c r="F398" s="715"/>
      <c r="H398" s="728">
        <f>IF(MuKu!$H39="","",MuKu!$H39)</f>
        <v>32.67</v>
      </c>
      <c r="I398" s="717" t="str">
        <f>IF(B398="-","",IF(T398=P398,"Richtig!",IF(T398="","Fehlt","Falsch")))</f>
        <v>Richtig!</v>
      </c>
      <c r="J398" s="718" t="str">
        <f t="shared" si="76"/>
        <v>-</v>
      </c>
      <c r="K398" s="711" t="str">
        <f t="shared" si="74"/>
        <v/>
      </c>
      <c r="L398" s="712" t="str">
        <f t="shared" si="73"/>
        <v/>
      </c>
      <c r="N398" s="719"/>
      <c r="P398" s="714">
        <f t="shared" si="77"/>
        <v>32.67</v>
      </c>
      <c r="Q398" s="715"/>
      <c r="R398" s="715" t="str">
        <f t="shared" si="77"/>
        <v/>
      </c>
      <c r="T398" s="728">
        <f t="shared" si="77"/>
        <v>32.67</v>
      </c>
    </row>
    <row r="399" spans="1:20" ht="12.75" x14ac:dyDescent="0.2">
      <c r="A399" s="707"/>
      <c r="B399" s="2" t="str">
        <f>IF(MuKu!B40=""," - ",MuKu!B40)</f>
        <v>SUMME VK</v>
      </c>
      <c r="C399" s="707"/>
      <c r="D399" s="720">
        <f>IF('[1]E-MuKu'!$H40="","",'[1]E-MuKu'!$H40)</f>
        <v>387.75919571428568</v>
      </c>
      <c r="E399" s="715"/>
      <c r="F399" s="721">
        <f>IF(AND(H388="",H389="",H390="",H391="",H392="",H393="",H394="",H395="",H396="",H397="",H398=""),"-",SUM(H388:H398))</f>
        <v>387.75919571428568</v>
      </c>
      <c r="H399" s="729">
        <f>IF(MuKu!$H40="","",MuKu!$H40)</f>
        <v>387.75919571428568</v>
      </c>
      <c r="I399" s="717" t="str">
        <f>IF(B399="-","",IF(T399=P399,"Richtig!",IF(AND(P399&lt;&gt;T399,R399=T399),"Formel: OK",IF(T399="","Fehlt","Falsch"))))</f>
        <v>Richtig!</v>
      </c>
      <c r="J399" s="718">
        <f t="shared" si="76"/>
        <v>1</v>
      </c>
      <c r="K399" s="711" t="str">
        <f t="shared" si="74"/>
        <v>│</v>
      </c>
      <c r="L399" s="712">
        <f t="shared" si="73"/>
        <v>1</v>
      </c>
      <c r="N399" s="719" t="str">
        <f t="shared" si="72"/>
        <v>x</v>
      </c>
      <c r="P399" s="720">
        <f t="shared" si="77"/>
        <v>387.75920000000002</v>
      </c>
      <c r="Q399" s="715"/>
      <c r="R399" s="721">
        <f t="shared" si="77"/>
        <v>387.75920000000002</v>
      </c>
      <c r="T399" s="729">
        <f t="shared" si="77"/>
        <v>387.75920000000002</v>
      </c>
    </row>
    <row r="400" spans="1:20" ht="12.75" x14ac:dyDescent="0.2">
      <c r="A400" s="707"/>
      <c r="B400" s="2" t="str">
        <f>IF(MuKu!B41=""," - ",MuKu!B41)</f>
        <v>DB ohne Grundfutterkosten und Förderungen</v>
      </c>
      <c r="C400" s="707"/>
      <c r="D400" s="720">
        <f>IF('[1]E-MuKu'!$H41="","",'[1]E-MuKu'!$H41)</f>
        <v>637.73780428571445</v>
      </c>
      <c r="E400" s="715"/>
      <c r="F400" s="721">
        <f>IF(OR(H384="",H399=""),"-",H384-H399)</f>
        <v>637.73780428571445</v>
      </c>
      <c r="H400" s="729">
        <f>IF(MuKu!$H41="","",MuKu!$H41)</f>
        <v>637.73780428571445</v>
      </c>
      <c r="I400" s="717" t="str">
        <f>IF(B400="-","",IF(T400=P400,"Richtig!",IF(AND(P400&lt;&gt;T400,R400=T400),"Formel: OK",IF(T400="","Fehlt","Falsch"))))</f>
        <v>Richtig!</v>
      </c>
      <c r="J400" s="718">
        <f t="shared" si="76"/>
        <v>1</v>
      </c>
      <c r="K400" s="711" t="str">
        <f t="shared" si="74"/>
        <v>│</v>
      </c>
      <c r="L400" s="712">
        <f t="shared" si="73"/>
        <v>1</v>
      </c>
      <c r="N400" s="719" t="str">
        <f t="shared" si="72"/>
        <v>x</v>
      </c>
      <c r="P400" s="720">
        <f t="shared" si="77"/>
        <v>637.73779999999999</v>
      </c>
      <c r="Q400" s="715"/>
      <c r="R400" s="721">
        <f t="shared" si="77"/>
        <v>637.73779999999999</v>
      </c>
      <c r="T400" s="729">
        <f t="shared" si="77"/>
        <v>637.73779999999999</v>
      </c>
    </row>
    <row r="401" spans="1:20" ht="12.75" x14ac:dyDescent="0.2">
      <c r="A401" s="707"/>
      <c r="B401" s="2"/>
      <c r="C401" s="707"/>
      <c r="D401" s="723"/>
      <c r="E401" s="715"/>
      <c r="F401" s="715"/>
      <c r="H401" s="730"/>
      <c r="I401" s="717"/>
      <c r="J401" s="717"/>
      <c r="K401" s="711" t="str">
        <f t="shared" si="74"/>
        <v/>
      </c>
      <c r="L401" s="712" t="str">
        <f t="shared" si="73"/>
        <v/>
      </c>
      <c r="N401" s="725" t="str">
        <f t="shared" si="72"/>
        <v>x</v>
      </c>
      <c r="P401" s="723" t="str">
        <f t="shared" si="77"/>
        <v/>
      </c>
      <c r="Q401" s="715"/>
      <c r="R401" s="715" t="str">
        <f t="shared" si="77"/>
        <v/>
      </c>
      <c r="T401" s="730" t="str">
        <f t="shared" si="77"/>
        <v/>
      </c>
    </row>
    <row r="402" spans="1:20" ht="12.75" x14ac:dyDescent="0.2">
      <c r="A402" s="706" t="s">
        <v>402</v>
      </c>
      <c r="B402" s="706"/>
      <c r="C402" s="707"/>
      <c r="D402" s="708"/>
      <c r="H402" s="706"/>
      <c r="I402" s="710"/>
      <c r="J402" s="710"/>
      <c r="K402" s="711" t="str">
        <f t="shared" si="74"/>
        <v/>
      </c>
      <c r="L402" s="712" t="str">
        <f t="shared" si="73"/>
        <v/>
      </c>
      <c r="N402" s="695" t="str">
        <f t="shared" si="72"/>
        <v>x</v>
      </c>
      <c r="P402" s="708" t="str">
        <f t="shared" si="77"/>
        <v/>
      </c>
      <c r="R402" s="1" t="str">
        <f t="shared" si="77"/>
        <v/>
      </c>
      <c r="T402" s="706" t="str">
        <f t="shared" si="77"/>
        <v/>
      </c>
    </row>
    <row r="403" spans="1:20" ht="12.75" hidden="1" customHeight="1" x14ac:dyDescent="0.2">
      <c r="A403" s="707"/>
      <c r="B403" s="2" t="str">
        <f>IF(MuKu!B43=""," - ",MuKu!B43)</f>
        <v>Variable Grundfutterkosten</v>
      </c>
      <c r="C403" s="707"/>
      <c r="D403" s="720">
        <f>IF('[1]E-MuKu'!$H44="","",'[1]E-MuKu'!$H44)</f>
        <v>382.10479505337793</v>
      </c>
      <c r="E403" s="715"/>
      <c r="F403" s="721">
        <f>IF(OR(H375="",MuKu!E44=""),"-",H375*MuKu!E44)</f>
        <v>382.10479505337793</v>
      </c>
      <c r="H403" s="729">
        <f>IF(MuKu!$H44="","",MuKu!$H44)</f>
        <v>382.10479505337793</v>
      </c>
      <c r="I403" s="717" t="str">
        <f>IF(B403="-","",IF(T403=P403,"Richtig!",IF(AND(P403&lt;&gt;T403,R403=T403),"Formel: OK",IF(T403="","Fehlt","Falsch"))))</f>
        <v>Richtig!</v>
      </c>
      <c r="J403" s="718" t="str">
        <f>IF(OR(B403="-",N403="",AND(P403="",T403="")),"-",IF(I403="Richtig!",1,IF(I403="Formel: OK",0.5,IF(OR(I403="Falsch",I403="Fehlt"),0,""))))</f>
        <v>-</v>
      </c>
      <c r="K403" s="711" t="str">
        <f t="shared" si="74"/>
        <v/>
      </c>
      <c r="L403" s="712" t="str">
        <f t="shared" si="73"/>
        <v/>
      </c>
      <c r="N403" s="719"/>
      <c r="P403" s="720">
        <f t="shared" si="77"/>
        <v>382.10480000000001</v>
      </c>
      <c r="Q403" s="715"/>
      <c r="R403" s="721">
        <f t="shared" si="77"/>
        <v>382.10480000000001</v>
      </c>
      <c r="T403" s="729">
        <f t="shared" si="77"/>
        <v>382.10480000000001</v>
      </c>
    </row>
    <row r="404" spans="1:20" ht="12.75" x14ac:dyDescent="0.2">
      <c r="A404" s="707"/>
      <c r="B404" s="2" t="str">
        <f>IF(MuKu!B45=""," - ",MuKu!B45)</f>
        <v>DB mit Grundfutterkosten</v>
      </c>
      <c r="C404" s="707"/>
      <c r="D404" s="720">
        <f>IF('[1]E-MuKu'!$H45="","",'[1]E-MuKu'!$H45)</f>
        <v>255.63300923233652</v>
      </c>
      <c r="E404" s="715"/>
      <c r="F404" s="721">
        <f>IF(OR(H400="",H403=""),"-",H400-H403)</f>
        <v>255.63300923233652</v>
      </c>
      <c r="H404" s="729">
        <f>IF(MuKu!$H45="","",MuKu!$H45)</f>
        <v>255.63300923233652</v>
      </c>
      <c r="I404" s="717" t="str">
        <f>IF(B404="-","",IF(T404=P404,"Richtig!",IF(AND(P404&lt;&gt;T404,R404=T404),"Formel: OK",IF(T404="","Fehlt","Falsch"))))</f>
        <v>Richtig!</v>
      </c>
      <c r="J404" s="718">
        <f>IF(OR(B404="-",N404="",AND(P404="",T404="")),"-",IF(I404="Richtig!",1,IF(I404="Formel: OK",0.5,IF(OR(I404="Falsch",I404="Fehlt"),0,""))))</f>
        <v>1</v>
      </c>
      <c r="K404" s="711" t="str">
        <f t="shared" si="74"/>
        <v>│</v>
      </c>
      <c r="L404" s="712">
        <f t="shared" si="73"/>
        <v>1</v>
      </c>
      <c r="N404" s="719" t="str">
        <f t="shared" si="72"/>
        <v>x</v>
      </c>
      <c r="P404" s="720">
        <f t="shared" si="77"/>
        <v>255.63301000000001</v>
      </c>
      <c r="Q404" s="715"/>
      <c r="R404" s="721">
        <f t="shared" si="77"/>
        <v>255.63301000000001</v>
      </c>
      <c r="T404" s="729">
        <f t="shared" si="77"/>
        <v>255.63301000000001</v>
      </c>
    </row>
    <row r="405" spans="1:20" ht="12.75" x14ac:dyDescent="0.2">
      <c r="A405" s="707"/>
      <c r="B405" s="707"/>
      <c r="C405" s="707"/>
      <c r="D405" s="708"/>
      <c r="H405" s="706"/>
      <c r="I405" s="710"/>
      <c r="J405" s="710"/>
      <c r="K405" s="711" t="str">
        <f t="shared" si="74"/>
        <v/>
      </c>
      <c r="L405" s="712" t="str">
        <f t="shared" si="73"/>
        <v/>
      </c>
      <c r="N405" s="725" t="str">
        <f t="shared" si="72"/>
        <v>x</v>
      </c>
      <c r="P405" s="708" t="str">
        <f t="shared" si="77"/>
        <v/>
      </c>
      <c r="R405" s="1" t="str">
        <f t="shared" si="77"/>
        <v/>
      </c>
      <c r="T405" s="706" t="str">
        <f t="shared" si="77"/>
        <v/>
      </c>
    </row>
    <row r="406" spans="1:20" ht="12.75" x14ac:dyDescent="0.2">
      <c r="A406" s="706" t="s">
        <v>403</v>
      </c>
      <c r="B406" s="706"/>
      <c r="C406" s="707"/>
      <c r="D406" s="708"/>
      <c r="H406" s="706"/>
      <c r="I406" s="710"/>
      <c r="J406" s="710"/>
      <c r="K406" s="711" t="str">
        <f t="shared" si="74"/>
        <v/>
      </c>
      <c r="L406" s="712" t="str">
        <f t="shared" si="73"/>
        <v/>
      </c>
      <c r="N406" s="695" t="str">
        <f t="shared" si="72"/>
        <v>x</v>
      </c>
      <c r="P406" s="708" t="str">
        <f t="shared" si="77"/>
        <v/>
      </c>
      <c r="R406" s="1" t="str">
        <f t="shared" si="77"/>
        <v/>
      </c>
      <c r="T406" s="706" t="str">
        <f t="shared" si="77"/>
        <v/>
      </c>
    </row>
    <row r="407" spans="1:20" ht="12.75" hidden="1" customHeight="1" x14ac:dyDescent="0.2">
      <c r="A407" s="707"/>
      <c r="B407" s="2" t="str">
        <f>IF(MuKu!B48=""," - ",MuKu!B48)</f>
        <v>Gefährdete Tierrassen</v>
      </c>
      <c r="C407" s="707"/>
      <c r="D407" s="714">
        <f>IF('[1]E-MuKu'!$H48="","",'[1]E-MuKu'!$H48)</f>
        <v>180</v>
      </c>
      <c r="E407" s="715"/>
      <c r="F407" s="715"/>
      <c r="H407" s="728">
        <f>IF(MuKu!$H48="","",MuKu!$H48)</f>
        <v>180</v>
      </c>
      <c r="I407" s="717" t="str">
        <f>IF(AND(P407="",T407=""),"",IF(T407=P407,"Richtig!",IF(T407="","Fehlt","Falsch")))</f>
        <v>Richtig!</v>
      </c>
      <c r="J407" s="718" t="str">
        <f>IF(OR(B407="-",N407="",AND(P407="",T407="")),"-",IF(I407="Richtig!",1,IF(I407="Formel: OK",0.5,IF(OR(I407="Falsch",I407="Fehlt"),0,""))))</f>
        <v>-</v>
      </c>
      <c r="K407" s="711" t="str">
        <f t="shared" si="74"/>
        <v/>
      </c>
      <c r="L407" s="712" t="str">
        <f t="shared" si="73"/>
        <v/>
      </c>
      <c r="N407" s="719"/>
      <c r="P407" s="714">
        <f t="shared" si="77"/>
        <v>180</v>
      </c>
      <c r="Q407" s="715"/>
      <c r="R407" s="715" t="str">
        <f t="shared" si="77"/>
        <v/>
      </c>
      <c r="T407" s="728">
        <f t="shared" si="77"/>
        <v>180</v>
      </c>
    </row>
    <row r="408" spans="1:20" ht="12.75" hidden="1" customHeight="1" x14ac:dyDescent="0.2">
      <c r="A408" s="707"/>
      <c r="B408" s="2" t="str">
        <f>IF(MuKu!B49=""," - ",MuKu!B49)</f>
        <v xml:space="preserve"> - </v>
      </c>
      <c r="C408" s="707"/>
      <c r="D408" s="714" t="str">
        <f>IF('[1]E-MuKu'!$H49="","",'[1]E-MuKu'!$H49)</f>
        <v/>
      </c>
      <c r="E408" s="715"/>
      <c r="F408" s="715"/>
      <c r="H408" s="728" t="str">
        <f>IF(MuKu!$H49="","",MuKu!$H49)</f>
        <v/>
      </c>
      <c r="I408" s="717" t="str">
        <f>IF(AND(P408="",T408=""),"",IF(T408=P408,"Richtig!",IF(T408="","Fehlt","Falsch")))</f>
        <v/>
      </c>
      <c r="J408" s="718" t="str">
        <f>IF(OR(B408="-",N408="",AND(P408="",T408="")),"-",IF(I408="Richtig!",1,IF(I408="Formel: OK",0.5,IF(OR(I408="Falsch",I408="Fehlt"),0,""))))</f>
        <v>-</v>
      </c>
      <c r="K408" s="711" t="str">
        <f t="shared" si="74"/>
        <v/>
      </c>
      <c r="L408" s="712" t="str">
        <f t="shared" si="73"/>
        <v/>
      </c>
      <c r="N408" s="719"/>
      <c r="P408" s="714" t="str">
        <f t="shared" si="77"/>
        <v/>
      </c>
      <c r="Q408" s="715"/>
      <c r="R408" s="715" t="str">
        <f t="shared" si="77"/>
        <v/>
      </c>
      <c r="T408" s="728" t="str">
        <f t="shared" si="77"/>
        <v/>
      </c>
    </row>
    <row r="409" spans="1:20" ht="12.75" hidden="1" customHeight="1" x14ac:dyDescent="0.2">
      <c r="A409" s="707"/>
      <c r="B409" s="2" t="str">
        <f>IF(MuKu!B50=""," - ",MuKu!B50)</f>
        <v xml:space="preserve"> - </v>
      </c>
      <c r="C409" s="707"/>
      <c r="D409" s="714" t="str">
        <f>IF('[1]E-MuKu'!$H50="","",'[1]E-MuKu'!$H50)</f>
        <v/>
      </c>
      <c r="E409" s="715"/>
      <c r="F409" s="715"/>
      <c r="H409" s="728" t="str">
        <f>IF(MuKu!$H50="","",MuKu!$H50)</f>
        <v/>
      </c>
      <c r="I409" s="717" t="str">
        <f>IF(AND(P409="",T409=""),"",IF(T409=P409,"Richtig!",IF(T409="","Fehlt","Falsch")))</f>
        <v/>
      </c>
      <c r="J409" s="718" t="str">
        <f>IF(OR(B409="-",N409="",AND(P409="",T409="")),"-",IF(I409="Richtig!",1,IF(I409="Formel: OK",0.5,IF(OR(I409="Falsch",I409="Fehlt"),0,""))))</f>
        <v>-</v>
      </c>
      <c r="K409" s="711" t="str">
        <f t="shared" si="74"/>
        <v/>
      </c>
      <c r="L409" s="712" t="str">
        <f t="shared" si="73"/>
        <v/>
      </c>
      <c r="N409" s="719"/>
      <c r="P409" s="714" t="str">
        <f t="shared" si="77"/>
        <v/>
      </c>
      <c r="Q409" s="715"/>
      <c r="R409" s="715" t="str">
        <f t="shared" si="77"/>
        <v/>
      </c>
      <c r="T409" s="728" t="str">
        <f t="shared" si="77"/>
        <v/>
      </c>
    </row>
    <row r="410" spans="1:20" ht="12.75" x14ac:dyDescent="0.2">
      <c r="A410" s="707"/>
      <c r="B410" s="2" t="str">
        <f>IF(MuKu!B51=""," - ",MuKu!B51)</f>
        <v>DB inkl Förderungen für MUKUH</v>
      </c>
      <c r="C410" s="707"/>
      <c r="D410" s="720">
        <f>IF('[1]E-MuKu'!$H51="","",'[1]E-MuKu'!$H51)</f>
        <v>435.63300923233652</v>
      </c>
      <c r="E410" s="715"/>
      <c r="F410" s="721">
        <f>IF(OR(H404="",AND(H407="",H408="",H409="")),"-",H404+SUM(H407:H409))</f>
        <v>435.63300923233652</v>
      </c>
      <c r="H410" s="729">
        <f>IF(MuKu!$H51="","",MuKu!$H51)</f>
        <v>435.63300923233652</v>
      </c>
      <c r="I410" s="717" t="str">
        <f>IF(B410="-","",IF(T410=P410,"Richtig!",IF(AND(P410&lt;&gt;T410,R410=T410),"Formel: OK",IF(T410="","Fehlt","Falsch"))))</f>
        <v>Richtig!</v>
      </c>
      <c r="J410" s="718">
        <f>IF(OR(B410="-",N410="",AND(P410="",T410="")),"-",IF(I410="Richtig!",1,IF(I410="Formel: OK",0.5,IF(OR(I410="Falsch",I410="Fehlt"),0,""))))</f>
        <v>1</v>
      </c>
      <c r="K410" s="711" t="str">
        <f t="shared" si="74"/>
        <v>│</v>
      </c>
      <c r="L410" s="712">
        <f t="shared" si="73"/>
        <v>1</v>
      </c>
      <c r="N410" s="719" t="str">
        <f t="shared" si="72"/>
        <v>x</v>
      </c>
      <c r="P410" s="720">
        <f t="shared" si="77"/>
        <v>435.63301000000001</v>
      </c>
      <c r="Q410" s="715"/>
      <c r="R410" s="721">
        <f t="shared" si="77"/>
        <v>435.63301000000001</v>
      </c>
      <c r="T410" s="729">
        <f t="shared" si="77"/>
        <v>435.63301000000001</v>
      </c>
    </row>
    <row r="411" spans="1:20" ht="12.75" x14ac:dyDescent="0.2">
      <c r="A411" s="707"/>
      <c r="B411" s="707"/>
      <c r="C411" s="707"/>
      <c r="D411" s="708"/>
      <c r="H411" s="706"/>
      <c r="I411" s="710"/>
      <c r="J411" s="710"/>
      <c r="K411" s="711" t="str">
        <f t="shared" si="74"/>
        <v/>
      </c>
      <c r="L411" s="712" t="str">
        <f t="shared" si="73"/>
        <v/>
      </c>
      <c r="N411" s="725" t="str">
        <f t="shared" si="72"/>
        <v>x</v>
      </c>
      <c r="P411" s="708" t="str">
        <f t="shared" si="77"/>
        <v/>
      </c>
      <c r="R411" s="1" t="str">
        <f t="shared" si="77"/>
        <v/>
      </c>
      <c r="T411" s="706" t="str">
        <f t="shared" si="77"/>
        <v/>
      </c>
    </row>
    <row r="412" spans="1:20" ht="12.75" x14ac:dyDescent="0.2">
      <c r="A412" s="706" t="s">
        <v>404</v>
      </c>
      <c r="B412" s="706"/>
      <c r="C412" s="707"/>
      <c r="D412" s="708"/>
      <c r="H412" s="706"/>
      <c r="I412" s="710"/>
      <c r="J412" s="710"/>
      <c r="K412" s="711" t="str">
        <f t="shared" si="74"/>
        <v/>
      </c>
      <c r="L412" s="712" t="str">
        <f t="shared" si="73"/>
        <v/>
      </c>
      <c r="N412" s="695" t="str">
        <f t="shared" si="72"/>
        <v>x</v>
      </c>
      <c r="P412" s="708" t="str">
        <f t="shared" si="77"/>
        <v/>
      </c>
      <c r="R412" s="1" t="str">
        <f t="shared" si="77"/>
        <v/>
      </c>
      <c r="T412" s="706" t="str">
        <f t="shared" si="77"/>
        <v/>
      </c>
    </row>
    <row r="413" spans="1:20" ht="12.75" x14ac:dyDescent="0.2">
      <c r="A413" s="707"/>
      <c r="B413" s="2" t="str">
        <f>IF(MuKu!D57=""," - ",MuKu!D57)</f>
        <v>Arbeitszeit - gesamt</v>
      </c>
      <c r="C413" s="707"/>
      <c r="D413" s="714">
        <f>IF('[1]E-MuKu'!$E57="","",'[1]E-MuKu'!$E57)</f>
        <v>48</v>
      </c>
      <c r="E413" s="715"/>
      <c r="F413" s="715"/>
      <c r="H413" s="728">
        <f>IF(MuKu!$E57="","",MuKu!$E57)</f>
        <v>48</v>
      </c>
      <c r="I413" s="717" t="str">
        <f>IF(AND(P413="",T413=""),"",IF(T413=P413,"Richtig!",IF(T413="","Fehlt","Falsch")))</f>
        <v>Richtig!</v>
      </c>
      <c r="J413" s="718">
        <f>IF(OR(B413="-",N413="",AND(P413="",T413="")),"-",IF(I413="Richtig!",1,IF(I413="Formel: OK",0.5,IF(OR(I413="Falsch",I413="Fehlt"),0,""))))</f>
        <v>1</v>
      </c>
      <c r="K413" s="711" t="str">
        <f t="shared" si="74"/>
        <v>│</v>
      </c>
      <c r="L413" s="712">
        <f t="shared" si="73"/>
        <v>1</v>
      </c>
      <c r="N413" s="719" t="str">
        <f t="shared" si="72"/>
        <v>x</v>
      </c>
      <c r="P413" s="714">
        <f t="shared" si="77"/>
        <v>48</v>
      </c>
      <c r="Q413" s="715"/>
      <c r="R413" s="715" t="str">
        <f t="shared" si="77"/>
        <v/>
      </c>
      <c r="T413" s="728">
        <f t="shared" si="77"/>
        <v>48</v>
      </c>
    </row>
    <row r="414" spans="1:20" ht="12.75" x14ac:dyDescent="0.2">
      <c r="A414" s="707"/>
      <c r="B414" s="2" t="s">
        <v>3</v>
      </c>
      <c r="C414" s="707"/>
      <c r="D414" s="720">
        <f>IF('[1]E-MuKu'!$H58="","",'[1]E-MuKu'!$H58)</f>
        <v>9.0756876923403436</v>
      </c>
      <c r="E414" s="715"/>
      <c r="F414" s="721">
        <f>IF(OR(H410="",H413=""),"-",H410/H413)</f>
        <v>9.0756876923403436</v>
      </c>
      <c r="H414" s="729">
        <f>IF(MuKu!$H58="","",MuKu!$H58)</f>
        <v>9.0756876923403436</v>
      </c>
      <c r="I414" s="717" t="str">
        <f>IF(B414="-","",IF(T414=P414,"Richtig!",IF(AND(P414&lt;&gt;T414,R414=T414),"Formel: OK",IF(T414="","Fehlt","Falsch"))))</f>
        <v>Richtig!</v>
      </c>
      <c r="J414" s="718">
        <f>IF(OR(B414="-",N414="",AND(P414="",T414="")),"-",IF(I414="Richtig!",1,IF(I414="Formel: OK",0.5,IF(OR(I414="Falsch",I414="Fehlt"),0,""))))</f>
        <v>1</v>
      </c>
      <c r="K414" s="711" t="str">
        <f t="shared" si="74"/>
        <v>│</v>
      </c>
      <c r="L414" s="712">
        <f t="shared" si="73"/>
        <v>1</v>
      </c>
      <c r="N414" s="719" t="str">
        <f t="shared" si="72"/>
        <v>x</v>
      </c>
      <c r="P414" s="720">
        <f t="shared" si="77"/>
        <v>9.0756899999999998</v>
      </c>
      <c r="Q414" s="715"/>
      <c r="R414" s="721">
        <f t="shared" si="77"/>
        <v>9.0756899999999998</v>
      </c>
      <c r="T414" s="729">
        <f t="shared" si="77"/>
        <v>9.0756899999999998</v>
      </c>
    </row>
    <row r="415" spans="1:20" ht="12.75" x14ac:dyDescent="0.2">
      <c r="A415" s="707"/>
      <c r="C415" s="707"/>
      <c r="D415" s="708"/>
      <c r="H415" s="706"/>
      <c r="I415" s="710"/>
      <c r="J415" s="710"/>
      <c r="K415" s="711" t="str">
        <f t="shared" si="74"/>
        <v/>
      </c>
      <c r="L415" s="712" t="str">
        <f t="shared" si="73"/>
        <v/>
      </c>
      <c r="N415" s="725" t="str">
        <f t="shared" si="72"/>
        <v>x</v>
      </c>
      <c r="P415" s="708" t="str">
        <f t="shared" si="77"/>
        <v/>
      </c>
      <c r="R415" s="1" t="str">
        <f t="shared" si="77"/>
        <v/>
      </c>
      <c r="T415" s="706" t="str">
        <f t="shared" si="77"/>
        <v/>
      </c>
    </row>
    <row r="416" spans="1:20" ht="22.5" x14ac:dyDescent="0.2">
      <c r="A416" s="698" t="str">
        <f>"WD "&amp;IF(WD.1Dgl!B2="","",WD.1Dgl!B2)</f>
        <v>WD Dauergrünland 3-schnittig</v>
      </c>
      <c r="B416" s="699"/>
      <c r="C416" s="700"/>
      <c r="D416" s="701" t="s">
        <v>0</v>
      </c>
      <c r="E416" s="701"/>
      <c r="F416" s="702" t="s">
        <v>363</v>
      </c>
      <c r="G416" s="700"/>
      <c r="H416" s="702" t="s">
        <v>364</v>
      </c>
      <c r="I416" s="703" t="str">
        <f>"Fehler"</f>
        <v>Fehler</v>
      </c>
      <c r="J416" s="704" t="s">
        <v>365</v>
      </c>
      <c r="K416" s="704"/>
      <c r="L416" s="704"/>
      <c r="N416" s="705" t="str">
        <f>IF($L$1="","",$L$1)</f>
        <v>x</v>
      </c>
      <c r="P416" s="701" t="str">
        <f t="shared" si="77"/>
        <v>Ergebnis</v>
      </c>
      <c r="Q416" s="701"/>
      <c r="R416" s="702" t="str">
        <f t="shared" si="77"/>
        <v>Formel-
prüfung</v>
      </c>
      <c r="S416" s="700"/>
      <c r="T416" s="702" t="str">
        <f t="shared" si="77"/>
        <v>Deine Be-rechnung</v>
      </c>
    </row>
    <row r="417" spans="1:20" ht="12.75" x14ac:dyDescent="0.2">
      <c r="A417" s="706" t="s">
        <v>399</v>
      </c>
      <c r="B417" s="706" t="s">
        <v>405</v>
      </c>
      <c r="C417" s="731"/>
      <c r="D417" s="708"/>
      <c r="H417" s="709"/>
      <c r="I417" s="710"/>
      <c r="J417" s="710"/>
      <c r="K417" s="711" t="str">
        <f t="shared" si="74"/>
        <v/>
      </c>
      <c r="L417" s="712" t="str">
        <f t="shared" ref="L417:L448" si="78">IF(OR(B417="-",N417="",AND(P417="",T417="")),"",1)</f>
        <v/>
      </c>
      <c r="N417" s="695" t="str">
        <f>IF($L$1="","",$L$1)</f>
        <v>x</v>
      </c>
      <c r="P417" s="708" t="str">
        <f t="shared" si="77"/>
        <v/>
      </c>
      <c r="R417" s="1" t="str">
        <f t="shared" si="77"/>
        <v/>
      </c>
      <c r="T417" s="709" t="str">
        <f t="shared" si="77"/>
        <v/>
      </c>
    </row>
    <row r="418" spans="1:20" ht="12.75" hidden="1" customHeight="1" x14ac:dyDescent="0.2">
      <c r="B418" s="713" t="str">
        <f>IF(WD.1Dgl!C10="","-",WD.1Dgl!$B$9&amp;" - "&amp;WD.1Dgl!C10)</f>
        <v>Laden - Allradtraktor</v>
      </c>
      <c r="C418" s="731" t="str">
        <f>IF(WD.1Dgl!$C$5="","",WD.1Dgl!$C$5)</f>
        <v>Festmist</v>
      </c>
      <c r="D418" s="714">
        <f>IF('[1]E-WD.ILeist'!$F10="","",'[1]E-WD.ILeist'!$F10)</f>
        <v>0.2</v>
      </c>
      <c r="E418" s="715"/>
      <c r="F418" s="715"/>
      <c r="H418" s="716">
        <f>IF(WD.1Dgl!$F10="","",WD.1Dgl!$F10)</f>
        <v>0.2</v>
      </c>
      <c r="I418" s="717" t="str">
        <f t="shared" ref="I418:I423" si="79">IF(AND(P418="",T418=""),"",IF(T418=P418,"Richtig!",IF(T418="","Fehlt","Falsch")))</f>
        <v>Richtig!</v>
      </c>
      <c r="J418" s="718" t="str">
        <f t="shared" ref="J418:J423" si="80">IF(OR(B418="-",N418="",AND(P418="",T418="")),"-",IF(I418="Richtig!",1,IF(I418="Formel: OK",0.5,IF(OR(I418="Falsch",I418="Fehlt"),0,""))))</f>
        <v>-</v>
      </c>
      <c r="K418" s="711" t="str">
        <f t="shared" si="74"/>
        <v/>
      </c>
      <c r="L418" s="712" t="str">
        <f t="shared" si="78"/>
        <v/>
      </c>
      <c r="N418" s="719"/>
      <c r="P418" s="714">
        <f t="shared" si="77"/>
        <v>0.2</v>
      </c>
      <c r="Q418" s="715"/>
      <c r="R418" s="715" t="str">
        <f t="shared" si="77"/>
        <v/>
      </c>
      <c r="T418" s="716">
        <f t="shared" si="77"/>
        <v>0.2</v>
      </c>
    </row>
    <row r="419" spans="1:20" ht="12.75" hidden="1" customHeight="1" x14ac:dyDescent="0.2">
      <c r="B419" s="713" t="str">
        <f>IF(WD.1Dgl!C11="","-",WD.1Dgl!$B$9&amp;" - "&amp;WD.1Dgl!C11)</f>
        <v>Laden - Frontlader</v>
      </c>
      <c r="C419" s="731" t="str">
        <f>IF(WD.1Dgl!$C$5="","",WD.1Dgl!$C$5)</f>
        <v>Festmist</v>
      </c>
      <c r="D419" s="714">
        <f>IF('[1]E-WD.ILeist'!$F11="","",'[1]E-WD.ILeist'!$F11)</f>
        <v>0.2</v>
      </c>
      <c r="E419" s="715"/>
      <c r="F419" s="715"/>
      <c r="H419" s="716">
        <f>IF(WD.1Dgl!$F11="","",WD.1Dgl!$F11)</f>
        <v>0.2</v>
      </c>
      <c r="I419" s="717" t="str">
        <f t="shared" si="79"/>
        <v>Richtig!</v>
      </c>
      <c r="J419" s="718" t="str">
        <f t="shared" si="80"/>
        <v>-</v>
      </c>
      <c r="K419" s="711" t="str">
        <f t="shared" si="74"/>
        <v/>
      </c>
      <c r="L419" s="712" t="str">
        <f t="shared" si="78"/>
        <v/>
      </c>
      <c r="N419" s="719"/>
      <c r="P419" s="714">
        <f t="shared" si="77"/>
        <v>0.2</v>
      </c>
      <c r="Q419" s="715"/>
      <c r="R419" s="715" t="str">
        <f t="shared" si="77"/>
        <v/>
      </c>
      <c r="T419" s="716">
        <f t="shared" si="77"/>
        <v>0.2</v>
      </c>
    </row>
    <row r="420" spans="1:20" ht="12.75" x14ac:dyDescent="0.2">
      <c r="B420" s="713" t="str">
        <f>IF(WD.1Dgl!C13="","-",WD.1Dgl!$B$12&amp;" - "&amp;WD.1Dgl!C13)</f>
        <v>Transport - Allradtraktor</v>
      </c>
      <c r="C420" s="731" t="str">
        <f>IF(WD.1Dgl!$C$5="","",WD.1Dgl!$C$5)</f>
        <v>Festmist</v>
      </c>
      <c r="D420" s="714">
        <f>IF('[1]E-WD.ILeist'!$F13="","",'[1]E-WD.ILeist'!$F13)</f>
        <v>1.0166666666666666</v>
      </c>
      <c r="E420" s="715"/>
      <c r="F420" s="715"/>
      <c r="H420" s="716">
        <f>IF(WD.1Dgl!$F13="","",WD.1Dgl!$F13)</f>
        <v>1.0166666666666666</v>
      </c>
      <c r="I420" s="717" t="str">
        <f t="shared" si="79"/>
        <v>Richtig!</v>
      </c>
      <c r="J420" s="718">
        <f t="shared" si="80"/>
        <v>1</v>
      </c>
      <c r="K420" s="711" t="str">
        <f t="shared" si="74"/>
        <v>│</v>
      </c>
      <c r="L420" s="712">
        <f t="shared" si="78"/>
        <v>1</v>
      </c>
      <c r="N420" s="719" t="str">
        <f>IF($L$1="","",$L$1)</f>
        <v>x</v>
      </c>
      <c r="P420" s="714">
        <f t="shared" si="77"/>
        <v>1.01667</v>
      </c>
      <c r="Q420" s="715"/>
      <c r="R420" s="715" t="str">
        <f t="shared" si="77"/>
        <v/>
      </c>
      <c r="T420" s="716">
        <f t="shared" si="77"/>
        <v>1.01667</v>
      </c>
    </row>
    <row r="421" spans="1:20" ht="12.75" x14ac:dyDescent="0.2">
      <c r="B421" s="713" t="str">
        <f>IF(WD.1Dgl!C14="","-",WD.1Dgl!$B$12&amp;" - "&amp;WD.1Dgl!C14)</f>
        <v>Transport - Miststreuer</v>
      </c>
      <c r="C421" s="731" t="str">
        <f>IF(WD.1Dgl!$C$5="","",WD.1Dgl!$C$5)</f>
        <v>Festmist</v>
      </c>
      <c r="D421" s="714">
        <f>IF('[1]E-WD.ILeist'!$F14="","",'[1]E-WD.ILeist'!$F14)</f>
        <v>1.0166666666666666</v>
      </c>
      <c r="E421" s="715"/>
      <c r="F421" s="715"/>
      <c r="H421" s="716">
        <f>IF(WD.1Dgl!$F14="","",WD.1Dgl!$F14)</f>
        <v>1.0166666666666666</v>
      </c>
      <c r="I421" s="717" t="str">
        <f t="shared" si="79"/>
        <v>Richtig!</v>
      </c>
      <c r="J421" s="718">
        <f t="shared" si="80"/>
        <v>1</v>
      </c>
      <c r="K421" s="711" t="str">
        <f t="shared" si="74"/>
        <v>│</v>
      </c>
      <c r="L421" s="712">
        <f t="shared" si="78"/>
        <v>1</v>
      </c>
      <c r="N421" s="719" t="str">
        <f>IF($L$1="","",$L$1)</f>
        <v>x</v>
      </c>
      <c r="P421" s="714">
        <f t="shared" si="77"/>
        <v>1.01667</v>
      </c>
      <c r="Q421" s="715"/>
      <c r="R421" s="715" t="str">
        <f t="shared" si="77"/>
        <v/>
      </c>
      <c r="T421" s="716">
        <f t="shared" si="77"/>
        <v>1.01667</v>
      </c>
    </row>
    <row r="422" spans="1:20" ht="12.75" hidden="1" customHeight="1" x14ac:dyDescent="0.2">
      <c r="B422" s="713" t="str">
        <f>IF(WD.1Dgl!C16="","-",WD.1Dgl!$B$15&amp;" - "&amp;WD.1Dgl!C16)</f>
        <v>Ausbringung - Allradtraktor</v>
      </c>
      <c r="C422" s="731" t="str">
        <f>IF(WD.1Dgl!$C$5="","",WD.1Dgl!$C$5)</f>
        <v>Festmist</v>
      </c>
      <c r="D422" s="714">
        <f>IF('[1]E-WD.ILeist'!$F16="","",'[1]E-WD.ILeist'!$F16)</f>
        <v>0.4</v>
      </c>
      <c r="E422" s="715"/>
      <c r="F422" s="715"/>
      <c r="H422" s="716">
        <f>IF(WD.1Dgl!$F16="","",WD.1Dgl!$F16)</f>
        <v>0.4</v>
      </c>
      <c r="I422" s="717" t="str">
        <f t="shared" si="79"/>
        <v>Richtig!</v>
      </c>
      <c r="J422" s="718" t="str">
        <f t="shared" si="80"/>
        <v>-</v>
      </c>
      <c r="K422" s="711" t="str">
        <f t="shared" si="74"/>
        <v/>
      </c>
      <c r="L422" s="712" t="str">
        <f t="shared" si="78"/>
        <v/>
      </c>
      <c r="N422" s="719"/>
      <c r="P422" s="714">
        <f t="shared" si="77"/>
        <v>0.4</v>
      </c>
      <c r="Q422" s="715"/>
      <c r="R422" s="715" t="str">
        <f t="shared" si="77"/>
        <v/>
      </c>
      <c r="T422" s="716">
        <f t="shared" si="77"/>
        <v>0.4</v>
      </c>
    </row>
    <row r="423" spans="1:20" ht="12.75" hidden="1" customHeight="1" x14ac:dyDescent="0.2">
      <c r="B423" s="713" t="str">
        <f>IF(WD.1Dgl!C17="","-",WD.1Dgl!$B$15&amp;" - "&amp;WD.1Dgl!C17)</f>
        <v>Ausbringung - Miststreuer</v>
      </c>
      <c r="C423" s="731" t="str">
        <f>IF(WD.1Dgl!$C$5="","",WD.1Dgl!$C$5)</f>
        <v>Festmist</v>
      </c>
      <c r="D423" s="714">
        <f>IF('[1]E-WD.ILeist'!$F17="","",'[1]E-WD.ILeist'!$F17)</f>
        <v>0.4</v>
      </c>
      <c r="E423" s="715"/>
      <c r="F423" s="715"/>
      <c r="H423" s="716">
        <f>IF(WD.1Dgl!$F17="","",WD.1Dgl!$F17)</f>
        <v>0.4</v>
      </c>
      <c r="I423" s="717" t="str">
        <f t="shared" si="79"/>
        <v>Richtig!</v>
      </c>
      <c r="J423" s="718" t="str">
        <f t="shared" si="80"/>
        <v>-</v>
      </c>
      <c r="K423" s="711" t="str">
        <f t="shared" si="74"/>
        <v/>
      </c>
      <c r="L423" s="712" t="str">
        <f t="shared" si="78"/>
        <v/>
      </c>
      <c r="N423" s="719"/>
      <c r="P423" s="714">
        <f t="shared" si="77"/>
        <v>0.4</v>
      </c>
      <c r="Q423" s="715"/>
      <c r="R423" s="715" t="str">
        <f t="shared" si="77"/>
        <v/>
      </c>
      <c r="T423" s="716">
        <f t="shared" si="77"/>
        <v>0.4</v>
      </c>
    </row>
    <row r="424" spans="1:20" ht="12.75" x14ac:dyDescent="0.2">
      <c r="A424" s="707"/>
      <c r="B424" s="707"/>
      <c r="C424" s="707"/>
      <c r="D424" s="708"/>
      <c r="H424" s="706"/>
      <c r="I424" s="710"/>
      <c r="J424" s="710"/>
      <c r="K424" s="711" t="str">
        <f t="shared" si="74"/>
        <v/>
      </c>
      <c r="L424" s="712" t="str">
        <f t="shared" si="78"/>
        <v/>
      </c>
      <c r="N424" s="725" t="str">
        <f>IF($L$1="","",$L$1)</f>
        <v>x</v>
      </c>
      <c r="P424" s="708" t="str">
        <f t="shared" si="77"/>
        <v/>
      </c>
      <c r="R424" s="1" t="str">
        <f t="shared" si="77"/>
        <v/>
      </c>
      <c r="T424" s="706" t="str">
        <f t="shared" si="77"/>
        <v/>
      </c>
    </row>
    <row r="425" spans="1:20" ht="12.75" x14ac:dyDescent="0.2">
      <c r="A425" s="706">
        <v>2</v>
      </c>
      <c r="B425" s="706" t="s">
        <v>406</v>
      </c>
      <c r="C425" s="707"/>
      <c r="D425" s="708"/>
      <c r="H425" s="706"/>
      <c r="I425" s="710"/>
      <c r="J425" s="710"/>
      <c r="K425" s="711" t="str">
        <f t="shared" si="74"/>
        <v/>
      </c>
      <c r="L425" s="712" t="str">
        <f t="shared" si="78"/>
        <v/>
      </c>
      <c r="N425" s="695" t="str">
        <f>IF($L$1="","",$L$1)</f>
        <v>x</v>
      </c>
      <c r="P425" s="708" t="str">
        <f t="shared" si="77"/>
        <v/>
      </c>
      <c r="R425" s="1" t="str">
        <f t="shared" si="77"/>
        <v/>
      </c>
      <c r="T425" s="706" t="str">
        <f t="shared" si="77"/>
        <v/>
      </c>
    </row>
    <row r="426" spans="1:20" ht="12.75" hidden="1" customHeight="1" x14ac:dyDescent="0.2">
      <c r="B426" s="713" t="str">
        <f>IF(WD.1Dgl!C10="","-",WD.1Dgl!$B$9&amp;" - "&amp;WD.1Dgl!C10)</f>
        <v>Laden - Allradtraktor</v>
      </c>
      <c r="C426" s="731" t="str">
        <f>IF(WD.1Dgl!$C$5="","",WD.1Dgl!$C$5)</f>
        <v>Festmist</v>
      </c>
      <c r="D426" s="720">
        <f>IF('[1]E-WD.ILeist'!$G10="","",'[1]E-WD.ILeist'!$G10)</f>
        <v>0.8</v>
      </c>
      <c r="E426" s="715"/>
      <c r="F426" s="721">
        <f>IF(OR(H418="",WD.1Dgl!$H$5=""),"-",H418*100/WD.1Dgl!$H$5)</f>
        <v>0.8</v>
      </c>
      <c r="H426" s="722">
        <f>IF(WD.1Dgl!$G10="","",WD.1Dgl!$G10)</f>
        <v>0.8</v>
      </c>
      <c r="I426" s="717" t="str">
        <f t="shared" ref="I426:I431" si="81">IF(OR(B426="-",AND(P426="",T426="")),"",IF(T426=P426,"Richtig!",IF(AND(P426&lt;&gt;T426,R426=T426),"Formel: OK",IF(T426="","Fehlt","Falsch"))))</f>
        <v>Richtig!</v>
      </c>
      <c r="J426" s="718" t="str">
        <f t="shared" ref="J426:J431" si="82">IF(OR(B426="-",N426="",AND(P426="",T426="")),"-",IF(I426="Richtig!",1,IF(I426="Formel: OK",0.5,IF(OR(I426="Falsch",I426="Fehlt"),0,""))))</f>
        <v>-</v>
      </c>
      <c r="K426" s="711" t="str">
        <f t="shared" si="74"/>
        <v/>
      </c>
      <c r="L426" s="712" t="str">
        <f t="shared" si="78"/>
        <v/>
      </c>
      <c r="N426" s="719"/>
      <c r="P426" s="720">
        <f t="shared" si="77"/>
        <v>0.8</v>
      </c>
      <c r="Q426" s="715"/>
      <c r="R426" s="721">
        <f t="shared" si="77"/>
        <v>0.8</v>
      </c>
      <c r="T426" s="722">
        <f t="shared" si="77"/>
        <v>0.8</v>
      </c>
    </row>
    <row r="427" spans="1:20" ht="12.75" hidden="1" customHeight="1" x14ac:dyDescent="0.2">
      <c r="B427" s="713" t="str">
        <f>IF(WD.1Dgl!C11="","-",WD.1Dgl!$B$9&amp;" - "&amp;WD.1Dgl!C11)</f>
        <v>Laden - Frontlader</v>
      </c>
      <c r="C427" s="731" t="str">
        <f>IF(WD.1Dgl!$C$5="","",WD.1Dgl!$C$5)</f>
        <v>Festmist</v>
      </c>
      <c r="D427" s="720">
        <f>IF('[1]E-WD.ILeist'!$G11="","",'[1]E-WD.ILeist'!$G11)</f>
        <v>0.8</v>
      </c>
      <c r="E427" s="715"/>
      <c r="F427" s="721">
        <f>IF(OR(H419="",WD.1Dgl!$H$5=""),"-",H419*100/WD.1Dgl!$H$5)</f>
        <v>0.8</v>
      </c>
      <c r="H427" s="722">
        <f>IF(WD.1Dgl!$G11="","",WD.1Dgl!$G11)</f>
        <v>0.8</v>
      </c>
      <c r="I427" s="717" t="str">
        <f t="shared" si="81"/>
        <v>Richtig!</v>
      </c>
      <c r="J427" s="718" t="str">
        <f t="shared" si="82"/>
        <v>-</v>
      </c>
      <c r="K427" s="711" t="str">
        <f t="shared" si="74"/>
        <v/>
      </c>
      <c r="L427" s="712" t="str">
        <f t="shared" si="78"/>
        <v/>
      </c>
      <c r="N427" s="719"/>
      <c r="P427" s="720">
        <f t="shared" si="77"/>
        <v>0.8</v>
      </c>
      <c r="Q427" s="715"/>
      <c r="R427" s="721">
        <f t="shared" si="77"/>
        <v>0.8</v>
      </c>
      <c r="T427" s="722">
        <f t="shared" si="77"/>
        <v>0.8</v>
      </c>
    </row>
    <row r="428" spans="1:20" ht="12.75" x14ac:dyDescent="0.2">
      <c r="B428" s="713" t="str">
        <f>IF(WD.1Dgl!C13="","-",WD.1Dgl!$B$12&amp;" - "&amp;WD.1Dgl!C13)</f>
        <v>Transport - Allradtraktor</v>
      </c>
      <c r="C428" s="731" t="str">
        <f>IF(WD.1Dgl!$C$5="","",WD.1Dgl!$C$5)</f>
        <v>Festmist</v>
      </c>
      <c r="D428" s="720">
        <f>IF('[1]E-WD.ILeist'!$G13="","",'[1]E-WD.ILeist'!$G13)</f>
        <v>4.0666666666666664</v>
      </c>
      <c r="E428" s="715"/>
      <c r="F428" s="721">
        <f>IF(OR(H420="",WD.1Dgl!$H$5=""),"-",H420*100/WD.1Dgl!$H$5)</f>
        <v>4.0666666666666664</v>
      </c>
      <c r="H428" s="722">
        <f>IF(WD.1Dgl!$G13="","",WD.1Dgl!$G13)</f>
        <v>4.0666666666666664</v>
      </c>
      <c r="I428" s="717" t="str">
        <f t="shared" si="81"/>
        <v>Richtig!</v>
      </c>
      <c r="J428" s="718">
        <f t="shared" si="82"/>
        <v>1</v>
      </c>
      <c r="K428" s="711" t="str">
        <f t="shared" si="74"/>
        <v>│</v>
      </c>
      <c r="L428" s="712">
        <f t="shared" si="78"/>
        <v>1</v>
      </c>
      <c r="N428" s="719" t="str">
        <f>IF($L$1="","",$L$1)</f>
        <v>x</v>
      </c>
      <c r="P428" s="720">
        <f t="shared" si="77"/>
        <v>4.0666700000000002</v>
      </c>
      <c r="Q428" s="715"/>
      <c r="R428" s="721">
        <f t="shared" si="77"/>
        <v>4.0666700000000002</v>
      </c>
      <c r="T428" s="722">
        <f t="shared" si="77"/>
        <v>4.0666700000000002</v>
      </c>
    </row>
    <row r="429" spans="1:20" ht="12.75" x14ac:dyDescent="0.2">
      <c r="B429" s="713" t="str">
        <f>IF(WD.1Dgl!C14="","-",WD.1Dgl!$B$12&amp;" - "&amp;WD.1Dgl!C14)</f>
        <v>Transport - Miststreuer</v>
      </c>
      <c r="C429" s="731" t="str">
        <f>IF(WD.1Dgl!$C$5="","",WD.1Dgl!$C$5)</f>
        <v>Festmist</v>
      </c>
      <c r="D429" s="720">
        <f>IF('[1]E-WD.ILeist'!$G14="","",'[1]E-WD.ILeist'!$G14)</f>
        <v>4.0666666666666664</v>
      </c>
      <c r="E429" s="715"/>
      <c r="F429" s="721">
        <f>IF(OR(H421="",WD.1Dgl!$H$5=""),"-",H421*100/WD.1Dgl!$H$5)</f>
        <v>4.0666666666666664</v>
      </c>
      <c r="H429" s="722">
        <f>IF(WD.1Dgl!$G14="","",WD.1Dgl!$G14)</f>
        <v>4.0666666666666664</v>
      </c>
      <c r="I429" s="717" t="str">
        <f t="shared" si="81"/>
        <v>Richtig!</v>
      </c>
      <c r="J429" s="718">
        <f t="shared" si="82"/>
        <v>1</v>
      </c>
      <c r="K429" s="711" t="str">
        <f t="shared" si="74"/>
        <v>│</v>
      </c>
      <c r="L429" s="712">
        <f t="shared" si="78"/>
        <v>1</v>
      </c>
      <c r="N429" s="719" t="str">
        <f>IF($L$1="","",$L$1)</f>
        <v>x</v>
      </c>
      <c r="P429" s="720">
        <f t="shared" si="77"/>
        <v>4.0666700000000002</v>
      </c>
      <c r="Q429" s="715"/>
      <c r="R429" s="721">
        <f t="shared" si="77"/>
        <v>4.0666700000000002</v>
      </c>
      <c r="T429" s="722">
        <f t="shared" si="77"/>
        <v>4.0666700000000002</v>
      </c>
    </row>
    <row r="430" spans="1:20" ht="12.75" hidden="1" customHeight="1" x14ac:dyDescent="0.2">
      <c r="B430" s="713" t="str">
        <f>IF(WD.1Dgl!C16="","-",WD.1Dgl!$B$15&amp;" - "&amp;WD.1Dgl!C16)</f>
        <v>Ausbringung - Allradtraktor</v>
      </c>
      <c r="C430" s="731" t="str">
        <f>IF(WD.1Dgl!$C$5="","",WD.1Dgl!$C$5)</f>
        <v>Festmist</v>
      </c>
      <c r="D430" s="720">
        <f>IF('[1]E-WD.ILeist'!$G16="","",'[1]E-WD.ILeist'!$G16)</f>
        <v>1.6</v>
      </c>
      <c r="E430" s="715"/>
      <c r="F430" s="721">
        <f>IF(OR(H422="",WD.1Dgl!$H$5=""),"-",H422*100/WD.1Dgl!$H$5)</f>
        <v>1.6</v>
      </c>
      <c r="H430" s="722">
        <f>IF(WD.1Dgl!$G16="","",WD.1Dgl!$G16)</f>
        <v>1.6</v>
      </c>
      <c r="I430" s="717" t="str">
        <f t="shared" si="81"/>
        <v>Richtig!</v>
      </c>
      <c r="J430" s="718" t="str">
        <f t="shared" si="82"/>
        <v>-</v>
      </c>
      <c r="K430" s="711" t="str">
        <f t="shared" si="74"/>
        <v/>
      </c>
      <c r="L430" s="712" t="str">
        <f t="shared" si="78"/>
        <v/>
      </c>
      <c r="N430" s="719"/>
      <c r="P430" s="720">
        <f t="shared" si="77"/>
        <v>1.6</v>
      </c>
      <c r="Q430" s="715"/>
      <c r="R430" s="721">
        <f t="shared" si="77"/>
        <v>1.6</v>
      </c>
      <c r="T430" s="722">
        <f t="shared" si="77"/>
        <v>1.6</v>
      </c>
    </row>
    <row r="431" spans="1:20" ht="12.75" hidden="1" customHeight="1" x14ac:dyDescent="0.2">
      <c r="B431" s="713" t="str">
        <f>IF(WD.1Dgl!C17="","-",WD.1Dgl!$B$15&amp;" - "&amp;WD.1Dgl!C17)</f>
        <v>Ausbringung - Miststreuer</v>
      </c>
      <c r="C431" s="731" t="str">
        <f>IF(WD.1Dgl!$C$5="","",WD.1Dgl!$C$5)</f>
        <v>Festmist</v>
      </c>
      <c r="D431" s="720">
        <f>IF('[1]E-WD.ILeist'!$G17="","",'[1]E-WD.ILeist'!$G17)</f>
        <v>1.6</v>
      </c>
      <c r="E431" s="715"/>
      <c r="F431" s="721">
        <f>IF(OR(H423="",WD.1Dgl!$H$5=""),"-",H423*100/WD.1Dgl!$H$5)</f>
        <v>1.6</v>
      </c>
      <c r="H431" s="722">
        <f>IF(WD.1Dgl!$G17="","",WD.1Dgl!$G17)</f>
        <v>1.6</v>
      </c>
      <c r="I431" s="717" t="str">
        <f t="shared" si="81"/>
        <v>Richtig!</v>
      </c>
      <c r="J431" s="718" t="str">
        <f t="shared" si="82"/>
        <v>-</v>
      </c>
      <c r="K431" s="711" t="str">
        <f t="shared" si="74"/>
        <v/>
      </c>
      <c r="L431" s="712" t="str">
        <f t="shared" si="78"/>
        <v/>
      </c>
      <c r="N431" s="719"/>
      <c r="P431" s="720">
        <f t="shared" si="77"/>
        <v>1.6</v>
      </c>
      <c r="Q431" s="715"/>
      <c r="R431" s="721">
        <f t="shared" si="77"/>
        <v>1.6</v>
      </c>
      <c r="T431" s="722">
        <f t="shared" si="77"/>
        <v>1.6</v>
      </c>
    </row>
    <row r="432" spans="1:20" ht="12.75" x14ac:dyDescent="0.2">
      <c r="A432" s="707"/>
      <c r="B432" s="707"/>
      <c r="C432" s="707"/>
      <c r="D432" s="708"/>
      <c r="H432" s="706"/>
      <c r="I432" s="710"/>
      <c r="J432" s="710"/>
      <c r="K432" s="711" t="str">
        <f t="shared" si="74"/>
        <v/>
      </c>
      <c r="L432" s="712" t="str">
        <f t="shared" si="78"/>
        <v/>
      </c>
      <c r="N432" s="725" t="str">
        <f>IF($L$1="","",$L$1)</f>
        <v>x</v>
      </c>
      <c r="P432" s="708" t="str">
        <f t="shared" si="77"/>
        <v/>
      </c>
      <c r="R432" s="1" t="str">
        <f t="shared" si="77"/>
        <v/>
      </c>
      <c r="T432" s="706" t="str">
        <f t="shared" si="77"/>
        <v/>
      </c>
    </row>
    <row r="433" spans="1:20" ht="12.75" x14ac:dyDescent="0.2">
      <c r="A433" s="706" t="s">
        <v>370</v>
      </c>
      <c r="B433" s="706" t="s">
        <v>407</v>
      </c>
      <c r="C433" s="707"/>
      <c r="D433" s="708"/>
      <c r="H433" s="706"/>
      <c r="I433" s="710"/>
      <c r="J433" s="710"/>
      <c r="K433" s="711" t="str">
        <f t="shared" si="74"/>
        <v/>
      </c>
      <c r="L433" s="712" t="str">
        <f t="shared" si="78"/>
        <v/>
      </c>
      <c r="N433" s="695" t="str">
        <f>IF($L$1="","",$L$1)</f>
        <v>x</v>
      </c>
      <c r="P433" s="708" t="str">
        <f t="shared" si="77"/>
        <v/>
      </c>
      <c r="R433" s="1" t="str">
        <f t="shared" si="77"/>
        <v/>
      </c>
      <c r="T433" s="706" t="str">
        <f t="shared" si="77"/>
        <v/>
      </c>
    </row>
    <row r="434" spans="1:20" ht="12.75" hidden="1" customHeight="1" x14ac:dyDescent="0.2">
      <c r="A434" s="706"/>
      <c r="B434" s="713" t="str">
        <f>IF(WD.1Dgl!C10="","-",WD.1Dgl!$B$9&amp;" - "&amp;WD.1Dgl!C10)</f>
        <v>Laden - Allradtraktor</v>
      </c>
      <c r="C434" s="731" t="str">
        <f>IF(WD.1Dgl!$C$5="","",WD.1Dgl!$C$5)</f>
        <v>Festmist</v>
      </c>
      <c r="D434" s="720">
        <f>IF('[1]E-WD.ILeist'!$I10="","",'[1]E-WD.ILeist'!$I10)</f>
        <v>8.9296000000000006</v>
      </c>
      <c r="E434" s="715"/>
      <c r="F434" s="721">
        <f>IF(OR(H426="",WD.1Dgl!H10=""),"-",H426*WD.1Dgl!H10)</f>
        <v>8.9296000000000006</v>
      </c>
      <c r="H434" s="722">
        <f>IF(WD.1Dgl!$I10="","",WD.1Dgl!$I10)</f>
        <v>8.9296000000000006</v>
      </c>
      <c r="I434" s="717" t="str">
        <f t="shared" ref="I434:I445" si="83">IF(OR(B434="-",AND(P434="",T434="")),"",IF(T434=P434,"Richtig!",IF(AND(P434&lt;&gt;T434,R434=T434),"Formel: OK",IF(T434="","Fehlt","Falsch"))))</f>
        <v>Richtig!</v>
      </c>
      <c r="J434" s="718" t="str">
        <f t="shared" ref="J434:J445" si="84">IF(OR(B434="-",N434="",AND(P434="",T434="")),"-",IF(I434="Richtig!",1,IF(I434="Formel: OK",0.5,IF(OR(I434="Falsch",I434="Fehlt"),0,""))))</f>
        <v>-</v>
      </c>
      <c r="K434" s="711" t="str">
        <f t="shared" si="74"/>
        <v/>
      </c>
      <c r="L434" s="712" t="str">
        <f t="shared" si="78"/>
        <v/>
      </c>
      <c r="N434" s="719"/>
      <c r="P434" s="720">
        <f t="shared" si="77"/>
        <v>8.9296000000000006</v>
      </c>
      <c r="Q434" s="715"/>
      <c r="R434" s="721">
        <f t="shared" si="77"/>
        <v>8.9296000000000006</v>
      </c>
      <c r="T434" s="722">
        <f t="shared" si="77"/>
        <v>8.9296000000000006</v>
      </c>
    </row>
    <row r="435" spans="1:20" ht="12.75" hidden="1" customHeight="1" x14ac:dyDescent="0.2">
      <c r="A435" s="706"/>
      <c r="B435" s="713" t="str">
        <f>IF(WD.1Dgl!C11="","-",WD.1Dgl!$B$9&amp;" - "&amp;WD.1Dgl!C11)</f>
        <v>Laden - Frontlader</v>
      </c>
      <c r="C435" s="731" t="str">
        <f>IF(WD.1Dgl!$C$5="","",WD.1Dgl!$C$5)</f>
        <v>Festmist</v>
      </c>
      <c r="D435" s="720">
        <f>IF('[1]E-WD.ILeist'!$I11="","",'[1]E-WD.ILeist'!$I11)</f>
        <v>0.4</v>
      </c>
      <c r="E435" s="715"/>
      <c r="F435" s="721">
        <f>IF(OR(H427="",WD.1Dgl!H11=""),"-",H427*WD.1Dgl!H11)</f>
        <v>0.4</v>
      </c>
      <c r="H435" s="722">
        <f>IF(WD.1Dgl!$I11="","",WD.1Dgl!$I11)</f>
        <v>0.4</v>
      </c>
      <c r="I435" s="717" t="str">
        <f t="shared" si="83"/>
        <v>Richtig!</v>
      </c>
      <c r="J435" s="718" t="str">
        <f t="shared" si="84"/>
        <v>-</v>
      </c>
      <c r="K435" s="711" t="str">
        <f t="shared" si="74"/>
        <v/>
      </c>
      <c r="L435" s="712" t="str">
        <f t="shared" si="78"/>
        <v/>
      </c>
      <c r="N435" s="719"/>
      <c r="P435" s="720">
        <f t="shared" si="77"/>
        <v>0.4</v>
      </c>
      <c r="Q435" s="715"/>
      <c r="R435" s="721">
        <f t="shared" si="77"/>
        <v>0.4</v>
      </c>
      <c r="T435" s="722">
        <f t="shared" si="77"/>
        <v>0.4</v>
      </c>
    </row>
    <row r="436" spans="1:20" ht="12.75" x14ac:dyDescent="0.2">
      <c r="B436" s="713" t="str">
        <f>IF(WD.1Dgl!C13="","-",WD.1Dgl!$B$12&amp;" - "&amp;WD.1Dgl!C13)</f>
        <v>Transport - Allradtraktor</v>
      </c>
      <c r="C436" s="731" t="str">
        <f>IF(WD.1Dgl!$C$5="","",WD.1Dgl!$C$5)</f>
        <v>Festmist</v>
      </c>
      <c r="D436" s="720">
        <f>IF('[1]E-WD.ILeist'!$I13="","",'[1]E-WD.ILeist'!$I13)</f>
        <v>45.392133333333334</v>
      </c>
      <c r="E436" s="715"/>
      <c r="F436" s="721">
        <f>IF(OR(H428="",WD.1Dgl!H13=""),"-",H428*WD.1Dgl!H13)</f>
        <v>45.392133333333334</v>
      </c>
      <c r="H436" s="722">
        <f>IF(WD.1Dgl!$I13="","",WD.1Dgl!$I13)</f>
        <v>45.392133333333334</v>
      </c>
      <c r="I436" s="717" t="str">
        <f t="shared" si="83"/>
        <v>Richtig!</v>
      </c>
      <c r="J436" s="718">
        <f t="shared" si="84"/>
        <v>1</v>
      </c>
      <c r="K436" s="711" t="str">
        <f t="shared" si="74"/>
        <v>│</v>
      </c>
      <c r="L436" s="712">
        <f t="shared" si="78"/>
        <v>1</v>
      </c>
      <c r="N436" s="719" t="str">
        <f>IF($L$1="","",$L$1)</f>
        <v>x</v>
      </c>
      <c r="P436" s="720">
        <f t="shared" si="77"/>
        <v>45.392130000000002</v>
      </c>
      <c r="Q436" s="715"/>
      <c r="R436" s="721">
        <f t="shared" si="77"/>
        <v>45.392130000000002</v>
      </c>
      <c r="T436" s="722">
        <f t="shared" si="77"/>
        <v>45.392130000000002</v>
      </c>
    </row>
    <row r="437" spans="1:20" ht="12.75" x14ac:dyDescent="0.2">
      <c r="B437" s="713" t="str">
        <f>IF(WD.1Dgl!C14="","-",WD.1Dgl!$B$12&amp;" - "&amp;WD.1Dgl!C14)</f>
        <v>Transport - Miststreuer</v>
      </c>
      <c r="C437" s="731" t="str">
        <f>IF(WD.1Dgl!$C$5="","",WD.1Dgl!$C$5)</f>
        <v>Festmist</v>
      </c>
      <c r="D437" s="720">
        <f>IF('[1]E-WD.ILeist'!$I14="","",'[1]E-WD.ILeist'!$I14)</f>
        <v>8.7840000000000007</v>
      </c>
      <c r="E437" s="715"/>
      <c r="F437" s="721">
        <f>IF(OR(H429="",WD.1Dgl!H14=""),"-",H429*WD.1Dgl!H14)</f>
        <v>8.7840000000000007</v>
      </c>
      <c r="H437" s="722">
        <f>IF(WD.1Dgl!$I14="","",WD.1Dgl!$I14)</f>
        <v>8.7840000000000007</v>
      </c>
      <c r="I437" s="717" t="str">
        <f t="shared" si="83"/>
        <v>Richtig!</v>
      </c>
      <c r="J437" s="718">
        <f t="shared" si="84"/>
        <v>1</v>
      </c>
      <c r="K437" s="711" t="str">
        <f t="shared" ref="K437:K500" si="85">IF(L437="","","│")</f>
        <v>│</v>
      </c>
      <c r="L437" s="712">
        <f t="shared" si="78"/>
        <v>1</v>
      </c>
      <c r="N437" s="719" t="str">
        <f>IF($L$1="","",$L$1)</f>
        <v>x</v>
      </c>
      <c r="P437" s="720">
        <f t="shared" si="77"/>
        <v>8.7840000000000007</v>
      </c>
      <c r="Q437" s="715"/>
      <c r="R437" s="721">
        <f t="shared" si="77"/>
        <v>8.7840000000000007</v>
      </c>
      <c r="T437" s="722">
        <f t="shared" si="77"/>
        <v>8.7840000000000007</v>
      </c>
    </row>
    <row r="438" spans="1:20" ht="12.75" hidden="1" customHeight="1" x14ac:dyDescent="0.2">
      <c r="B438" s="713" t="str">
        <f>IF(WD.1Dgl!C16="","-",WD.1Dgl!$B$15&amp;" - "&amp;WD.1Dgl!C16)</f>
        <v>Ausbringung - Allradtraktor</v>
      </c>
      <c r="C438" s="731" t="str">
        <f>IF(WD.1Dgl!$C$5="","",WD.1Dgl!$C$5)</f>
        <v>Festmist</v>
      </c>
      <c r="D438" s="720">
        <f>IF('[1]E-WD.ILeist'!$I16="","",'[1]E-WD.ILeist'!$I16)</f>
        <v>17.859200000000001</v>
      </c>
      <c r="E438" s="715"/>
      <c r="F438" s="721">
        <f>IF(OR(Korrektur!H430="",WD.1Dgl!H16=""),"-",Korrektur!H430*WD.1Dgl!H16)</f>
        <v>17.859200000000001</v>
      </c>
      <c r="H438" s="722">
        <f>IF(WD.1Dgl!$I16="","",WD.1Dgl!$I16)</f>
        <v>17.859200000000001</v>
      </c>
      <c r="I438" s="717" t="str">
        <f t="shared" si="83"/>
        <v>Richtig!</v>
      </c>
      <c r="J438" s="718" t="str">
        <f t="shared" si="84"/>
        <v>-</v>
      </c>
      <c r="K438" s="711" t="str">
        <f t="shared" si="85"/>
        <v/>
      </c>
      <c r="L438" s="712" t="str">
        <f t="shared" si="78"/>
        <v/>
      </c>
      <c r="N438" s="719"/>
      <c r="P438" s="720">
        <f t="shared" si="77"/>
        <v>17.859200000000001</v>
      </c>
      <c r="Q438" s="715"/>
      <c r="R438" s="721">
        <f t="shared" si="77"/>
        <v>17.859200000000001</v>
      </c>
      <c r="T438" s="722">
        <f t="shared" si="77"/>
        <v>17.859200000000001</v>
      </c>
    </row>
    <row r="439" spans="1:20" ht="12.75" hidden="1" customHeight="1" x14ac:dyDescent="0.2">
      <c r="B439" s="713" t="str">
        <f>IF(WD.1Dgl!C17="","-",WD.1Dgl!$B$15&amp;" - "&amp;WD.1Dgl!C17)</f>
        <v>Ausbringung - Miststreuer</v>
      </c>
      <c r="C439" s="731" t="str">
        <f>IF(WD.1Dgl!$C$5="","",WD.1Dgl!$C$5)</f>
        <v>Festmist</v>
      </c>
      <c r="D439" s="720">
        <f>IF('[1]E-WD.ILeist'!$I17="","",'[1]E-WD.ILeist'!$I17)</f>
        <v>3.4560000000000004</v>
      </c>
      <c r="E439" s="715"/>
      <c r="F439" s="721">
        <f>IF(OR(Korrektur!H431="",WD.1Dgl!H17=""),"-",Korrektur!H431*WD.1Dgl!H17)</f>
        <v>3.4560000000000004</v>
      </c>
      <c r="H439" s="722">
        <f>IF(WD.1Dgl!$I17="","",WD.1Dgl!$I17)</f>
        <v>3.4560000000000004</v>
      </c>
      <c r="I439" s="717" t="str">
        <f t="shared" si="83"/>
        <v>Richtig!</v>
      </c>
      <c r="J439" s="718" t="str">
        <f t="shared" si="84"/>
        <v>-</v>
      </c>
      <c r="K439" s="711" t="str">
        <f t="shared" si="85"/>
        <v/>
      </c>
      <c r="L439" s="712" t="str">
        <f t="shared" si="78"/>
        <v/>
      </c>
      <c r="N439" s="719"/>
      <c r="P439" s="720">
        <f t="shared" si="77"/>
        <v>3.456</v>
      </c>
      <c r="Q439" s="715"/>
      <c r="R439" s="721">
        <f t="shared" si="77"/>
        <v>3.456</v>
      </c>
      <c r="T439" s="722">
        <f t="shared" si="77"/>
        <v>3.456</v>
      </c>
    </row>
    <row r="440" spans="1:20" ht="12.75" x14ac:dyDescent="0.2">
      <c r="B440" s="2" t="str">
        <f>WD.1Dgl!B18</f>
        <v>Summe variable Maschinenkosten - Festmist</v>
      </c>
      <c r="C440" s="731" t="str">
        <f>IF(WD.1Dgl!$C$5="","",WD.1Dgl!$C$5)</f>
        <v>Festmist</v>
      </c>
      <c r="D440" s="720">
        <f>IF('[1]E-WD.ILeist'!$I18="","",'[1]E-WD.ILeist'!$I18)</f>
        <v>84.820933333333343</v>
      </c>
      <c r="E440" s="715"/>
      <c r="F440" s="721">
        <f>IF(AND(H434="",H435="",H436="",H437="",H438="",H439=""),"-",SUM(H434:H439))</f>
        <v>84.820933333333343</v>
      </c>
      <c r="H440" s="722">
        <f>IF(WD.1Dgl!$I18="","",WD.1Dgl!$I18)</f>
        <v>84.820933333333343</v>
      </c>
      <c r="I440" s="717" t="str">
        <f t="shared" si="83"/>
        <v>Richtig!</v>
      </c>
      <c r="J440" s="718">
        <f t="shared" si="84"/>
        <v>1</v>
      </c>
      <c r="K440" s="711" t="str">
        <f t="shared" si="85"/>
        <v>│</v>
      </c>
      <c r="L440" s="712">
        <f t="shared" si="78"/>
        <v>1</v>
      </c>
      <c r="N440" s="719" t="str">
        <f t="shared" ref="N440:N445" si="86">IF($L$1="","",$L$1)</f>
        <v>x</v>
      </c>
      <c r="P440" s="720">
        <f t="shared" si="77"/>
        <v>84.820930000000004</v>
      </c>
      <c r="Q440" s="715"/>
      <c r="R440" s="721">
        <f t="shared" si="77"/>
        <v>84.820930000000004</v>
      </c>
      <c r="T440" s="722">
        <f t="shared" si="77"/>
        <v>84.820930000000004</v>
      </c>
    </row>
    <row r="441" spans="1:20" ht="12.75" x14ac:dyDescent="0.2">
      <c r="A441" s="707"/>
      <c r="B441" s="2" t="str">
        <f>WD.1Dgl!B19</f>
        <v>Summe variable Maschinenkosten inkl. MWSt</v>
      </c>
      <c r="C441" s="731" t="str">
        <f>IF(WD.1Dgl!$C$5="","",WD.1Dgl!$C$5)</f>
        <v>Festmist</v>
      </c>
      <c r="D441" s="720">
        <f>IF('[1]E-WD.ILeist'!$I19="","",'[1]E-WD.ILeist'!$I19)</f>
        <v>101.78512000000001</v>
      </c>
      <c r="E441" s="715"/>
      <c r="F441" s="721">
        <f>IF(OR(H440="",WD.1Dgl!H19=""),"-",H440*(1+WD.1Dgl!H19))</f>
        <v>101.78512000000001</v>
      </c>
      <c r="H441" s="722">
        <f>IF(WD.1Dgl!$I19="","",WD.1Dgl!$I19)</f>
        <v>101.78512000000001</v>
      </c>
      <c r="I441" s="717" t="str">
        <f t="shared" si="83"/>
        <v>Richtig!</v>
      </c>
      <c r="J441" s="718">
        <f t="shared" si="84"/>
        <v>1</v>
      </c>
      <c r="K441" s="711" t="str">
        <f t="shared" si="85"/>
        <v>│</v>
      </c>
      <c r="L441" s="712">
        <f t="shared" si="78"/>
        <v>1</v>
      </c>
      <c r="N441" s="719" t="str">
        <f t="shared" si="86"/>
        <v>x</v>
      </c>
      <c r="P441" s="720">
        <f t="shared" si="77"/>
        <v>101.78512000000001</v>
      </c>
      <c r="Q441" s="715"/>
      <c r="R441" s="721">
        <f t="shared" si="77"/>
        <v>101.78512000000001</v>
      </c>
      <c r="T441" s="722">
        <f t="shared" si="77"/>
        <v>101.78512000000001</v>
      </c>
    </row>
    <row r="442" spans="1:20" ht="12.75" x14ac:dyDescent="0.2">
      <c r="A442" s="706"/>
      <c r="B442" s="2" t="str">
        <f>WD.1Dgl!G20</f>
        <v>Aufschlag für Rüstzeit</v>
      </c>
      <c r="C442" s="731" t="str">
        <f>IF(WD.1Dgl!$C$5="","",WD.1Dgl!$C$5)</f>
        <v>Festmist</v>
      </c>
      <c r="D442" s="720">
        <f>IF('[1]E-WD.ILeist'!$I20="","",'[1]E-WD.ILeist'!$I20)</f>
        <v>14.249916800000003</v>
      </c>
      <c r="E442" s="715"/>
      <c r="F442" s="721">
        <f>IF(OR(H441="",WD.1Dgl!H20=""),"-",H441*WD.1Dgl!H20)</f>
        <v>14.249916800000003</v>
      </c>
      <c r="H442" s="722">
        <f>IF(WD.1Dgl!$I20="","",WD.1Dgl!$I20)</f>
        <v>14.249916800000003</v>
      </c>
      <c r="I442" s="717" t="str">
        <f t="shared" si="83"/>
        <v>Richtig!</v>
      </c>
      <c r="J442" s="718">
        <f t="shared" si="84"/>
        <v>1</v>
      </c>
      <c r="K442" s="711" t="str">
        <f t="shared" si="85"/>
        <v>│</v>
      </c>
      <c r="L442" s="712">
        <f t="shared" si="78"/>
        <v>1</v>
      </c>
      <c r="N442" s="719" t="str">
        <f t="shared" si="86"/>
        <v>x</v>
      </c>
      <c r="P442" s="720">
        <f t="shared" si="77"/>
        <v>14.249919999999999</v>
      </c>
      <c r="Q442" s="715"/>
      <c r="R442" s="721">
        <f t="shared" si="77"/>
        <v>14.249919999999999</v>
      </c>
      <c r="T442" s="722">
        <f t="shared" si="77"/>
        <v>14.249919999999999</v>
      </c>
    </row>
    <row r="443" spans="1:20" ht="12.75" x14ac:dyDescent="0.2">
      <c r="A443" s="707"/>
      <c r="B443" s="2" t="str">
        <f>WD.1Dgl!B21</f>
        <v>GESAMTE MASCHINENKOSTEN je 100 dt</v>
      </c>
      <c r="C443" s="731" t="str">
        <f>IF(WD.1Dgl!$C$5="","",WD.1Dgl!$C$5)</f>
        <v>Festmist</v>
      </c>
      <c r="D443" s="720">
        <f>IF('[1]E-WD.ILeist'!$I21="","",'[1]E-WD.ILeist'!$I21)</f>
        <v>116.03503680000001</v>
      </c>
      <c r="E443" s="715"/>
      <c r="F443" s="721">
        <f>IF(AND(H441="",H442=""),"-",SUM(H441:H442))</f>
        <v>116.03503680000001</v>
      </c>
      <c r="H443" s="722">
        <f>IF(WD.1Dgl!$I21="","",WD.1Dgl!$I21)</f>
        <v>116.03503680000001</v>
      </c>
      <c r="I443" s="717" t="str">
        <f t="shared" si="83"/>
        <v>Richtig!</v>
      </c>
      <c r="J443" s="718">
        <f t="shared" si="84"/>
        <v>1</v>
      </c>
      <c r="K443" s="711" t="str">
        <f t="shared" si="85"/>
        <v>│</v>
      </c>
      <c r="L443" s="712">
        <f t="shared" si="78"/>
        <v>1</v>
      </c>
      <c r="N443" s="719" t="str">
        <f t="shared" si="86"/>
        <v>x</v>
      </c>
      <c r="P443" s="720">
        <f t="shared" si="77"/>
        <v>116.03504</v>
      </c>
      <c r="Q443" s="715"/>
      <c r="R443" s="721">
        <f t="shared" si="77"/>
        <v>116.03504</v>
      </c>
      <c r="T443" s="722">
        <f t="shared" si="77"/>
        <v>116.03504</v>
      </c>
    </row>
    <row r="444" spans="1:20" ht="12.75" x14ac:dyDescent="0.2">
      <c r="A444" s="707"/>
      <c r="B444" s="2" t="str">
        <f>MID(WD.1Dgl!B21,1,27)&amp;WD.1Dgl!B24&amp;" "&amp;WD.1Dgl!C24</f>
        <v>GESAMTE MASCHINENKOSTEN je 189 dt</v>
      </c>
      <c r="C444" s="731" t="str">
        <f>IF(WD.1Dgl!$C$5="","",WD.1Dgl!$C$5)</f>
        <v>Festmist</v>
      </c>
      <c r="D444" s="720">
        <f>IF('[1]E-WD.ILeist'!$I24="","",'[1]E-WD.ILeist'!$I24)</f>
        <v>219.30621955200004</v>
      </c>
      <c r="E444" s="715"/>
      <c r="F444" s="721">
        <f>IF(OR(F443="-",WD.1Dgl!B24=""),"-",F443/100*WD.1Dgl!B24)</f>
        <v>219.30621955200004</v>
      </c>
      <c r="H444" s="722">
        <f>IF(WD.1Dgl!$I24="","",WD.1Dgl!$I24)</f>
        <v>219.30621955200004</v>
      </c>
      <c r="I444" s="717" t="str">
        <f t="shared" si="83"/>
        <v>Richtig!</v>
      </c>
      <c r="J444" s="718">
        <f t="shared" si="84"/>
        <v>1</v>
      </c>
      <c r="K444" s="711" t="str">
        <f t="shared" si="85"/>
        <v>│</v>
      </c>
      <c r="L444" s="712">
        <f t="shared" si="78"/>
        <v>1</v>
      </c>
      <c r="N444" s="719" t="str">
        <f t="shared" si="86"/>
        <v>x</v>
      </c>
      <c r="P444" s="720">
        <f t="shared" si="77"/>
        <v>219.30622</v>
      </c>
      <c r="Q444" s="715"/>
      <c r="R444" s="721">
        <f t="shared" si="77"/>
        <v>219.30622</v>
      </c>
      <c r="T444" s="722">
        <f t="shared" si="77"/>
        <v>219.30622</v>
      </c>
    </row>
    <row r="445" spans="1:20" ht="12.75" x14ac:dyDescent="0.2">
      <c r="A445" s="707"/>
      <c r="B445" s="2" t="str">
        <f>WD.1Dgl!B27</f>
        <v>Arbeitszeit/ha und Jahr</v>
      </c>
      <c r="C445" s="731" t="str">
        <f>IF(WD.1Dgl!$C$5="","",WD.1Dgl!$C$5)</f>
        <v>Festmist</v>
      </c>
      <c r="D445" s="720">
        <f>IF('[1]E-WD.ILeist'!$G27="","",ROUND('[1]E-WD.ILeist'!$G27,2))</f>
        <v>12.22</v>
      </c>
      <c r="E445" s="715"/>
      <c r="F445" s="721">
        <f>IF(OR(AND(H426="",H428="",H430=""),WD.1Dgl!B24=""),"-",ROUND(SUM(H426,H428,H430)/100*WD.1Dgl!B24,2))</f>
        <v>12.22</v>
      </c>
      <c r="H445" s="722">
        <f>IF(WD.1Dgl!$G27="","",ROUND(WD.1Dgl!$G27,2))</f>
        <v>12.22</v>
      </c>
      <c r="I445" s="717" t="str">
        <f t="shared" si="83"/>
        <v>Richtig!</v>
      </c>
      <c r="J445" s="718">
        <f t="shared" si="84"/>
        <v>1</v>
      </c>
      <c r="K445" s="711" t="str">
        <f t="shared" si="85"/>
        <v>│</v>
      </c>
      <c r="L445" s="712">
        <f t="shared" si="78"/>
        <v>1</v>
      </c>
      <c r="N445" s="719" t="str">
        <f t="shared" si="86"/>
        <v>x</v>
      </c>
      <c r="P445" s="720">
        <f t="shared" si="77"/>
        <v>12.22</v>
      </c>
      <c r="Q445" s="715"/>
      <c r="R445" s="721">
        <f t="shared" si="77"/>
        <v>12.22</v>
      </c>
      <c r="T445" s="722">
        <f t="shared" si="77"/>
        <v>12.22</v>
      </c>
    </row>
    <row r="446" spans="1:20" ht="12.75" x14ac:dyDescent="0.2">
      <c r="A446" s="707"/>
      <c r="B446" s="707"/>
      <c r="C446" s="707"/>
      <c r="D446" s="708"/>
      <c r="H446" s="706"/>
      <c r="I446" s="710"/>
      <c r="J446" s="710"/>
      <c r="K446" s="711" t="str">
        <f t="shared" si="85"/>
        <v/>
      </c>
      <c r="L446" s="712" t="str">
        <f t="shared" si="78"/>
        <v/>
      </c>
      <c r="N446" s="725" t="str">
        <f>IF($L$1="","",$L$1)</f>
        <v>x</v>
      </c>
      <c r="P446" s="708" t="str">
        <f t="shared" si="77"/>
        <v/>
      </c>
      <c r="R446" s="1" t="str">
        <f t="shared" si="77"/>
        <v/>
      </c>
      <c r="T446" s="706" t="str">
        <f t="shared" si="77"/>
        <v/>
      </c>
    </row>
    <row r="447" spans="1:20" ht="12.75" x14ac:dyDescent="0.2">
      <c r="A447" s="706" t="s">
        <v>373</v>
      </c>
      <c r="B447" s="706" t="s">
        <v>405</v>
      </c>
      <c r="C447" s="707"/>
      <c r="D447" s="708"/>
      <c r="H447" s="706"/>
      <c r="I447" s="710"/>
      <c r="J447" s="710"/>
      <c r="K447" s="711" t="str">
        <f t="shared" si="85"/>
        <v/>
      </c>
      <c r="L447" s="712" t="str">
        <f t="shared" si="78"/>
        <v/>
      </c>
      <c r="N447" s="695" t="str">
        <f>IF($L$1="","",$L$1)</f>
        <v>x</v>
      </c>
      <c r="P447" s="708" t="str">
        <f t="shared" si="77"/>
        <v/>
      </c>
      <c r="R447" s="1" t="str">
        <f t="shared" si="77"/>
        <v/>
      </c>
      <c r="T447" s="706" t="str">
        <f t="shared" si="77"/>
        <v/>
      </c>
    </row>
    <row r="448" spans="1:20" ht="12.75" x14ac:dyDescent="0.2">
      <c r="B448" s="713" t="str">
        <f>IF(WD.1Dgl!C35="","-",WD.1Dgl!$B$9&amp;" - "&amp;WD.1Dgl!C35)</f>
        <v>Laden - Allradtraktor</v>
      </c>
      <c r="C448" s="731" t="str">
        <f>IF(WD.1Dgl!$C$30="","",WD.1Dgl!$C$30)</f>
        <v>Jauche</v>
      </c>
      <c r="D448" s="714">
        <f>IF('[1]E-WD.ILeist'!$F35="","",'[1]E-WD.ILeist'!$F35)</f>
        <v>0.18333333333333332</v>
      </c>
      <c r="E448" s="715"/>
      <c r="F448" s="715"/>
      <c r="H448" s="716">
        <f>IF(WD.1Dgl!$F35="","",WD.1Dgl!$F35)</f>
        <v>0.18333333333333332</v>
      </c>
      <c r="I448" s="717" t="str">
        <f t="shared" ref="I448:I453" si="87">IF(AND(P448="",T448=""),"",IF(T448=P448,"Richtig!",IF(T448="","Fehlt","Falsch")))</f>
        <v>Richtig!</v>
      </c>
      <c r="J448" s="718">
        <f t="shared" ref="J448:J453" si="88">IF(OR(B448="-",N448="",AND(P448="",T448="")),"-",IF(I448="Richtig!",1,IF(I448="Formel: OK",0.5,IF(OR(I448="Falsch",I448="Fehlt"),0,""))))</f>
        <v>1</v>
      </c>
      <c r="K448" s="711" t="str">
        <f t="shared" si="85"/>
        <v>│</v>
      </c>
      <c r="L448" s="712">
        <f t="shared" si="78"/>
        <v>1</v>
      </c>
      <c r="N448" s="719" t="str">
        <f>IF($L$1="","",$L$1)</f>
        <v>x</v>
      </c>
      <c r="P448" s="714">
        <f t="shared" si="77"/>
        <v>0.18332999999999999</v>
      </c>
      <c r="Q448" s="715"/>
      <c r="R448" s="715" t="str">
        <f t="shared" si="77"/>
        <v/>
      </c>
      <c r="T448" s="716">
        <f t="shared" si="77"/>
        <v>0.18332999999999999</v>
      </c>
    </row>
    <row r="449" spans="1:20" ht="12.75" x14ac:dyDescent="0.2">
      <c r="B449" s="713" t="str">
        <f>IF(WD.1Dgl!C36="","-",WD.1Dgl!$B$9&amp;" - "&amp;WD.1Dgl!C36)</f>
        <v>Laden - Vakuumfass</v>
      </c>
      <c r="C449" s="731" t="str">
        <f>IF(WD.1Dgl!$C$30="","",WD.1Dgl!$C$30)</f>
        <v>Jauche</v>
      </c>
      <c r="D449" s="714">
        <f>IF('[1]E-WD.ILeist'!$F36="","",'[1]E-WD.ILeist'!$F36)</f>
        <v>0.18333333333333332</v>
      </c>
      <c r="E449" s="715"/>
      <c r="F449" s="715"/>
      <c r="H449" s="716">
        <f>IF(WD.1Dgl!$F36="","",WD.1Dgl!$F36)</f>
        <v>0.18333333333333332</v>
      </c>
      <c r="I449" s="717" t="str">
        <f t="shared" si="87"/>
        <v>Richtig!</v>
      </c>
      <c r="J449" s="718">
        <f t="shared" si="88"/>
        <v>1</v>
      </c>
      <c r="K449" s="711" t="str">
        <f t="shared" si="85"/>
        <v>│</v>
      </c>
      <c r="L449" s="712">
        <f t="shared" ref="L449:L481" si="89">IF(OR(B449="-",N449="",AND(P449="",T449="")),"",1)</f>
        <v>1</v>
      </c>
      <c r="N449" s="719" t="str">
        <f>IF($L$1="","",$L$1)</f>
        <v>x</v>
      </c>
      <c r="P449" s="714">
        <f t="shared" si="77"/>
        <v>0.18332999999999999</v>
      </c>
      <c r="Q449" s="715"/>
      <c r="R449" s="715" t="str">
        <f t="shared" si="77"/>
        <v/>
      </c>
      <c r="T449" s="716">
        <f t="shared" si="77"/>
        <v>0.18332999999999999</v>
      </c>
    </row>
    <row r="450" spans="1:20" ht="12.75" hidden="1" customHeight="1" x14ac:dyDescent="0.2">
      <c r="B450" s="713" t="str">
        <f>IF(WD.1Dgl!C38="","-",WD.1Dgl!$B$12&amp;" - "&amp;WD.1Dgl!C38)</f>
        <v>Transport - Allradtraktor</v>
      </c>
      <c r="C450" s="731" t="str">
        <f>IF(WD.1Dgl!$C$30="","",WD.1Dgl!$C$30)</f>
        <v>Jauche</v>
      </c>
      <c r="D450" s="714">
        <f>IF('[1]E-WD.ILeist'!$F38="","",'[1]E-WD.ILeist'!$F38)</f>
        <v>1.0166666666666666</v>
      </c>
      <c r="E450" s="715"/>
      <c r="F450" s="715"/>
      <c r="H450" s="716">
        <f>IF(WD.1Dgl!$F38="","",WD.1Dgl!$F38)</f>
        <v>1.0166666666666666</v>
      </c>
      <c r="I450" s="717" t="str">
        <f t="shared" si="87"/>
        <v>Richtig!</v>
      </c>
      <c r="J450" s="718" t="str">
        <f t="shared" si="88"/>
        <v>-</v>
      </c>
      <c r="K450" s="711" t="str">
        <f t="shared" si="85"/>
        <v/>
      </c>
      <c r="L450" s="712" t="str">
        <f t="shared" si="89"/>
        <v/>
      </c>
      <c r="N450" s="719"/>
      <c r="P450" s="714">
        <f t="shared" si="77"/>
        <v>1.01667</v>
      </c>
      <c r="Q450" s="715"/>
      <c r="R450" s="715" t="str">
        <f t="shared" si="77"/>
        <v/>
      </c>
      <c r="T450" s="716">
        <f t="shared" si="77"/>
        <v>1.01667</v>
      </c>
    </row>
    <row r="451" spans="1:20" ht="12.75" hidden="1" customHeight="1" x14ac:dyDescent="0.2">
      <c r="B451" s="713" t="str">
        <f>IF(WD.1Dgl!C39="","-",WD.1Dgl!$B$12&amp;" - "&amp;WD.1Dgl!C39)</f>
        <v>Transport - Vakuumfass</v>
      </c>
      <c r="C451" s="731" t="str">
        <f>IF(WD.1Dgl!$C$30="","",WD.1Dgl!$C$30)</f>
        <v>Jauche</v>
      </c>
      <c r="D451" s="714">
        <f>IF('[1]E-WD.ILeist'!$F39="","",'[1]E-WD.ILeist'!$F39)</f>
        <v>1.0166666666666666</v>
      </c>
      <c r="E451" s="715"/>
      <c r="F451" s="715"/>
      <c r="H451" s="716">
        <f>IF(WD.1Dgl!$F39="","",WD.1Dgl!$F39)</f>
        <v>1.0166666666666666</v>
      </c>
      <c r="I451" s="717" t="str">
        <f t="shared" si="87"/>
        <v>Richtig!</v>
      </c>
      <c r="J451" s="718" t="str">
        <f t="shared" si="88"/>
        <v>-</v>
      </c>
      <c r="K451" s="711" t="str">
        <f t="shared" si="85"/>
        <v/>
      </c>
      <c r="L451" s="712" t="str">
        <f t="shared" si="89"/>
        <v/>
      </c>
      <c r="N451" s="719"/>
      <c r="P451" s="714">
        <f t="shared" si="77"/>
        <v>1.01667</v>
      </c>
      <c r="Q451" s="715"/>
      <c r="R451" s="715" t="str">
        <f t="shared" si="77"/>
        <v/>
      </c>
      <c r="T451" s="716">
        <f t="shared" si="77"/>
        <v>1.01667</v>
      </c>
    </row>
    <row r="452" spans="1:20" ht="12.75" hidden="1" customHeight="1" x14ac:dyDescent="0.2">
      <c r="B452" s="713" t="str">
        <f>IF(WD.1Dgl!C41="","-",WD.1Dgl!$B$15&amp;" - "&amp;WD.1Dgl!C41)</f>
        <v>Ausbringung - Allradtraktor</v>
      </c>
      <c r="C452" s="731" t="str">
        <f>IF(WD.1Dgl!$C$30="","",WD.1Dgl!$C$30)</f>
        <v>Jauche</v>
      </c>
      <c r="D452" s="714">
        <f>IF('[1]E-WD.ILeist'!$F41="","",'[1]E-WD.ILeist'!$F41)</f>
        <v>0.36666666666666664</v>
      </c>
      <c r="E452" s="715"/>
      <c r="F452" s="715"/>
      <c r="H452" s="716">
        <f>IF(WD.1Dgl!$F41="","",WD.1Dgl!$F41)</f>
        <v>0.36666666666666664</v>
      </c>
      <c r="I452" s="717" t="str">
        <f t="shared" si="87"/>
        <v>Richtig!</v>
      </c>
      <c r="J452" s="718" t="str">
        <f t="shared" si="88"/>
        <v>-</v>
      </c>
      <c r="K452" s="711" t="str">
        <f t="shared" si="85"/>
        <v/>
      </c>
      <c r="L452" s="712" t="str">
        <f t="shared" si="89"/>
        <v/>
      </c>
      <c r="N452" s="719"/>
      <c r="P452" s="714">
        <f t="shared" si="77"/>
        <v>0.36667</v>
      </c>
      <c r="Q452" s="715"/>
      <c r="R452" s="715" t="str">
        <f t="shared" si="77"/>
        <v/>
      </c>
      <c r="T452" s="716">
        <f t="shared" si="77"/>
        <v>0.36667</v>
      </c>
    </row>
    <row r="453" spans="1:20" ht="12.75" hidden="1" customHeight="1" x14ac:dyDescent="0.2">
      <c r="B453" s="713" t="str">
        <f>IF(WD.1Dgl!C42="","-",WD.1Dgl!$B$15&amp;" - "&amp;WD.1Dgl!C42)</f>
        <v>Ausbringung - Vakuumfass</v>
      </c>
      <c r="C453" s="731" t="str">
        <f>IF(WD.1Dgl!$C$30="","",WD.1Dgl!$C$30)</f>
        <v>Jauche</v>
      </c>
      <c r="D453" s="714">
        <f>IF('[1]E-WD.ILeist'!$F42="","",'[1]E-WD.ILeist'!$F42)</f>
        <v>0.36666666666666664</v>
      </c>
      <c r="E453" s="715"/>
      <c r="F453" s="715"/>
      <c r="H453" s="716">
        <f>IF(WD.1Dgl!$F42="","",WD.1Dgl!$F42)</f>
        <v>0.36666666666666664</v>
      </c>
      <c r="I453" s="717" t="str">
        <f t="shared" si="87"/>
        <v>Richtig!</v>
      </c>
      <c r="J453" s="718" t="str">
        <f t="shared" si="88"/>
        <v>-</v>
      </c>
      <c r="K453" s="711" t="str">
        <f t="shared" si="85"/>
        <v/>
      </c>
      <c r="L453" s="712" t="str">
        <f t="shared" si="89"/>
        <v/>
      </c>
      <c r="N453" s="719"/>
      <c r="P453" s="714">
        <f t="shared" si="77"/>
        <v>0.36667</v>
      </c>
      <c r="Q453" s="715"/>
      <c r="R453" s="715" t="str">
        <f t="shared" si="77"/>
        <v/>
      </c>
      <c r="T453" s="716">
        <f t="shared" si="77"/>
        <v>0.36667</v>
      </c>
    </row>
    <row r="454" spans="1:20" ht="12.75" x14ac:dyDescent="0.2">
      <c r="A454" s="707"/>
      <c r="B454" s="707"/>
      <c r="C454" s="707"/>
      <c r="D454" s="708"/>
      <c r="H454" s="706"/>
      <c r="I454" s="710"/>
      <c r="J454" s="710"/>
      <c r="K454" s="711" t="str">
        <f t="shared" si="85"/>
        <v/>
      </c>
      <c r="L454" s="712" t="str">
        <f t="shared" si="89"/>
        <v/>
      </c>
      <c r="N454" s="725" t="str">
        <f>IF($L$1="","",$L$1)</f>
        <v>x</v>
      </c>
      <c r="P454" s="708" t="str">
        <f t="shared" si="77"/>
        <v/>
      </c>
      <c r="R454" s="1" t="str">
        <f t="shared" si="77"/>
        <v/>
      </c>
      <c r="T454" s="706" t="str">
        <f t="shared" si="77"/>
        <v/>
      </c>
    </row>
    <row r="455" spans="1:20" ht="12.75" x14ac:dyDescent="0.2">
      <c r="A455" s="706" t="s">
        <v>375</v>
      </c>
      <c r="B455" s="706" t="s">
        <v>408</v>
      </c>
      <c r="C455" s="707"/>
      <c r="D455" s="708"/>
      <c r="H455" s="706"/>
      <c r="I455" s="710"/>
      <c r="J455" s="710"/>
      <c r="K455" s="711" t="str">
        <f t="shared" si="85"/>
        <v/>
      </c>
      <c r="L455" s="712" t="str">
        <f t="shared" si="89"/>
        <v/>
      </c>
      <c r="N455" s="695" t="str">
        <f>IF($L$1="","",$L$1)</f>
        <v>x</v>
      </c>
      <c r="P455" s="708" t="str">
        <f t="shared" si="77"/>
        <v/>
      </c>
      <c r="R455" s="1" t="str">
        <f t="shared" si="77"/>
        <v/>
      </c>
      <c r="T455" s="706" t="str">
        <f t="shared" si="77"/>
        <v/>
      </c>
    </row>
    <row r="456" spans="1:20" ht="12.75" x14ac:dyDescent="0.2">
      <c r="B456" s="713" t="str">
        <f>IF(WD.1Dgl!C35="","-",WD.1Dgl!$B$9&amp;" - "&amp;WD.1Dgl!C35)</f>
        <v>Laden - Allradtraktor</v>
      </c>
      <c r="C456" s="731" t="str">
        <f>IF(WD.1Dgl!$C$30="","",WD.1Dgl!$C$30)</f>
        <v>Jauche</v>
      </c>
      <c r="D456" s="720">
        <f>IF('[1]E-WD.ILeist'!$G35="","",ROUND('[1]E-WD.ILeist'!$G35,5))</f>
        <v>0.61111000000000004</v>
      </c>
      <c r="E456" s="715"/>
      <c r="F456" s="721">
        <f>IF(OR(H448="",WD.1Dgl!$H$30=""),"-",ROUND(H448*10/WD.1Dgl!$H$30,5))</f>
        <v>0.61111000000000004</v>
      </c>
      <c r="H456" s="722">
        <f>IF(WD.1Dgl!$G35="","",ROUND(WD.1Dgl!$G35,5))</f>
        <v>0.61111000000000004</v>
      </c>
      <c r="I456" s="717" t="str">
        <f t="shared" ref="I456:I461" si="90">IF(OR(B456="-",AND(P456="",T456="")),"",IF(T456=P456,"Richtig!",IF(AND(P456&lt;&gt;T456,R456=T456),"Formel: OK",IF(T456="","Fehlt","Falsch"))))</f>
        <v>Richtig!</v>
      </c>
      <c r="J456" s="718">
        <f t="shared" ref="J456:J461" si="91">IF(OR(B456="-",N456="",AND(P456="",T456="")),"-",IF(I456="Richtig!",1,IF(I456="Formel: OK",0.5,IF(OR(I456="Falsch",I456="Fehlt"),0,""))))</f>
        <v>1</v>
      </c>
      <c r="K456" s="711" t="str">
        <f t="shared" si="85"/>
        <v>│</v>
      </c>
      <c r="L456" s="712">
        <f t="shared" si="89"/>
        <v>1</v>
      </c>
      <c r="N456" s="719" t="str">
        <f>IF($L$1="","",$L$1)</f>
        <v>x</v>
      </c>
      <c r="P456" s="720">
        <f t="shared" si="77"/>
        <v>0.61111000000000004</v>
      </c>
      <c r="Q456" s="715"/>
      <c r="R456" s="721">
        <f t="shared" si="77"/>
        <v>0.61111000000000004</v>
      </c>
      <c r="T456" s="722">
        <f t="shared" si="77"/>
        <v>0.61111000000000004</v>
      </c>
    </row>
    <row r="457" spans="1:20" ht="12.75" x14ac:dyDescent="0.2">
      <c r="B457" s="713" t="str">
        <f>IF(WD.1Dgl!C36="","-",WD.1Dgl!$B$9&amp;" - "&amp;WD.1Dgl!C36)</f>
        <v>Laden - Vakuumfass</v>
      </c>
      <c r="C457" s="731" t="str">
        <f>IF(WD.1Dgl!$C$30="","",WD.1Dgl!$C$30)</f>
        <v>Jauche</v>
      </c>
      <c r="D457" s="720">
        <f>IF('[1]E-WD.ILeist'!$G36="","",'[1]E-WD.ILeist'!$G36)</f>
        <v>0.61111111111111105</v>
      </c>
      <c r="E457" s="715"/>
      <c r="F457" s="721">
        <f>IF(OR(H449="",WD.1Dgl!$H$30=""),"-",H449*100/WD.1Dgl!$H$30)</f>
        <v>6.1111111111111107</v>
      </c>
      <c r="H457" s="722">
        <f>IF(WD.1Dgl!$G36="","",WD.1Dgl!$G36)</f>
        <v>0.61111111111111105</v>
      </c>
      <c r="I457" s="717" t="str">
        <f t="shared" si="90"/>
        <v>Richtig!</v>
      </c>
      <c r="J457" s="718">
        <f t="shared" si="91"/>
        <v>1</v>
      </c>
      <c r="K457" s="711" t="str">
        <f t="shared" si="85"/>
        <v>│</v>
      </c>
      <c r="L457" s="712">
        <f t="shared" si="89"/>
        <v>1</v>
      </c>
      <c r="N457" s="719" t="str">
        <f>IF($L$1="","",$L$1)</f>
        <v>x</v>
      </c>
      <c r="P457" s="720">
        <f t="shared" si="77"/>
        <v>0.61111000000000004</v>
      </c>
      <c r="Q457" s="715"/>
      <c r="R457" s="721">
        <f t="shared" si="77"/>
        <v>6.11111</v>
      </c>
      <c r="T457" s="722">
        <f t="shared" si="77"/>
        <v>0.61111000000000004</v>
      </c>
    </row>
    <row r="458" spans="1:20" ht="12.75" hidden="1" customHeight="1" x14ac:dyDescent="0.2">
      <c r="B458" s="713" t="str">
        <f>IF(WD.1Dgl!C38="","-",WD.1Dgl!$B$12&amp;" - "&amp;WD.1Dgl!C38)</f>
        <v>Transport - Allradtraktor</v>
      </c>
      <c r="C458" s="731" t="str">
        <f>IF(WD.1Dgl!$C$30="","",WD.1Dgl!$C$30)</f>
        <v>Jauche</v>
      </c>
      <c r="D458" s="720">
        <f>IF('[1]E-WD.ILeist'!$G38="","",'[1]E-WD.ILeist'!$G38)</f>
        <v>3.3888888888888888</v>
      </c>
      <c r="E458" s="715"/>
      <c r="F458" s="721">
        <f>IF(OR(H450="",WD.1Dgl!$H$30=""),"-",H450*100/WD.1Dgl!$H$30)</f>
        <v>33.888888888888886</v>
      </c>
      <c r="H458" s="722">
        <f>IF(WD.1Dgl!$G38="","",WD.1Dgl!$G38)</f>
        <v>3.3888888888888884</v>
      </c>
      <c r="I458" s="717" t="str">
        <f t="shared" si="90"/>
        <v>Richtig!</v>
      </c>
      <c r="J458" s="718" t="str">
        <f t="shared" si="91"/>
        <v>-</v>
      </c>
      <c r="K458" s="711" t="str">
        <f t="shared" si="85"/>
        <v/>
      </c>
      <c r="L458" s="712" t="str">
        <f t="shared" si="89"/>
        <v/>
      </c>
      <c r="N458" s="719"/>
      <c r="P458" s="720">
        <f t="shared" si="77"/>
        <v>3.38889</v>
      </c>
      <c r="Q458" s="715"/>
      <c r="R458" s="721">
        <f t="shared" si="77"/>
        <v>33.888890000000004</v>
      </c>
      <c r="T458" s="722">
        <f t="shared" si="77"/>
        <v>3.38889</v>
      </c>
    </row>
    <row r="459" spans="1:20" ht="12.75" hidden="1" customHeight="1" x14ac:dyDescent="0.2">
      <c r="B459" s="713" t="str">
        <f>IF(WD.1Dgl!C39="","-",WD.1Dgl!$B$12&amp;" - "&amp;WD.1Dgl!C39)</f>
        <v>Transport - Vakuumfass</v>
      </c>
      <c r="C459" s="731" t="str">
        <f>IF(WD.1Dgl!$C$30="","",WD.1Dgl!$C$30)</f>
        <v>Jauche</v>
      </c>
      <c r="D459" s="720">
        <f>IF('[1]E-WD.ILeist'!$G39="","",'[1]E-WD.ILeist'!$G39)</f>
        <v>3.3888888888888888</v>
      </c>
      <c r="E459" s="715"/>
      <c r="F459" s="721">
        <f>IF(OR(H451="",WD.1Dgl!$H$30=""),"-",H451*100/WD.1Dgl!$H$30)</f>
        <v>33.888888888888886</v>
      </c>
      <c r="H459" s="722">
        <f>IF(WD.1Dgl!$G39="","",WD.1Dgl!$G39)</f>
        <v>3.3888888888888884</v>
      </c>
      <c r="I459" s="717" t="str">
        <f t="shared" si="90"/>
        <v>Richtig!</v>
      </c>
      <c r="J459" s="718" t="str">
        <f t="shared" si="91"/>
        <v>-</v>
      </c>
      <c r="K459" s="711" t="str">
        <f t="shared" si="85"/>
        <v/>
      </c>
      <c r="L459" s="712" t="str">
        <f t="shared" si="89"/>
        <v/>
      </c>
      <c r="N459" s="719"/>
      <c r="P459" s="720">
        <f t="shared" ref="P459:T522" si="92">IF(ISTEXT(D459),D459,IF(D459="","",ROUND(D459,$R$1)))</f>
        <v>3.38889</v>
      </c>
      <c r="Q459" s="715"/>
      <c r="R459" s="721">
        <f t="shared" si="92"/>
        <v>33.888890000000004</v>
      </c>
      <c r="T459" s="722">
        <f t="shared" si="92"/>
        <v>3.38889</v>
      </c>
    </row>
    <row r="460" spans="1:20" ht="12.75" hidden="1" customHeight="1" x14ac:dyDescent="0.2">
      <c r="B460" s="713" t="str">
        <f>IF(WD.1Dgl!C41="","-",WD.1Dgl!$B$15&amp;" - "&amp;WD.1Dgl!C41)</f>
        <v>Ausbringung - Allradtraktor</v>
      </c>
      <c r="C460" s="731" t="str">
        <f>IF(WD.1Dgl!$C$30="","",WD.1Dgl!$C$30)</f>
        <v>Jauche</v>
      </c>
      <c r="D460" s="720">
        <f>IF('[1]E-WD.ILeist'!$G41="","",'[1]E-WD.ILeist'!$G41)</f>
        <v>1.2222222222222221</v>
      </c>
      <c r="E460" s="715"/>
      <c r="F460" s="721">
        <f>IF(OR(H452="",WD.1Dgl!$H$30=""),"-",H452*100/WD.1Dgl!$H$30)</f>
        <v>12.222222222222221</v>
      </c>
      <c r="H460" s="722">
        <f>IF(WD.1Dgl!$G41="","",WD.1Dgl!$G41)</f>
        <v>1.2222222222222221</v>
      </c>
      <c r="I460" s="717" t="str">
        <f t="shared" si="90"/>
        <v>Richtig!</v>
      </c>
      <c r="J460" s="718" t="str">
        <f t="shared" si="91"/>
        <v>-</v>
      </c>
      <c r="K460" s="711" t="str">
        <f t="shared" si="85"/>
        <v/>
      </c>
      <c r="L460" s="712" t="str">
        <f t="shared" si="89"/>
        <v/>
      </c>
      <c r="N460" s="719"/>
      <c r="P460" s="720">
        <f t="shared" si="92"/>
        <v>1.2222200000000001</v>
      </c>
      <c r="Q460" s="715"/>
      <c r="R460" s="721">
        <f t="shared" si="92"/>
        <v>12.22222</v>
      </c>
      <c r="T460" s="722">
        <f t="shared" si="92"/>
        <v>1.2222200000000001</v>
      </c>
    </row>
    <row r="461" spans="1:20" ht="12.75" hidden="1" customHeight="1" x14ac:dyDescent="0.2">
      <c r="B461" s="713" t="str">
        <f>IF(WD.1Dgl!C42="","-",WD.1Dgl!$B$15&amp;" - "&amp;WD.1Dgl!C42)</f>
        <v>Ausbringung - Vakuumfass</v>
      </c>
      <c r="C461" s="731" t="str">
        <f>IF(WD.1Dgl!$C$30="","",WD.1Dgl!$C$30)</f>
        <v>Jauche</v>
      </c>
      <c r="D461" s="720">
        <f>IF('[1]E-WD.ILeist'!$G42="","",'[1]E-WD.ILeist'!$G42)</f>
        <v>1.2222222222222221</v>
      </c>
      <c r="E461" s="715"/>
      <c r="F461" s="721">
        <f>IF(OR(H453="",WD.1Dgl!$H$30=""),"-",H453*100/WD.1Dgl!$H$30)</f>
        <v>12.222222222222221</v>
      </c>
      <c r="H461" s="722">
        <f>IF(WD.1Dgl!$G42="","",WD.1Dgl!$G42)</f>
        <v>1.2222222222222221</v>
      </c>
      <c r="I461" s="717" t="str">
        <f t="shared" si="90"/>
        <v>Richtig!</v>
      </c>
      <c r="J461" s="718" t="str">
        <f t="shared" si="91"/>
        <v>-</v>
      </c>
      <c r="K461" s="711" t="str">
        <f t="shared" si="85"/>
        <v/>
      </c>
      <c r="L461" s="712" t="str">
        <f t="shared" si="89"/>
        <v/>
      </c>
      <c r="N461" s="719"/>
      <c r="P461" s="720">
        <f t="shared" si="92"/>
        <v>1.2222200000000001</v>
      </c>
      <c r="Q461" s="715"/>
      <c r="R461" s="721">
        <f t="shared" si="92"/>
        <v>12.22222</v>
      </c>
      <c r="T461" s="722">
        <f t="shared" si="92"/>
        <v>1.2222200000000001</v>
      </c>
    </row>
    <row r="462" spans="1:20" ht="12.75" x14ac:dyDescent="0.2">
      <c r="A462" s="707"/>
      <c r="B462" s="707"/>
      <c r="C462" s="707"/>
      <c r="D462" s="708"/>
      <c r="H462" s="706"/>
      <c r="I462" s="710"/>
      <c r="J462" s="710"/>
      <c r="K462" s="711" t="str">
        <f t="shared" si="85"/>
        <v/>
      </c>
      <c r="L462" s="712" t="str">
        <f t="shared" si="89"/>
        <v/>
      </c>
      <c r="N462" s="725" t="str">
        <f>IF($L$1="","",$L$1)</f>
        <v>x</v>
      </c>
      <c r="P462" s="708" t="str">
        <f t="shared" si="92"/>
        <v/>
      </c>
      <c r="R462" s="1" t="str">
        <f t="shared" si="92"/>
        <v/>
      </c>
      <c r="T462" s="706" t="str">
        <f t="shared" si="92"/>
        <v/>
      </c>
    </row>
    <row r="463" spans="1:20" ht="12.75" x14ac:dyDescent="0.2">
      <c r="A463" s="706" t="s">
        <v>379</v>
      </c>
      <c r="B463" s="706" t="s">
        <v>407</v>
      </c>
      <c r="C463" s="707"/>
      <c r="D463" s="708"/>
      <c r="H463" s="706"/>
      <c r="I463" s="710"/>
      <c r="J463" s="710"/>
      <c r="K463" s="711" t="str">
        <f t="shared" si="85"/>
        <v/>
      </c>
      <c r="L463" s="712" t="str">
        <f t="shared" si="89"/>
        <v/>
      </c>
      <c r="N463" s="695" t="str">
        <f>IF($L$1="","",$L$1)</f>
        <v>x</v>
      </c>
      <c r="P463" s="708" t="str">
        <f t="shared" si="92"/>
        <v/>
      </c>
      <c r="R463" s="1" t="str">
        <f t="shared" si="92"/>
        <v/>
      </c>
      <c r="T463" s="706" t="str">
        <f t="shared" si="92"/>
        <v/>
      </c>
    </row>
    <row r="464" spans="1:20" ht="12.75" x14ac:dyDescent="0.2">
      <c r="A464" s="706"/>
      <c r="B464" s="713" t="str">
        <f>IF(WD.1Dgl!C35="","-",WD.1Dgl!$B$9&amp;" - "&amp;WD.1Dgl!C35)</f>
        <v>Laden - Allradtraktor</v>
      </c>
      <c r="C464" s="731" t="str">
        <f>IF(WD.1Dgl!$C$30="","",WD.1Dgl!$C$30)</f>
        <v>Jauche</v>
      </c>
      <c r="D464" s="720">
        <f>IF('[1]E-WD.ILeist'!$I35="","",'[1]E-WD.ILeist'!$I35)</f>
        <v>6.8212222222222216</v>
      </c>
      <c r="E464" s="715"/>
      <c r="F464" s="721">
        <f>IF(OR(H456="",WD.1Dgl!H35=""),"-",H456*WD.1Dgl!H35)</f>
        <v>6.8212098200000009</v>
      </c>
      <c r="H464" s="722">
        <f>IF(WD.1Dgl!$I35="","",WD.1Dgl!$I35)</f>
        <v>6.8212222222222216</v>
      </c>
      <c r="I464" s="717" t="str">
        <f t="shared" ref="I464:I475" si="93">IF(OR(B464="-",AND(P464="",T464="")),"",IF(T464=P464,"Richtig!",IF(AND(P464&lt;&gt;T464,R464=T464),"Formel: OK",IF(T464="","Fehlt","Falsch"))))</f>
        <v>Richtig!</v>
      </c>
      <c r="J464" s="718">
        <f t="shared" ref="J464:J475" si="94">IF(OR(B464="-",N464="",AND(P464="",T464="")),"-",IF(I464="Richtig!",1,IF(I464="Formel: OK",0.5,IF(OR(I464="Falsch",I464="Fehlt"),0,""))))</f>
        <v>1</v>
      </c>
      <c r="K464" s="711" t="str">
        <f t="shared" si="85"/>
        <v>│</v>
      </c>
      <c r="L464" s="712">
        <f t="shared" si="89"/>
        <v>1</v>
      </c>
      <c r="N464" s="719" t="str">
        <f>IF($L$1="","",$L$1)</f>
        <v>x</v>
      </c>
      <c r="P464" s="720">
        <f t="shared" si="92"/>
        <v>6.8212200000000003</v>
      </c>
      <c r="Q464" s="715"/>
      <c r="R464" s="721">
        <f t="shared" si="92"/>
        <v>6.8212099999999998</v>
      </c>
      <c r="T464" s="722">
        <f t="shared" si="92"/>
        <v>6.8212200000000003</v>
      </c>
    </row>
    <row r="465" spans="1:20" ht="12.75" x14ac:dyDescent="0.2">
      <c r="A465" s="706"/>
      <c r="B465" s="713" t="str">
        <f>IF(WD.1Dgl!C36="","-",WD.1Dgl!$B$9&amp;" - "&amp;WD.1Dgl!C36)</f>
        <v>Laden - Vakuumfass</v>
      </c>
      <c r="C465" s="731" t="str">
        <f>IF(WD.1Dgl!$C$30="","",WD.1Dgl!$C$30)</f>
        <v>Jauche</v>
      </c>
      <c r="D465" s="720">
        <f>IF('[1]E-WD.ILeist'!$I36="","",'[1]E-WD.ILeist'!$I36)</f>
        <v>0.7944444444444444</v>
      </c>
      <c r="E465" s="715"/>
      <c r="F465" s="721">
        <f>IF(OR(H457="",WD.1Dgl!H36=""),"-",H457*WD.1Dgl!H36)</f>
        <v>0.7944444444444444</v>
      </c>
      <c r="H465" s="722">
        <f>IF(WD.1Dgl!$I36="","",WD.1Dgl!$I36)</f>
        <v>0.7944444444444444</v>
      </c>
      <c r="I465" s="717" t="str">
        <f t="shared" si="93"/>
        <v>Richtig!</v>
      </c>
      <c r="J465" s="718">
        <f t="shared" si="94"/>
        <v>1</v>
      </c>
      <c r="K465" s="711" t="str">
        <f t="shared" si="85"/>
        <v>│</v>
      </c>
      <c r="L465" s="712">
        <f t="shared" si="89"/>
        <v>1</v>
      </c>
      <c r="N465" s="719" t="str">
        <f>IF($L$1="","",$L$1)</f>
        <v>x</v>
      </c>
      <c r="P465" s="720">
        <f t="shared" si="92"/>
        <v>0.79444000000000004</v>
      </c>
      <c r="Q465" s="715"/>
      <c r="R465" s="721">
        <f t="shared" si="92"/>
        <v>0.79444000000000004</v>
      </c>
      <c r="T465" s="722">
        <f t="shared" si="92"/>
        <v>0.79444000000000004</v>
      </c>
    </row>
    <row r="466" spans="1:20" ht="12.75" hidden="1" customHeight="1" x14ac:dyDescent="0.2">
      <c r="B466" s="713" t="str">
        <f>IF(WD.1Dgl!C38="","-",WD.1Dgl!$B$12&amp;" - "&amp;WD.1Dgl!C38)</f>
        <v>Transport - Allradtraktor</v>
      </c>
      <c r="C466" s="731" t="str">
        <f>IF(WD.1Dgl!$C$30="","",WD.1Dgl!$C$30)</f>
        <v>Jauche</v>
      </c>
      <c r="D466" s="720">
        <f>IF('[1]E-WD.ILeist'!$I38="","",'[1]E-WD.ILeist'!$I38)</f>
        <v>37.826777777777778</v>
      </c>
      <c r="E466" s="715"/>
      <c r="F466" s="721">
        <f>IF(OR(H458="",WD.1Dgl!H38=""),"-",H458*WD.1Dgl!H38)</f>
        <v>37.826777777777778</v>
      </c>
      <c r="H466" s="722">
        <f>IF(WD.1Dgl!$I38="","",WD.1Dgl!$I38)</f>
        <v>37.826777777777778</v>
      </c>
      <c r="I466" s="717" t="str">
        <f t="shared" si="93"/>
        <v>Richtig!</v>
      </c>
      <c r="J466" s="718" t="str">
        <f t="shared" si="94"/>
        <v>-</v>
      </c>
      <c r="K466" s="711" t="str">
        <f t="shared" si="85"/>
        <v/>
      </c>
      <c r="L466" s="712" t="str">
        <f t="shared" si="89"/>
        <v/>
      </c>
      <c r="N466" s="719"/>
      <c r="P466" s="720">
        <f t="shared" si="92"/>
        <v>37.826779999999999</v>
      </c>
      <c r="Q466" s="715"/>
      <c r="R466" s="721">
        <f t="shared" si="92"/>
        <v>37.826779999999999</v>
      </c>
      <c r="T466" s="722">
        <f t="shared" si="92"/>
        <v>37.826779999999999</v>
      </c>
    </row>
    <row r="467" spans="1:20" ht="12.75" hidden="1" customHeight="1" x14ac:dyDescent="0.2">
      <c r="B467" s="713" t="str">
        <f>IF(WD.1Dgl!C39="","-",WD.1Dgl!$B$12&amp;" - "&amp;WD.1Dgl!C39)</f>
        <v>Transport - Vakuumfass</v>
      </c>
      <c r="C467" s="731" t="str">
        <f>IF(WD.1Dgl!$C$30="","",WD.1Dgl!$C$30)</f>
        <v>Jauche</v>
      </c>
      <c r="D467" s="720">
        <f>IF('[1]E-WD.ILeist'!$I39="","",'[1]E-WD.ILeist'!$I39)</f>
        <v>4.4055555555555559</v>
      </c>
      <c r="E467" s="715"/>
      <c r="F467" s="721">
        <f>IF(OR(H459="",WD.1Dgl!H39=""),"-",H459*WD.1Dgl!H39)</f>
        <v>4.405555555555555</v>
      </c>
      <c r="H467" s="722">
        <f>IF(WD.1Dgl!$I39="","",WD.1Dgl!$I39)</f>
        <v>4.405555555555555</v>
      </c>
      <c r="I467" s="717" t="str">
        <f t="shared" si="93"/>
        <v>Richtig!</v>
      </c>
      <c r="J467" s="718" t="str">
        <f t="shared" si="94"/>
        <v>-</v>
      </c>
      <c r="K467" s="711" t="str">
        <f t="shared" si="85"/>
        <v/>
      </c>
      <c r="L467" s="712" t="str">
        <f t="shared" si="89"/>
        <v/>
      </c>
      <c r="N467" s="719"/>
      <c r="P467" s="720">
        <f t="shared" si="92"/>
        <v>4.4055600000000004</v>
      </c>
      <c r="Q467" s="715"/>
      <c r="R467" s="721">
        <f t="shared" si="92"/>
        <v>4.4055600000000004</v>
      </c>
      <c r="T467" s="722">
        <f t="shared" si="92"/>
        <v>4.4055600000000004</v>
      </c>
    </row>
    <row r="468" spans="1:20" ht="12.75" hidden="1" customHeight="1" x14ac:dyDescent="0.2">
      <c r="B468" s="713" t="str">
        <f>IF(WD.1Dgl!C41="","-",WD.1Dgl!$B$15&amp;" - "&amp;WD.1Dgl!C41)</f>
        <v>Ausbringung - Allradtraktor</v>
      </c>
      <c r="C468" s="731" t="str">
        <f>IF(WD.1Dgl!$C$30="","",WD.1Dgl!$C$30)</f>
        <v>Jauche</v>
      </c>
      <c r="D468" s="720">
        <f>IF('[1]E-WD.ILeist'!$I41="","",'[1]E-WD.ILeist'!$I41)</f>
        <v>13.642444444444443</v>
      </c>
      <c r="E468" s="715"/>
      <c r="F468" s="721">
        <f>IF(WD.1Dgl!H41="","-",WD.1Dgl!H41)</f>
        <v>11.162000000000001</v>
      </c>
      <c r="H468" s="722">
        <f>IF(WD.1Dgl!$I41="","",WD.1Dgl!$I41)</f>
        <v>13.642444444444443</v>
      </c>
      <c r="I468" s="717" t="str">
        <f t="shared" si="93"/>
        <v>Richtig!</v>
      </c>
      <c r="J468" s="718" t="str">
        <f t="shared" si="94"/>
        <v>-</v>
      </c>
      <c r="K468" s="711" t="str">
        <f t="shared" si="85"/>
        <v/>
      </c>
      <c r="L468" s="712" t="str">
        <f t="shared" si="89"/>
        <v/>
      </c>
      <c r="N468" s="719"/>
      <c r="P468" s="720">
        <f t="shared" si="92"/>
        <v>13.642440000000001</v>
      </c>
      <c r="Q468" s="715"/>
      <c r="R468" s="721">
        <f t="shared" si="92"/>
        <v>11.162000000000001</v>
      </c>
      <c r="T468" s="722">
        <f t="shared" si="92"/>
        <v>13.642440000000001</v>
      </c>
    </row>
    <row r="469" spans="1:20" ht="12.75" hidden="1" customHeight="1" x14ac:dyDescent="0.2">
      <c r="B469" s="713" t="str">
        <f>IF(WD.1Dgl!C42="","-",WD.1Dgl!$B$15&amp;" - "&amp;WD.1Dgl!C42)</f>
        <v>Ausbringung - Vakuumfass</v>
      </c>
      <c r="C469" s="731" t="str">
        <f>IF(WD.1Dgl!$C$30="","",WD.1Dgl!$C$30)</f>
        <v>Jauche</v>
      </c>
      <c r="D469" s="720">
        <f>IF('[1]E-WD.ILeist'!$I42="","",'[1]E-WD.ILeist'!$I42)</f>
        <v>1.5888888888888888</v>
      </c>
      <c r="E469" s="715"/>
      <c r="F469" s="721">
        <f>IF(WD.1Dgl!H42="","-",WD.1Dgl!H42)</f>
        <v>1.3</v>
      </c>
      <c r="H469" s="722">
        <f>IF(WD.1Dgl!$I42="","",WD.1Dgl!$I42)</f>
        <v>1.5888888888888888</v>
      </c>
      <c r="I469" s="717" t="str">
        <f t="shared" si="93"/>
        <v>Richtig!</v>
      </c>
      <c r="J469" s="718" t="str">
        <f t="shared" si="94"/>
        <v>-</v>
      </c>
      <c r="K469" s="711" t="str">
        <f t="shared" si="85"/>
        <v/>
      </c>
      <c r="L469" s="712" t="str">
        <f t="shared" si="89"/>
        <v/>
      </c>
      <c r="N469" s="719"/>
      <c r="P469" s="720">
        <f t="shared" si="92"/>
        <v>1.5888899999999999</v>
      </c>
      <c r="Q469" s="715"/>
      <c r="R469" s="721">
        <f t="shared" si="92"/>
        <v>1.3</v>
      </c>
      <c r="T469" s="722">
        <f t="shared" si="92"/>
        <v>1.5888899999999999</v>
      </c>
    </row>
    <row r="470" spans="1:20" ht="12.75" x14ac:dyDescent="0.2">
      <c r="B470" s="2" t="str">
        <f>WD.1Dgl!B43</f>
        <v>Summe variable Maschinenkosten - Jauche</v>
      </c>
      <c r="C470" s="731" t="str">
        <f>IF(WD.1Dgl!$C$30="","",WD.1Dgl!$C$30)</f>
        <v>Jauche</v>
      </c>
      <c r="D470" s="720">
        <f>IF('[1]E-WD.ILeist'!$I43="","",'[1]E-WD.ILeist'!$I43)</f>
        <v>65.079333333333338</v>
      </c>
      <c r="E470" s="715"/>
      <c r="F470" s="721">
        <f>IF(AND(H464="",H465="",H466="",H467="",H468="",H469=""),"-",SUM(H464:H469))</f>
        <v>65.079333333333338</v>
      </c>
      <c r="H470" s="722">
        <f>IF(WD.1Dgl!$I43="","",WD.1Dgl!$I43)</f>
        <v>65.079333333333338</v>
      </c>
      <c r="I470" s="717" t="str">
        <f t="shared" si="93"/>
        <v>Richtig!</v>
      </c>
      <c r="J470" s="718">
        <f t="shared" si="94"/>
        <v>1</v>
      </c>
      <c r="K470" s="711" t="str">
        <f t="shared" si="85"/>
        <v>│</v>
      </c>
      <c r="L470" s="712">
        <f t="shared" si="89"/>
        <v>1</v>
      </c>
      <c r="N470" s="719" t="str">
        <f t="shared" ref="N470:N484" si="95">IF($L$1="","",$L$1)</f>
        <v>x</v>
      </c>
      <c r="P470" s="720">
        <f t="shared" si="92"/>
        <v>65.079329999999999</v>
      </c>
      <c r="Q470" s="715"/>
      <c r="R470" s="721">
        <f t="shared" si="92"/>
        <v>65.079329999999999</v>
      </c>
      <c r="T470" s="722">
        <f t="shared" si="92"/>
        <v>65.079329999999999</v>
      </c>
    </row>
    <row r="471" spans="1:20" ht="12.75" x14ac:dyDescent="0.2">
      <c r="A471" s="707"/>
      <c r="B471" s="2" t="str">
        <f>WD.1Dgl!B44</f>
        <v>Summe variable Maschinenkosten inkl. MWSt</v>
      </c>
      <c r="C471" s="731" t="str">
        <f>IF(WD.1Dgl!$C$30="","",WD.1Dgl!$C$30)</f>
        <v>Jauche</v>
      </c>
      <c r="D471" s="720">
        <f>IF('[1]E-WD.ILeist'!$I44="","",'[1]E-WD.ILeist'!$I44)</f>
        <v>78.095200000000006</v>
      </c>
      <c r="E471" s="715"/>
      <c r="F471" s="721">
        <f>IF(OR(H470="",WD.1Dgl!H44=""),"-",H470*(1+WD.1Dgl!H44))</f>
        <v>78.095200000000006</v>
      </c>
      <c r="H471" s="722">
        <f>IF(WD.1Dgl!$I44="","",WD.1Dgl!$I44)</f>
        <v>78.095200000000006</v>
      </c>
      <c r="I471" s="717" t="str">
        <f t="shared" si="93"/>
        <v>Richtig!</v>
      </c>
      <c r="J471" s="718">
        <f t="shared" si="94"/>
        <v>1</v>
      </c>
      <c r="K471" s="711" t="str">
        <f t="shared" si="85"/>
        <v>│</v>
      </c>
      <c r="L471" s="712">
        <f t="shared" si="89"/>
        <v>1</v>
      </c>
      <c r="N471" s="719" t="str">
        <f t="shared" si="95"/>
        <v>x</v>
      </c>
      <c r="P471" s="720">
        <f t="shared" si="92"/>
        <v>78.095200000000006</v>
      </c>
      <c r="Q471" s="715"/>
      <c r="R471" s="721">
        <f t="shared" si="92"/>
        <v>78.095200000000006</v>
      </c>
      <c r="T471" s="722">
        <f t="shared" si="92"/>
        <v>78.095200000000006</v>
      </c>
    </row>
    <row r="472" spans="1:20" ht="12.75" x14ac:dyDescent="0.2">
      <c r="A472" s="706"/>
      <c r="B472" s="2" t="str">
        <f>WD.1Dgl!G45</f>
        <v>Aufschlag für Rüstzeit</v>
      </c>
      <c r="C472" s="731" t="str">
        <f>IF(WD.1Dgl!$C$30="","",WD.1Dgl!$C$30)</f>
        <v>Jauche</v>
      </c>
      <c r="D472" s="720">
        <f>IF('[1]E-WD.ILeist'!$I45="","",'[1]E-WD.ILeist'!$I45)</f>
        <v>8.5904720000000001</v>
      </c>
      <c r="E472" s="715"/>
      <c r="F472" s="721">
        <f>IF(OR(H471="",WD.1Dgl!H45=""),"-",H471*WD.1Dgl!H45)</f>
        <v>8.5904720000000001</v>
      </c>
      <c r="H472" s="722">
        <f>IF(WD.1Dgl!$I45="","",WD.1Dgl!$I45)</f>
        <v>8.5904720000000001</v>
      </c>
      <c r="I472" s="717" t="str">
        <f t="shared" si="93"/>
        <v>Richtig!</v>
      </c>
      <c r="J472" s="718">
        <f t="shared" si="94"/>
        <v>1</v>
      </c>
      <c r="K472" s="711" t="str">
        <f t="shared" si="85"/>
        <v>│</v>
      </c>
      <c r="L472" s="712">
        <f t="shared" si="89"/>
        <v>1</v>
      </c>
      <c r="N472" s="719" t="str">
        <f t="shared" si="95"/>
        <v>x</v>
      </c>
      <c r="P472" s="720">
        <f t="shared" si="92"/>
        <v>8.5904699999999998</v>
      </c>
      <c r="Q472" s="715"/>
      <c r="R472" s="721">
        <f t="shared" si="92"/>
        <v>8.5904699999999998</v>
      </c>
      <c r="T472" s="722">
        <f t="shared" si="92"/>
        <v>8.5904699999999998</v>
      </c>
    </row>
    <row r="473" spans="1:20" ht="12.75" x14ac:dyDescent="0.2">
      <c r="A473" s="707"/>
      <c r="B473" s="2" t="str">
        <f>WD.1Dgl!B46</f>
        <v>GESAMTE MASCHINENKOSTEN je 10 m³</v>
      </c>
      <c r="C473" s="731" t="str">
        <f>IF(WD.1Dgl!$C$30="","",WD.1Dgl!$C$30)</f>
        <v>Jauche</v>
      </c>
      <c r="D473" s="720">
        <f>IF('[1]E-WD.ILeist'!$I46="","",'[1]E-WD.ILeist'!$I46)</f>
        <v>86.685672000000011</v>
      </c>
      <c r="E473" s="715"/>
      <c r="F473" s="721">
        <f>IF(AND(H471="",H472=""),"-",SUM(H471:H472))</f>
        <v>86.685672000000011</v>
      </c>
      <c r="H473" s="722">
        <f>IF(WD.1Dgl!$I46="","",WD.1Dgl!$I46)</f>
        <v>86.685672000000011</v>
      </c>
      <c r="I473" s="717" t="str">
        <f t="shared" si="93"/>
        <v>Richtig!</v>
      </c>
      <c r="J473" s="718">
        <f t="shared" si="94"/>
        <v>1</v>
      </c>
      <c r="K473" s="711" t="str">
        <f t="shared" si="85"/>
        <v>│</v>
      </c>
      <c r="L473" s="712">
        <f t="shared" si="89"/>
        <v>1</v>
      </c>
      <c r="N473" s="719" t="str">
        <f t="shared" si="95"/>
        <v>x</v>
      </c>
      <c r="P473" s="720">
        <f t="shared" si="92"/>
        <v>86.685670000000002</v>
      </c>
      <c r="Q473" s="715"/>
      <c r="R473" s="721">
        <f t="shared" si="92"/>
        <v>86.685670000000002</v>
      </c>
      <c r="T473" s="722">
        <f t="shared" si="92"/>
        <v>86.685670000000002</v>
      </c>
    </row>
    <row r="474" spans="1:20" ht="12.75" x14ac:dyDescent="0.2">
      <c r="A474" s="707"/>
      <c r="B474" s="2" t="str">
        <f>MID(WD.1Dgl!B46,1,27)&amp;WD.1Dgl!B49&amp;" "&amp;WD.1Dgl!C49</f>
        <v>GESAMTE MASCHINENKOSTEN je 18 m³</v>
      </c>
      <c r="C474" s="731" t="str">
        <f>IF(WD.1Dgl!$C$30="","",WD.1Dgl!$C$30)</f>
        <v>Jauche</v>
      </c>
      <c r="D474" s="720">
        <f>IF('[1]E-WD.ILeist'!$I49="","",'[1]E-WD.ILeist'!$I49)</f>
        <v>156.03420960000003</v>
      </c>
      <c r="E474" s="715"/>
      <c r="F474" s="721">
        <f>IF(OR(F473="-",WD.1Dgl!B49=""),"-",F473/10*WD.1Dgl!B49)</f>
        <v>156.03420960000003</v>
      </c>
      <c r="H474" s="722">
        <f>IF(WD.1Dgl!$I49="","",WD.1Dgl!$I49)</f>
        <v>156.03420960000003</v>
      </c>
      <c r="I474" s="717" t="str">
        <f t="shared" si="93"/>
        <v>Richtig!</v>
      </c>
      <c r="J474" s="718">
        <f t="shared" si="94"/>
        <v>1</v>
      </c>
      <c r="K474" s="711" t="str">
        <f t="shared" si="85"/>
        <v>│</v>
      </c>
      <c r="L474" s="712">
        <f t="shared" si="89"/>
        <v>1</v>
      </c>
      <c r="N474" s="719" t="str">
        <f t="shared" si="95"/>
        <v>x</v>
      </c>
      <c r="P474" s="720">
        <f t="shared" si="92"/>
        <v>156.03421</v>
      </c>
      <c r="Q474" s="715"/>
      <c r="R474" s="721">
        <f t="shared" si="92"/>
        <v>156.03421</v>
      </c>
      <c r="T474" s="722">
        <f t="shared" si="92"/>
        <v>156.03421</v>
      </c>
    </row>
    <row r="475" spans="1:20" ht="12.75" x14ac:dyDescent="0.2">
      <c r="A475" s="707"/>
      <c r="B475" s="2" t="str">
        <f>WD.1Dgl!B52</f>
        <v>Arbeitszeit/ha und Jahr</v>
      </c>
      <c r="C475" s="731" t="str">
        <f>IF(WD.1Dgl!$C$30="","",WD.1Dgl!$C$30)</f>
        <v>Jauche</v>
      </c>
      <c r="D475" s="720">
        <f>IF('[1]E-WD.ILeist'!$G52="","",ROUND('[1]E-WD.ILeist'!$G52,5))</f>
        <v>9.4</v>
      </c>
      <c r="E475" s="715"/>
      <c r="F475" s="721">
        <f>IF(OR(AND(H456="",H458="",H460=""),WD.1Dgl!B49=""),"-",ROUND(SUM(H456,H458,H460)/10*WD.1Dgl!B49,5))</f>
        <v>9.4</v>
      </c>
      <c r="H475" s="722">
        <f>IF(WD.1Dgl!$G52="","",ROUND(WD.1Dgl!$G52,5))</f>
        <v>9.4</v>
      </c>
      <c r="I475" s="717" t="str">
        <f t="shared" si="93"/>
        <v>Richtig!</v>
      </c>
      <c r="J475" s="718">
        <f t="shared" si="94"/>
        <v>1</v>
      </c>
      <c r="K475" s="711" t="str">
        <f t="shared" si="85"/>
        <v>│</v>
      </c>
      <c r="L475" s="712">
        <f t="shared" si="89"/>
        <v>1</v>
      </c>
      <c r="N475" s="719" t="str">
        <f t="shared" si="95"/>
        <v>x</v>
      </c>
      <c r="P475" s="720">
        <f t="shared" si="92"/>
        <v>9.4</v>
      </c>
      <c r="Q475" s="715"/>
      <c r="R475" s="721">
        <f t="shared" si="92"/>
        <v>9.4</v>
      </c>
      <c r="T475" s="722">
        <f t="shared" si="92"/>
        <v>9.4</v>
      </c>
    </row>
    <row r="476" spans="1:20" ht="12.75" x14ac:dyDescent="0.2">
      <c r="A476" s="707"/>
      <c r="B476" s="707"/>
      <c r="C476" s="707"/>
      <c r="D476" s="708"/>
      <c r="H476" s="706"/>
      <c r="I476" s="710"/>
      <c r="J476" s="710"/>
      <c r="K476" s="711" t="str">
        <f t="shared" si="85"/>
        <v/>
      </c>
      <c r="L476" s="712" t="str">
        <f t="shared" si="89"/>
        <v/>
      </c>
      <c r="N476" s="725" t="str">
        <f t="shared" si="95"/>
        <v>x</v>
      </c>
      <c r="P476" s="708" t="str">
        <f t="shared" si="92"/>
        <v/>
      </c>
      <c r="R476" s="1" t="str">
        <f t="shared" si="92"/>
        <v/>
      </c>
      <c r="T476" s="706" t="str">
        <f t="shared" si="92"/>
        <v/>
      </c>
    </row>
    <row r="477" spans="1:20" ht="12.75" x14ac:dyDescent="0.2">
      <c r="A477" s="706" t="s">
        <v>380</v>
      </c>
      <c r="B477" s="706" t="str">
        <f>WD.1Dgl!B54</f>
        <v>Gesamtbedarf pro Jahr bei Dauergrünland 3-schnittig</v>
      </c>
      <c r="C477" s="707"/>
      <c r="D477" s="708"/>
      <c r="H477" s="706"/>
      <c r="I477" s="710"/>
      <c r="J477" s="710"/>
      <c r="K477" s="711" t="str">
        <f t="shared" si="85"/>
        <v/>
      </c>
      <c r="L477" s="712" t="str">
        <f t="shared" si="89"/>
        <v/>
      </c>
      <c r="N477" s="695" t="str">
        <f t="shared" si="95"/>
        <v>x</v>
      </c>
      <c r="P477" s="708" t="str">
        <f t="shared" si="92"/>
        <v/>
      </c>
      <c r="R477" s="1" t="str">
        <f t="shared" si="92"/>
        <v/>
      </c>
      <c r="T477" s="706" t="str">
        <f t="shared" si="92"/>
        <v/>
      </c>
    </row>
    <row r="478" spans="1:20" ht="12.75" x14ac:dyDescent="0.2">
      <c r="A478" s="707"/>
      <c r="B478" s="2" t="str">
        <f>WD.1Dgl!B57</f>
        <v>Bedarf an: Festmist</v>
      </c>
      <c r="C478" s="731" t="str">
        <f>IF(WD.1Dgl!$C$30="","",WD.1Dgl!$C$30)</f>
        <v>Jauche</v>
      </c>
      <c r="D478" s="714">
        <f>IF('[1]E-WD.ILeist'!$G57="","",'[1]E-WD.ILeist'!$G57)</f>
        <v>661.5</v>
      </c>
      <c r="E478" s="715"/>
      <c r="F478" s="715"/>
      <c r="H478" s="716">
        <f>IF(WD.1Dgl!$G57="","",WD.1Dgl!$G57)</f>
        <v>661.5</v>
      </c>
      <c r="I478" s="717" t="str">
        <f>IF(AND(P478="",T478=""),"",IF(T478=P478,"Richtig!",IF(T478="","Fehlt","Falsch")))</f>
        <v>Richtig!</v>
      </c>
      <c r="J478" s="718">
        <f>IF(OR(B478="-",N478="",AND(P478="",T478="")),"-",IF(I478="Richtig!",1,IF(I478="Formel: OK",0.5,IF(OR(I478="Falsch",I478="Fehlt"),0,""))))</f>
        <v>1</v>
      </c>
      <c r="K478" s="711" t="str">
        <f t="shared" si="85"/>
        <v>│</v>
      </c>
      <c r="L478" s="712">
        <f t="shared" si="89"/>
        <v>1</v>
      </c>
      <c r="N478" s="719" t="str">
        <f t="shared" si="95"/>
        <v>x</v>
      </c>
      <c r="P478" s="714">
        <f t="shared" si="92"/>
        <v>661.5</v>
      </c>
      <c r="Q478" s="715"/>
      <c r="R478" s="715" t="str">
        <f t="shared" si="92"/>
        <v/>
      </c>
      <c r="T478" s="716">
        <f t="shared" si="92"/>
        <v>661.5</v>
      </c>
    </row>
    <row r="479" spans="1:20" ht="12.75" x14ac:dyDescent="0.2">
      <c r="A479" s="707"/>
      <c r="B479" s="2" t="str">
        <f>WD.1Dgl!B58</f>
        <v xml:space="preserve">                   Jauche</v>
      </c>
      <c r="C479" s="731" t="str">
        <f>IF(WD.1Dgl!$C$30="","",WD.1Dgl!$C$30)</f>
        <v>Jauche</v>
      </c>
      <c r="D479" s="714">
        <f>IF('[1]E-WD.ILeist'!$G58="","",'[1]E-WD.ILeist'!$G58)</f>
        <v>63</v>
      </c>
      <c r="E479" s="715"/>
      <c r="F479" s="715"/>
      <c r="H479" s="716">
        <f>IF(WD.1Dgl!$G58="","",WD.1Dgl!$G58)</f>
        <v>63</v>
      </c>
      <c r="I479" s="717" t="str">
        <f>IF(AND(P479="",T479=""),"",IF(T479=P479,"Richtig!",IF(T479="","Fehlt","Falsch")))</f>
        <v>Richtig!</v>
      </c>
      <c r="J479" s="718">
        <f>IF(OR(B479="-",N479="",AND(P479="",T479="")),"-",IF(I479="Richtig!",1,IF(I479="Formel: OK",0.5,IF(OR(I479="Falsch",I479="Fehlt"),0,""))))</f>
        <v>1</v>
      </c>
      <c r="K479" s="711" t="str">
        <f t="shared" si="85"/>
        <v>│</v>
      </c>
      <c r="L479" s="712">
        <f t="shared" si="89"/>
        <v>1</v>
      </c>
      <c r="N479" s="719" t="str">
        <f t="shared" si="95"/>
        <v>x</v>
      </c>
      <c r="P479" s="714">
        <f t="shared" si="92"/>
        <v>63</v>
      </c>
      <c r="Q479" s="715"/>
      <c r="R479" s="715" t="str">
        <f t="shared" si="92"/>
        <v/>
      </c>
      <c r="T479" s="716">
        <f t="shared" si="92"/>
        <v>63</v>
      </c>
    </row>
    <row r="480" spans="1:20" ht="12.75" x14ac:dyDescent="0.2">
      <c r="A480" s="707"/>
      <c r="B480" s="2" t="str">
        <f>WD.1Dgl!B59</f>
        <v>Arbeitszeitbedarf - gesamt (Festmist und Jauche)</v>
      </c>
      <c r="C480" s="731" t="str">
        <f>IF(WD.1Dgl!$C$30="","",WD.1Dgl!$C$30)</f>
        <v>Jauche</v>
      </c>
      <c r="D480" s="720">
        <f>IF('[1]E-WD.ILeist'!$G59="","",'[1]E-WD.ILeist'!$G59)</f>
        <v>21.622</v>
      </c>
      <c r="E480" s="715"/>
      <c r="F480" s="721">
        <f>IF(AND(H445="",H475=""),"-",SUM(H445,H475))</f>
        <v>21.62</v>
      </c>
      <c r="H480" s="722">
        <f>IF(WD.1Dgl!$G59="","",WD.1Dgl!$G59)</f>
        <v>21.622</v>
      </c>
      <c r="I480" s="717" t="str">
        <f>IF(OR(B480="-",AND(P480="",T480="")),"",IF(T480=P480,"Richtig!",IF(AND(P480&lt;&gt;T480,R480=T480),"Formel: OK",IF(T480="","Fehlt","Falsch"))))</f>
        <v>Richtig!</v>
      </c>
      <c r="J480" s="718">
        <f>IF(OR(B480="-",N480="",AND(P480="",T480="")),"-",IF(I480="Richtig!",1,IF(I480="Formel: OK",0.5,IF(OR(I480="Falsch",I480="Fehlt"),0,""))))</f>
        <v>1</v>
      </c>
      <c r="K480" s="711" t="str">
        <f t="shared" si="85"/>
        <v>│</v>
      </c>
      <c r="L480" s="712">
        <f t="shared" si="89"/>
        <v>1</v>
      </c>
      <c r="N480" s="719" t="str">
        <f t="shared" si="95"/>
        <v>x</v>
      </c>
      <c r="P480" s="720">
        <f t="shared" si="92"/>
        <v>21.622</v>
      </c>
      <c r="Q480" s="715"/>
      <c r="R480" s="721">
        <f t="shared" si="92"/>
        <v>21.62</v>
      </c>
      <c r="T480" s="722">
        <f t="shared" si="92"/>
        <v>21.622</v>
      </c>
    </row>
    <row r="481" spans="1:20" ht="12.75" customHeight="1" x14ac:dyDescent="0.2">
      <c r="A481" s="707"/>
      <c r="B481" s="707"/>
      <c r="C481" s="707"/>
      <c r="D481" s="708"/>
      <c r="H481" s="709"/>
      <c r="I481" s="710"/>
      <c r="J481" s="710"/>
      <c r="K481" s="711" t="str">
        <f t="shared" si="85"/>
        <v/>
      </c>
      <c r="L481" s="712" t="str">
        <f t="shared" si="89"/>
        <v/>
      </c>
      <c r="N481" s="725" t="str">
        <f t="shared" si="95"/>
        <v>x</v>
      </c>
      <c r="P481" s="708" t="str">
        <f t="shared" si="92"/>
        <v/>
      </c>
      <c r="R481" s="1" t="str">
        <f t="shared" si="92"/>
        <v/>
      </c>
      <c r="T481" s="709" t="str">
        <f t="shared" si="92"/>
        <v/>
      </c>
    </row>
    <row r="482" spans="1:20" ht="22.5" x14ac:dyDescent="0.2">
      <c r="A482" s="698" t="str">
        <f>"VK "&amp;IF('1xDgl'!B2="","",'1xDgl'!B2)</f>
        <v>VK Dauergrünland 3-schnittig</v>
      </c>
      <c r="B482" s="699"/>
      <c r="C482" s="700"/>
      <c r="D482" s="701" t="s">
        <v>0</v>
      </c>
      <c r="E482" s="701"/>
      <c r="F482" s="702" t="s">
        <v>363</v>
      </c>
      <c r="G482" s="700"/>
      <c r="H482" s="702" t="s">
        <v>364</v>
      </c>
      <c r="I482" s="703" t="str">
        <f>"Fehler"</f>
        <v>Fehler</v>
      </c>
      <c r="J482" s="704" t="s">
        <v>365</v>
      </c>
      <c r="K482" s="704"/>
      <c r="L482" s="704"/>
      <c r="N482" s="705" t="str">
        <f t="shared" si="95"/>
        <v>x</v>
      </c>
      <c r="P482" s="701" t="str">
        <f t="shared" si="92"/>
        <v>Ergebnis</v>
      </c>
      <c r="Q482" s="701"/>
      <c r="R482" s="702" t="str">
        <f t="shared" si="92"/>
        <v>Formel-
prüfung</v>
      </c>
      <c r="S482" s="700"/>
      <c r="T482" s="702" t="str">
        <f t="shared" si="92"/>
        <v>Deine Be-rechnung</v>
      </c>
    </row>
    <row r="483" spans="1:20" s="735" customFormat="1" ht="12.75" x14ac:dyDescent="0.2">
      <c r="A483" s="732" t="s">
        <v>399</v>
      </c>
      <c r="B483" s="732" t="s">
        <v>409</v>
      </c>
      <c r="C483" s="733"/>
      <c r="D483" s="734"/>
      <c r="H483" s="736"/>
      <c r="I483" s="737"/>
      <c r="J483" s="737"/>
      <c r="K483" s="711" t="str">
        <f t="shared" si="85"/>
        <v/>
      </c>
      <c r="L483" s="712" t="str">
        <f t="shared" ref="L483:L492" si="96">IF(OR(B483="-",N483="",AND(P483="",T483="")),"",1)</f>
        <v/>
      </c>
      <c r="M483" s="1"/>
      <c r="N483" s="695" t="str">
        <f t="shared" si="95"/>
        <v>x</v>
      </c>
      <c r="P483" s="734" t="str">
        <f t="shared" si="92"/>
        <v/>
      </c>
      <c r="R483" s="735" t="str">
        <f t="shared" si="92"/>
        <v/>
      </c>
      <c r="T483" s="736" t="str">
        <f t="shared" si="92"/>
        <v/>
      </c>
    </row>
    <row r="484" spans="1:20" s="735" customFormat="1" ht="12.75" x14ac:dyDescent="0.2">
      <c r="B484" s="738" t="str">
        <f>IF('1xDgl'!B13="","-",'1xDgl'!B13)</f>
        <v xml:space="preserve">  Abschleppen</v>
      </c>
      <c r="C484" s="733"/>
      <c r="D484" s="739">
        <f>IF('[1]E-ILeist'!$I13="","",'[1]E-ILeist'!$I13)</f>
        <v>2.1849999999999996</v>
      </c>
      <c r="E484" s="740"/>
      <c r="F484" s="740" t="s">
        <v>54</v>
      </c>
      <c r="H484" s="741">
        <f>IF('1xDgl'!$I13="","",'1xDgl'!$I13)</f>
        <v>2.1849999999999996</v>
      </c>
      <c r="I484" s="742" t="str">
        <f t="shared" ref="I484:I492" si="97">IF(OR(B484="-",AND(P484="",T484="")),"",IF(T484=P484,"Richtig!",IF(AND(P484&lt;&gt;T484,R484=T484),"Formel: OK",IF(T484="","Fehlt","Falsch"))))</f>
        <v>Richtig!</v>
      </c>
      <c r="J484" s="718">
        <f t="shared" ref="J484:J492" si="98">IF(OR(B484="-",N484="",AND(P484="",T484="")),"-",IF(I484="Richtig!",1,IF(I484="Formel: OK",0.5,IF(OR(I484="Falsch",I484="Fehlt"),0,""))))</f>
        <v>1</v>
      </c>
      <c r="K484" s="711" t="str">
        <f t="shared" si="85"/>
        <v>│</v>
      </c>
      <c r="L484" s="712">
        <f t="shared" si="96"/>
        <v>1</v>
      </c>
      <c r="M484" s="1"/>
      <c r="N484" s="719" t="str">
        <f t="shared" si="95"/>
        <v>x</v>
      </c>
      <c r="P484" s="739">
        <f t="shared" si="92"/>
        <v>2.1850000000000001</v>
      </c>
      <c r="Q484" s="740"/>
      <c r="R484" s="740" t="str">
        <f t="shared" si="92"/>
        <v>-</v>
      </c>
      <c r="T484" s="741">
        <f t="shared" si="92"/>
        <v>2.1850000000000001</v>
      </c>
    </row>
    <row r="485" spans="1:20" s="735" customFormat="1" ht="12.75" hidden="1" customHeight="1" x14ac:dyDescent="0.2">
      <c r="B485" s="738" t="str">
        <f>IF('1xDgl'!B14="","-",'1xDgl'!B14)</f>
        <v xml:space="preserve">  Pflegearbeiten</v>
      </c>
      <c r="C485" s="733"/>
      <c r="D485" s="739" t="str">
        <f>IF('[1]E-ILeist'!$I14="","",'[1]E-ILeist'!$I14)</f>
        <v/>
      </c>
      <c r="E485" s="740"/>
      <c r="F485" s="740"/>
      <c r="H485" s="741" t="str">
        <f>IF('1xDgl'!$I14="","",'1xDgl'!$I14)</f>
        <v/>
      </c>
      <c r="I485" s="742" t="str">
        <f t="shared" si="97"/>
        <v/>
      </c>
      <c r="J485" s="718" t="str">
        <f t="shared" si="98"/>
        <v>-</v>
      </c>
      <c r="K485" s="711" t="str">
        <f t="shared" si="85"/>
        <v/>
      </c>
      <c r="L485" s="712" t="str">
        <f t="shared" si="96"/>
        <v/>
      </c>
      <c r="M485" s="1"/>
      <c r="N485" s="719"/>
      <c r="P485" s="739" t="str">
        <f t="shared" si="92"/>
        <v/>
      </c>
      <c r="Q485" s="740"/>
      <c r="R485" s="740" t="str">
        <f t="shared" si="92"/>
        <v/>
      </c>
      <c r="T485" s="741" t="str">
        <f t="shared" si="92"/>
        <v/>
      </c>
    </row>
    <row r="486" spans="1:20" s="735" customFormat="1" ht="12.75" hidden="1" customHeight="1" x14ac:dyDescent="0.2">
      <c r="B486" s="738" t="str">
        <f>IF('1xDgl'!B15="","-",'1xDgl'!B15)</f>
        <v>-</v>
      </c>
      <c r="C486" s="733"/>
      <c r="D486" s="739" t="str">
        <f>IF('[1]E-ILeist'!$I15="","",'[1]E-ILeist'!$I15)</f>
        <v/>
      </c>
      <c r="E486" s="740"/>
      <c r="F486" s="740"/>
      <c r="H486" s="741" t="str">
        <f>IF('1xDgl'!$I15="","",'1xDgl'!$I15)</f>
        <v/>
      </c>
      <c r="I486" s="742" t="str">
        <f t="shared" si="97"/>
        <v/>
      </c>
      <c r="J486" s="718" t="str">
        <f t="shared" si="98"/>
        <v>-</v>
      </c>
      <c r="K486" s="711" t="str">
        <f t="shared" si="85"/>
        <v/>
      </c>
      <c r="L486" s="712" t="str">
        <f t="shared" si="96"/>
        <v/>
      </c>
      <c r="M486" s="1"/>
      <c r="N486" s="719"/>
      <c r="P486" s="739" t="str">
        <f t="shared" si="92"/>
        <v/>
      </c>
      <c r="Q486" s="740"/>
      <c r="R486" s="740" t="str">
        <f t="shared" si="92"/>
        <v/>
      </c>
      <c r="T486" s="741" t="str">
        <f t="shared" si="92"/>
        <v/>
      </c>
    </row>
    <row r="487" spans="1:20" s="735" customFormat="1" ht="12.75" hidden="1" customHeight="1" x14ac:dyDescent="0.2">
      <c r="B487" s="743" t="s">
        <v>4</v>
      </c>
      <c r="C487" s="733"/>
      <c r="D487" s="739"/>
      <c r="E487" s="740"/>
      <c r="F487" s="740"/>
      <c r="H487" s="741"/>
      <c r="I487" s="742" t="str">
        <f t="shared" si="97"/>
        <v/>
      </c>
      <c r="J487" s="718" t="str">
        <f t="shared" si="98"/>
        <v>-</v>
      </c>
      <c r="K487" s="711" t="str">
        <f t="shared" si="85"/>
        <v/>
      </c>
      <c r="L487" s="712" t="str">
        <f t="shared" si="96"/>
        <v/>
      </c>
      <c r="M487" s="1"/>
      <c r="N487" s="719"/>
      <c r="P487" s="739" t="str">
        <f t="shared" si="92"/>
        <v/>
      </c>
      <c r="Q487" s="740"/>
      <c r="R487" s="740" t="str">
        <f t="shared" si="92"/>
        <v/>
      </c>
      <c r="T487" s="741" t="str">
        <f t="shared" si="92"/>
        <v/>
      </c>
    </row>
    <row r="488" spans="1:20" s="735" customFormat="1" ht="12.75" hidden="1" customHeight="1" x14ac:dyDescent="0.2">
      <c r="B488" s="738" t="str">
        <f>'1xDgl'!C8&amp;" "&amp;'1xDgl'!C9</f>
        <v>AKh pro ha</v>
      </c>
      <c r="C488" s="733"/>
      <c r="D488" s="739">
        <f>IF('[1]E-ILeist'!$C16="","",'[1]E-ILeist'!$C16)</f>
        <v>27.922000000000001</v>
      </c>
      <c r="E488" s="740"/>
      <c r="F488" s="740"/>
      <c r="H488" s="741">
        <f>IF('1xDgl'!$C16="","",'1xDgl'!$C16)</f>
        <v>27.922000000000001</v>
      </c>
      <c r="I488" s="742" t="str">
        <f t="shared" si="97"/>
        <v>Richtig!</v>
      </c>
      <c r="J488" s="718" t="str">
        <f t="shared" si="98"/>
        <v>-</v>
      </c>
      <c r="K488" s="711" t="str">
        <f t="shared" si="85"/>
        <v/>
      </c>
      <c r="L488" s="712" t="str">
        <f t="shared" si="96"/>
        <v/>
      </c>
      <c r="M488" s="1"/>
      <c r="N488" s="719"/>
      <c r="P488" s="739">
        <f t="shared" si="92"/>
        <v>27.922000000000001</v>
      </c>
      <c r="Q488" s="740"/>
      <c r="R488" s="740" t="str">
        <f t="shared" si="92"/>
        <v/>
      </c>
      <c r="T488" s="741">
        <f t="shared" si="92"/>
        <v>27.922000000000001</v>
      </c>
    </row>
    <row r="489" spans="1:20" s="735" customFormat="1" ht="12.75" x14ac:dyDescent="0.2">
      <c r="B489" s="738" t="str">
        <f>IF('1xDgl'!D9="","-",'1xDgl'!D8&amp;" - "&amp;'1xDgl'!D9&amp;" KW")</f>
        <v>Traktorstunden pro ha - 75 KW</v>
      </c>
      <c r="C489" s="733"/>
      <c r="D489" s="739">
        <f>IF('[1]E-ILeist'!$D16="","",'[1]E-ILeist'!$D16)</f>
        <v>2.2999999999999998</v>
      </c>
      <c r="E489" s="740"/>
      <c r="F489" s="740" t="s">
        <v>54</v>
      </c>
      <c r="H489" s="741">
        <f>IF('1xDgl'!$D16="","",'1xDgl'!$D16)</f>
        <v>2.2999999999999998</v>
      </c>
      <c r="I489" s="742" t="str">
        <f t="shared" si="97"/>
        <v>Richtig!</v>
      </c>
      <c r="J489" s="718">
        <f t="shared" si="98"/>
        <v>1</v>
      </c>
      <c r="K489" s="711" t="str">
        <f t="shared" si="85"/>
        <v>│</v>
      </c>
      <c r="L489" s="712">
        <f t="shared" si="96"/>
        <v>1</v>
      </c>
      <c r="M489" s="1"/>
      <c r="N489" s="719" t="str">
        <f>IF($L$1="","",$L$1)</f>
        <v>x</v>
      </c>
      <c r="P489" s="739">
        <f t="shared" si="92"/>
        <v>2.2999999999999998</v>
      </c>
      <c r="Q489" s="740"/>
      <c r="R489" s="740" t="str">
        <f t="shared" si="92"/>
        <v>-</v>
      </c>
      <c r="T489" s="741">
        <f t="shared" si="92"/>
        <v>2.2999999999999998</v>
      </c>
    </row>
    <row r="490" spans="1:20" s="735" customFormat="1" ht="12.75" x14ac:dyDescent="0.2">
      <c r="B490" s="738" t="str">
        <f>IF('1xDgl'!E9="","-",'1xDgl'!D8&amp;" - "&amp;'1xDgl'!E9&amp;" KW")</f>
        <v>-</v>
      </c>
      <c r="C490" s="733"/>
      <c r="D490" s="739" t="str">
        <f>IF('[1]E-ILeist'!$E16="","",'[1]E-ILeist'!$E16)</f>
        <v/>
      </c>
      <c r="E490" s="740"/>
      <c r="F490" s="740" t="s">
        <v>54</v>
      </c>
      <c r="H490" s="741" t="str">
        <f>IF('1xDgl'!$E16="","",'1xDgl'!$E16)</f>
        <v/>
      </c>
      <c r="I490" s="742" t="str">
        <f t="shared" si="97"/>
        <v/>
      </c>
      <c r="J490" s="718" t="str">
        <f t="shared" si="98"/>
        <v>-</v>
      </c>
      <c r="K490" s="711" t="str">
        <f t="shared" si="85"/>
        <v/>
      </c>
      <c r="L490" s="712" t="str">
        <f t="shared" si="96"/>
        <v/>
      </c>
      <c r="M490" s="1"/>
      <c r="N490" s="719" t="str">
        <f>IF($L$1="","",$L$1)</f>
        <v>x</v>
      </c>
      <c r="P490" s="739" t="str">
        <f t="shared" si="92"/>
        <v/>
      </c>
      <c r="Q490" s="740"/>
      <c r="R490" s="740" t="str">
        <f t="shared" si="92"/>
        <v>-</v>
      </c>
      <c r="T490" s="741" t="str">
        <f t="shared" si="92"/>
        <v/>
      </c>
    </row>
    <row r="491" spans="1:20" s="735" customFormat="1" ht="12.75" hidden="1" customHeight="1" x14ac:dyDescent="0.2">
      <c r="B491" s="738" t="str">
        <f>IF('1xDgl'!F9="","-",'1xDgl'!D8&amp;" - "&amp;'1xDgl'!F9&amp;" KW")</f>
        <v>-</v>
      </c>
      <c r="C491" s="733"/>
      <c r="D491" s="739" t="str">
        <f>IF('[1]E-ILeist'!$F16="","",'[1]E-ILeist'!$F16)</f>
        <v/>
      </c>
      <c r="E491" s="740"/>
      <c r="F491" s="740"/>
      <c r="H491" s="741" t="str">
        <f>IF('1xDgl'!$F16="","",'1xDgl'!$F16)</f>
        <v/>
      </c>
      <c r="I491" s="742" t="str">
        <f t="shared" si="97"/>
        <v/>
      </c>
      <c r="J491" s="718" t="str">
        <f t="shared" si="98"/>
        <v>-</v>
      </c>
      <c r="K491" s="711" t="str">
        <f t="shared" si="85"/>
        <v/>
      </c>
      <c r="L491" s="712" t="str">
        <f t="shared" si="96"/>
        <v/>
      </c>
      <c r="M491" s="1"/>
      <c r="N491" s="719"/>
      <c r="P491" s="739" t="str">
        <f t="shared" si="92"/>
        <v/>
      </c>
      <c r="Q491" s="740"/>
      <c r="R491" s="740" t="str">
        <f t="shared" si="92"/>
        <v/>
      </c>
      <c r="T491" s="741" t="str">
        <f t="shared" si="92"/>
        <v/>
      </c>
    </row>
    <row r="492" spans="1:20" s="735" customFormat="1" ht="12.75" x14ac:dyDescent="0.2">
      <c r="B492" s="743" t="str">
        <f>'1xDgl'!H8&amp;" "&amp;'1xDgl'!I9</f>
        <v>Variable Maschinenkosten € gesamt</v>
      </c>
      <c r="C492" s="733"/>
      <c r="D492" s="744">
        <f>IF('[1]E-ILeist'!$I16="","",'[1]E-ILeist'!$I16)</f>
        <v>314.96869096000006</v>
      </c>
      <c r="E492" s="740"/>
      <c r="F492" s="745">
        <f>IF(AND('1xDgl'!I11="",'1xDgl'!I12="",'1xDgl'!I13="",'1xDgl'!I14="",'1xDgl'!I15=""),"-",SUM('1xDgl'!I11:I15))</f>
        <v>314.96869096000006</v>
      </c>
      <c r="H492" s="746">
        <f>IF('1xDgl'!$I16="","",'1xDgl'!$I16)</f>
        <v>314.96869096000006</v>
      </c>
      <c r="I492" s="742" t="str">
        <f t="shared" si="97"/>
        <v>Richtig!</v>
      </c>
      <c r="J492" s="718">
        <f t="shared" si="98"/>
        <v>1</v>
      </c>
      <c r="K492" s="711" t="str">
        <f t="shared" si="85"/>
        <v>│</v>
      </c>
      <c r="L492" s="712">
        <f t="shared" si="96"/>
        <v>1</v>
      </c>
      <c r="M492" s="1"/>
      <c r="N492" s="719" t="str">
        <f t="shared" ref="N492:N499" si="99">IF($L$1="","",$L$1)</f>
        <v>x</v>
      </c>
      <c r="P492" s="744">
        <f t="shared" si="92"/>
        <v>314.96868999999998</v>
      </c>
      <c r="Q492" s="740"/>
      <c r="R492" s="745">
        <f t="shared" si="92"/>
        <v>314.96868999999998</v>
      </c>
      <c r="T492" s="746">
        <f t="shared" si="92"/>
        <v>314.96868999999998</v>
      </c>
    </row>
    <row r="493" spans="1:20" ht="12.75" x14ac:dyDescent="0.2">
      <c r="A493" s="707"/>
      <c r="B493" s="707"/>
      <c r="C493" s="707"/>
      <c r="D493" s="708"/>
      <c r="H493" s="706"/>
      <c r="I493" s="710"/>
      <c r="J493" s="710"/>
      <c r="K493" s="711"/>
      <c r="L493" s="712"/>
      <c r="N493" s="725" t="str">
        <f t="shared" si="99"/>
        <v>x</v>
      </c>
      <c r="P493" s="708" t="str">
        <f t="shared" si="92"/>
        <v/>
      </c>
      <c r="R493" s="1" t="str">
        <f t="shared" si="92"/>
        <v/>
      </c>
      <c r="T493" s="706" t="str">
        <f t="shared" si="92"/>
        <v/>
      </c>
    </row>
    <row r="494" spans="1:20" ht="12.75" x14ac:dyDescent="0.2">
      <c r="A494" s="706" t="s">
        <v>368</v>
      </c>
      <c r="B494" s="706" t="s">
        <v>410</v>
      </c>
      <c r="C494" s="707"/>
      <c r="D494" s="708"/>
      <c r="H494" s="706"/>
      <c r="I494" s="710"/>
      <c r="J494" s="710"/>
      <c r="K494" s="711"/>
      <c r="L494" s="712"/>
      <c r="N494" s="695" t="str">
        <f t="shared" si="99"/>
        <v>x</v>
      </c>
      <c r="P494" s="708" t="str">
        <f t="shared" si="92"/>
        <v/>
      </c>
      <c r="R494" s="1" t="str">
        <f t="shared" si="92"/>
        <v/>
      </c>
      <c r="T494" s="706" t="str">
        <f t="shared" si="92"/>
        <v/>
      </c>
    </row>
    <row r="495" spans="1:20" s="735" customFormat="1" ht="12.75" x14ac:dyDescent="0.2">
      <c r="B495" s="738" t="str">
        <f>IF('1xDgl'!B18="","-",'1xDgl'!B18)</f>
        <v xml:space="preserve">  Mähen</v>
      </c>
      <c r="C495" s="733"/>
      <c r="D495" s="739">
        <f>IF('[1]E-ILeist'!$I18="","",'[1]E-ILeist'!$I18)</f>
        <v>5.7799999999999994</v>
      </c>
      <c r="E495" s="740"/>
      <c r="F495" s="740" t="s">
        <v>54</v>
      </c>
      <c r="H495" s="741">
        <f>IF('1xDgl'!$I18="","",'1xDgl'!$I18)</f>
        <v>5.7799999999999994</v>
      </c>
      <c r="I495" s="742" t="str">
        <f t="shared" ref="I495:I540" si="100">IF(OR(B495="-",AND(P495="",T495="")),"",IF(T495=P495,"Richtig!",IF(AND(P495&lt;&gt;T495,R495=T495),"Formel: OK",IF(T495="","Fehlt","Falsch"))))</f>
        <v>Richtig!</v>
      </c>
      <c r="J495" s="718">
        <f t="shared" ref="J495:J509" si="101">IF(OR(B495="-",N495="",AND(P495="",T495="")),"-",IF(I495="Richtig!",1,IF(I495="Formel: OK",0.5,IF(OR(I495="Falsch",I495="Fehlt"),0,""))))</f>
        <v>1</v>
      </c>
      <c r="K495" s="711" t="str">
        <f t="shared" si="85"/>
        <v>│</v>
      </c>
      <c r="L495" s="712">
        <f t="shared" ref="L495:L541" si="102">IF(OR(B495="-",N495="",AND(P495="",T495="")),"",1)</f>
        <v>1</v>
      </c>
      <c r="M495" s="1"/>
      <c r="N495" s="719" t="str">
        <f t="shared" si="99"/>
        <v>x</v>
      </c>
      <c r="P495" s="739">
        <f t="shared" si="92"/>
        <v>5.78</v>
      </c>
      <c r="Q495" s="740"/>
      <c r="R495" s="740" t="str">
        <f t="shared" si="92"/>
        <v>-</v>
      </c>
      <c r="T495" s="741">
        <f t="shared" si="92"/>
        <v>5.78</v>
      </c>
    </row>
    <row r="496" spans="1:20" s="735" customFormat="1" ht="12.75" x14ac:dyDescent="0.2">
      <c r="B496" s="738" t="str">
        <f>IF('1xDgl'!B19="","-",'1xDgl'!B19)</f>
        <v xml:space="preserve">  Zetten&amp;Wenden</v>
      </c>
      <c r="C496" s="733"/>
      <c r="D496" s="739">
        <f>IF('[1]E-ILeist'!$I19="","",'[1]E-ILeist'!$I19)</f>
        <v>5.1680000000000001</v>
      </c>
      <c r="E496" s="740"/>
      <c r="F496" s="740" t="s">
        <v>54</v>
      </c>
      <c r="H496" s="741">
        <f>IF('1xDgl'!$I19="","",'1xDgl'!$I19)</f>
        <v>5.1680000000000001</v>
      </c>
      <c r="I496" s="742" t="str">
        <f t="shared" si="100"/>
        <v>Richtig!</v>
      </c>
      <c r="J496" s="718">
        <f t="shared" si="101"/>
        <v>1</v>
      </c>
      <c r="K496" s="711" t="str">
        <f t="shared" si="85"/>
        <v>│</v>
      </c>
      <c r="L496" s="712">
        <f t="shared" si="102"/>
        <v>1</v>
      </c>
      <c r="M496" s="1"/>
      <c r="N496" s="719" t="str">
        <f t="shared" si="99"/>
        <v>x</v>
      </c>
      <c r="P496" s="739">
        <f t="shared" si="92"/>
        <v>5.1680000000000001</v>
      </c>
      <c r="Q496" s="740"/>
      <c r="R496" s="740" t="str">
        <f t="shared" si="92"/>
        <v>-</v>
      </c>
      <c r="T496" s="741">
        <f t="shared" si="92"/>
        <v>5.1680000000000001</v>
      </c>
    </row>
    <row r="497" spans="1:20" s="735" customFormat="1" ht="12.75" x14ac:dyDescent="0.2">
      <c r="B497" s="738" t="str">
        <f>IF('1xDgl'!B20="","-",'1xDgl'!B20)</f>
        <v xml:space="preserve">  Schwaden</v>
      </c>
      <c r="C497" s="733"/>
      <c r="D497" s="739">
        <f>IF('[1]E-ILeist'!$I20="","",'[1]E-ILeist'!$I20)</f>
        <v>2.0299999999999998</v>
      </c>
      <c r="E497" s="740"/>
      <c r="F497" s="740" t="s">
        <v>54</v>
      </c>
      <c r="H497" s="741">
        <f>IF('1xDgl'!$I20="","",'1xDgl'!$I20)</f>
        <v>2.0299999999999998</v>
      </c>
      <c r="I497" s="742" t="str">
        <f t="shared" si="100"/>
        <v>Richtig!</v>
      </c>
      <c r="J497" s="718">
        <f t="shared" si="101"/>
        <v>1</v>
      </c>
      <c r="K497" s="711" t="str">
        <f t="shared" si="85"/>
        <v>│</v>
      </c>
      <c r="L497" s="712">
        <f t="shared" si="102"/>
        <v>1</v>
      </c>
      <c r="M497" s="1"/>
      <c r="N497" s="719" t="str">
        <f t="shared" si="99"/>
        <v>x</v>
      </c>
      <c r="P497" s="739">
        <f t="shared" si="92"/>
        <v>2.0299999999999998</v>
      </c>
      <c r="Q497" s="740"/>
      <c r="R497" s="740" t="str">
        <f t="shared" si="92"/>
        <v>-</v>
      </c>
      <c r="T497" s="741">
        <f t="shared" si="92"/>
        <v>2.0299999999999998</v>
      </c>
    </row>
    <row r="498" spans="1:20" s="735" customFormat="1" ht="12.75" x14ac:dyDescent="0.2">
      <c r="B498" s="738" t="str">
        <f>IF('1xDgl'!B21="","-",'1xDgl'!B21)</f>
        <v xml:space="preserve">  Laden&amp;Transport</v>
      </c>
      <c r="C498" s="733"/>
      <c r="D498" s="739">
        <f>IF('[1]E-ILeist'!$I21="","",'[1]E-ILeist'!$I21)</f>
        <v>22.8</v>
      </c>
      <c r="E498" s="740"/>
      <c r="F498" s="740" t="s">
        <v>54</v>
      </c>
      <c r="H498" s="741">
        <f>IF('1xDgl'!$I21="","",'1xDgl'!$I21)</f>
        <v>22.8</v>
      </c>
      <c r="I498" s="742" t="str">
        <f t="shared" si="100"/>
        <v>Richtig!</v>
      </c>
      <c r="J498" s="718">
        <f t="shared" si="101"/>
        <v>1</v>
      </c>
      <c r="K498" s="711" t="str">
        <f t="shared" si="85"/>
        <v>│</v>
      </c>
      <c r="L498" s="712">
        <f t="shared" si="102"/>
        <v>1</v>
      </c>
      <c r="M498" s="1"/>
      <c r="N498" s="719" t="str">
        <f t="shared" si="99"/>
        <v>x</v>
      </c>
      <c r="P498" s="739">
        <f t="shared" si="92"/>
        <v>22.8</v>
      </c>
      <c r="Q498" s="740"/>
      <c r="R498" s="740" t="str">
        <f t="shared" si="92"/>
        <v>-</v>
      </c>
      <c r="T498" s="741">
        <f t="shared" si="92"/>
        <v>22.8</v>
      </c>
    </row>
    <row r="499" spans="1:20" s="735" customFormat="1" ht="12.75" x14ac:dyDescent="0.2">
      <c r="B499" s="738" t="str">
        <f>IF('1xDgl'!B22="","-",'1xDgl'!B22)</f>
        <v xml:space="preserve">  Einlagern</v>
      </c>
      <c r="C499" s="733"/>
      <c r="D499" s="739">
        <f>IF('[1]E-ILeist'!$I22="","",'[1]E-ILeist'!$I22)</f>
        <v>9.18</v>
      </c>
      <c r="E499" s="740"/>
      <c r="F499" s="740" t="s">
        <v>54</v>
      </c>
      <c r="H499" s="741">
        <f>IF('1xDgl'!$I22="","",'1xDgl'!$I22)</f>
        <v>9.18</v>
      </c>
      <c r="I499" s="742" t="str">
        <f t="shared" si="100"/>
        <v>Richtig!</v>
      </c>
      <c r="J499" s="718">
        <f t="shared" si="101"/>
        <v>1</v>
      </c>
      <c r="K499" s="711" t="str">
        <f t="shared" si="85"/>
        <v>│</v>
      </c>
      <c r="L499" s="712">
        <f t="shared" si="102"/>
        <v>1</v>
      </c>
      <c r="M499" s="1"/>
      <c r="N499" s="719" t="str">
        <f t="shared" si="99"/>
        <v>x</v>
      </c>
      <c r="P499" s="739">
        <f t="shared" si="92"/>
        <v>9.18</v>
      </c>
      <c r="Q499" s="740"/>
      <c r="R499" s="740" t="str">
        <f t="shared" si="92"/>
        <v>-</v>
      </c>
      <c r="T499" s="741">
        <f t="shared" si="92"/>
        <v>9.18</v>
      </c>
    </row>
    <row r="500" spans="1:20" s="735" customFormat="1" ht="12.75" hidden="1" customHeight="1" x14ac:dyDescent="0.2">
      <c r="B500" s="738" t="str">
        <f>IF('1xDgl'!B23="","-",'1xDgl'!B23)</f>
        <v>-</v>
      </c>
      <c r="C500" s="733"/>
      <c r="D500" s="739" t="str">
        <f>IF('[1]E-ILeist'!$I23="","",'[1]E-ILeist'!$I23)</f>
        <v/>
      </c>
      <c r="E500" s="740"/>
      <c r="F500" s="740"/>
      <c r="H500" s="741" t="str">
        <f>IF('1xDgl'!$I23="","",'1xDgl'!$I23)</f>
        <v/>
      </c>
      <c r="I500" s="742" t="str">
        <f t="shared" si="100"/>
        <v/>
      </c>
      <c r="J500" s="718" t="str">
        <f t="shared" si="101"/>
        <v>-</v>
      </c>
      <c r="K500" s="711" t="str">
        <f t="shared" si="85"/>
        <v/>
      </c>
      <c r="L500" s="712" t="str">
        <f t="shared" si="102"/>
        <v/>
      </c>
      <c r="M500" s="1"/>
      <c r="N500" s="719"/>
      <c r="P500" s="739" t="str">
        <f t="shared" si="92"/>
        <v/>
      </c>
      <c r="Q500" s="740"/>
      <c r="R500" s="740" t="str">
        <f t="shared" si="92"/>
        <v/>
      </c>
      <c r="T500" s="741" t="str">
        <f t="shared" si="92"/>
        <v/>
      </c>
    </row>
    <row r="501" spans="1:20" s="735" customFormat="1" ht="12.75" hidden="1" customHeight="1" x14ac:dyDescent="0.2">
      <c r="B501" s="738" t="str">
        <f>IF('1xDgl'!B24="","-",'1xDgl'!B24)</f>
        <v>-</v>
      </c>
      <c r="C501" s="733"/>
      <c r="D501" s="739" t="str">
        <f>IF('[1]E-ILeist'!$I24="","",'[1]E-ILeist'!$I24)</f>
        <v/>
      </c>
      <c r="E501" s="740"/>
      <c r="F501" s="740"/>
      <c r="H501" s="741" t="str">
        <f>IF('1xDgl'!$I24="","",'1xDgl'!$I24)</f>
        <v/>
      </c>
      <c r="I501" s="742" t="str">
        <f t="shared" si="100"/>
        <v/>
      </c>
      <c r="J501" s="718" t="str">
        <f t="shared" si="101"/>
        <v>-</v>
      </c>
      <c r="K501" s="711" t="str">
        <f t="shared" ref="K501:K564" si="103">IF(L501="","","│")</f>
        <v/>
      </c>
      <c r="L501" s="712" t="str">
        <f t="shared" si="102"/>
        <v/>
      </c>
      <c r="M501" s="1"/>
      <c r="N501" s="719"/>
      <c r="P501" s="739" t="str">
        <f t="shared" si="92"/>
        <v/>
      </c>
      <c r="Q501" s="740"/>
      <c r="R501" s="740" t="str">
        <f t="shared" si="92"/>
        <v/>
      </c>
      <c r="T501" s="741" t="str">
        <f t="shared" si="92"/>
        <v/>
      </c>
    </row>
    <row r="502" spans="1:20" s="735" customFormat="1" ht="12.75" hidden="1" customHeight="1" x14ac:dyDescent="0.2">
      <c r="B502" s="738" t="str">
        <f>IF('1xDgl'!B25="","-",'1xDgl'!B25)</f>
        <v>-</v>
      </c>
      <c r="C502" s="733"/>
      <c r="D502" s="739" t="str">
        <f>IF('[1]E-ILeist'!$I25="","",'[1]E-ILeist'!$I25)</f>
        <v/>
      </c>
      <c r="E502" s="740"/>
      <c r="F502" s="740"/>
      <c r="H502" s="741" t="str">
        <f>IF('1xDgl'!$I25="","",'1xDgl'!$I25)</f>
        <v/>
      </c>
      <c r="I502" s="742" t="str">
        <f t="shared" si="100"/>
        <v/>
      </c>
      <c r="J502" s="718" t="str">
        <f t="shared" si="101"/>
        <v>-</v>
      </c>
      <c r="K502" s="711" t="str">
        <f t="shared" si="103"/>
        <v/>
      </c>
      <c r="L502" s="712" t="str">
        <f t="shared" si="102"/>
        <v/>
      </c>
      <c r="M502" s="1"/>
      <c r="N502" s="719"/>
      <c r="P502" s="739" t="str">
        <f t="shared" si="92"/>
        <v/>
      </c>
      <c r="Q502" s="740"/>
      <c r="R502" s="740" t="str">
        <f t="shared" si="92"/>
        <v/>
      </c>
      <c r="T502" s="741" t="str">
        <f t="shared" si="92"/>
        <v/>
      </c>
    </row>
    <row r="503" spans="1:20" s="735" customFormat="1" ht="12.75" hidden="1" customHeight="1" x14ac:dyDescent="0.2">
      <c r="B503" s="738" t="str">
        <f>IF('1xDgl'!B26="","-",'1xDgl'!B26)</f>
        <v>-</v>
      </c>
      <c r="C503" s="733"/>
      <c r="D503" s="739" t="str">
        <f>IF('[1]E-ILeist'!$I26="","",'[1]E-ILeist'!$I26)</f>
        <v/>
      </c>
      <c r="E503" s="740"/>
      <c r="F503" s="740"/>
      <c r="H503" s="741" t="str">
        <f>IF('1xDgl'!$I26="","",'1xDgl'!$I26)</f>
        <v/>
      </c>
      <c r="I503" s="742" t="str">
        <f t="shared" si="100"/>
        <v/>
      </c>
      <c r="J503" s="718" t="str">
        <f t="shared" si="101"/>
        <v>-</v>
      </c>
      <c r="K503" s="711" t="str">
        <f t="shared" si="103"/>
        <v/>
      </c>
      <c r="L503" s="712" t="str">
        <f t="shared" si="102"/>
        <v/>
      </c>
      <c r="M503" s="1"/>
      <c r="N503" s="719"/>
      <c r="P503" s="739" t="str">
        <f t="shared" si="92"/>
        <v/>
      </c>
      <c r="Q503" s="740"/>
      <c r="R503" s="740" t="str">
        <f t="shared" si="92"/>
        <v/>
      </c>
      <c r="T503" s="741" t="str">
        <f t="shared" si="92"/>
        <v/>
      </c>
    </row>
    <row r="504" spans="1:20" s="735" customFormat="1" ht="12.75" hidden="1" customHeight="1" x14ac:dyDescent="0.2">
      <c r="B504" s="743" t="s">
        <v>5</v>
      </c>
      <c r="C504" s="733"/>
      <c r="D504" s="739"/>
      <c r="E504" s="740"/>
      <c r="F504" s="740"/>
      <c r="H504" s="741"/>
      <c r="I504" s="742" t="str">
        <f t="shared" si="100"/>
        <v/>
      </c>
      <c r="J504" s="718" t="str">
        <f t="shared" si="101"/>
        <v>-</v>
      </c>
      <c r="K504" s="711" t="str">
        <f t="shared" si="103"/>
        <v/>
      </c>
      <c r="L504" s="712" t="str">
        <f t="shared" si="102"/>
        <v/>
      </c>
      <c r="M504" s="1"/>
      <c r="N504" s="719"/>
      <c r="P504" s="739" t="str">
        <f t="shared" si="92"/>
        <v/>
      </c>
      <c r="Q504" s="740"/>
      <c r="R504" s="740" t="str">
        <f t="shared" si="92"/>
        <v/>
      </c>
      <c r="T504" s="741" t="str">
        <f t="shared" si="92"/>
        <v/>
      </c>
    </row>
    <row r="505" spans="1:20" s="735" customFormat="1" ht="12.75" hidden="1" customHeight="1" x14ac:dyDescent="0.2">
      <c r="B505" s="738" t="str">
        <f>'1xDgl'!C8&amp;" "&amp;'1xDgl'!C9</f>
        <v>AKh pro ha</v>
      </c>
      <c r="C505" s="733"/>
      <c r="D505" s="739">
        <f>IF('[1]E-ILeist'!$C27="","",'[1]E-ILeist'!$C27)</f>
        <v>20.5</v>
      </c>
      <c r="E505" s="740"/>
      <c r="F505" s="740"/>
      <c r="H505" s="741">
        <f>IF('1xDgl'!$C27="","",'1xDgl'!$C27)</f>
        <v>20.5</v>
      </c>
      <c r="I505" s="742" t="str">
        <f t="shared" si="100"/>
        <v>Richtig!</v>
      </c>
      <c r="J505" s="718" t="str">
        <f t="shared" si="101"/>
        <v>-</v>
      </c>
      <c r="K505" s="711" t="str">
        <f t="shared" si="103"/>
        <v/>
      </c>
      <c r="L505" s="712" t="str">
        <f t="shared" si="102"/>
        <v/>
      </c>
      <c r="M505" s="1"/>
      <c r="N505" s="719"/>
      <c r="P505" s="739">
        <f t="shared" si="92"/>
        <v>20.5</v>
      </c>
      <c r="Q505" s="740"/>
      <c r="R505" s="740" t="str">
        <f t="shared" si="92"/>
        <v/>
      </c>
      <c r="T505" s="741">
        <f t="shared" si="92"/>
        <v>20.5</v>
      </c>
    </row>
    <row r="506" spans="1:20" s="735" customFormat="1" ht="12.75" x14ac:dyDescent="0.2">
      <c r="B506" s="738" t="str">
        <f>IF('1xDgl'!D9="","-",'1xDgl'!D8&amp;" - "&amp;'1xDgl'!D9&amp;" KW")</f>
        <v>Traktorstunden pro ha - 75 KW</v>
      </c>
      <c r="C506" s="733"/>
      <c r="D506" s="739">
        <f>IF('[1]E-ILeist'!$D27="","",'[1]E-ILeist'!$D27)</f>
        <v>20.5</v>
      </c>
      <c r="E506" s="740"/>
      <c r="F506" s="740" t="s">
        <v>54</v>
      </c>
      <c r="H506" s="741">
        <f>IF('1xDgl'!$D27="","",'1xDgl'!$D27)</f>
        <v>20.5</v>
      </c>
      <c r="I506" s="742" t="str">
        <f t="shared" si="100"/>
        <v>Richtig!</v>
      </c>
      <c r="J506" s="718">
        <f t="shared" si="101"/>
        <v>1</v>
      </c>
      <c r="K506" s="711" t="str">
        <f t="shared" si="103"/>
        <v>│</v>
      </c>
      <c r="L506" s="712">
        <f t="shared" si="102"/>
        <v>1</v>
      </c>
      <c r="M506" s="1"/>
      <c r="N506" s="719" t="str">
        <f>IF($L$1="","",$L$1)</f>
        <v>x</v>
      </c>
      <c r="P506" s="739">
        <f t="shared" si="92"/>
        <v>20.5</v>
      </c>
      <c r="Q506" s="740"/>
      <c r="R506" s="740" t="str">
        <f t="shared" si="92"/>
        <v>-</v>
      </c>
      <c r="T506" s="741">
        <f t="shared" si="92"/>
        <v>20.5</v>
      </c>
    </row>
    <row r="507" spans="1:20" s="735" customFormat="1" ht="12.75" x14ac:dyDescent="0.2">
      <c r="B507" s="738" t="str">
        <f>IF('1xDgl'!E9="","-",'1xDgl'!D8&amp;" - "&amp;'1xDgl'!E9&amp;" KW")</f>
        <v>-</v>
      </c>
      <c r="C507" s="733"/>
      <c r="D507" s="739" t="str">
        <f>IF('[1]E-ILeist'!$E27="","",'[1]E-ILeist'!$E27)</f>
        <v/>
      </c>
      <c r="E507" s="740"/>
      <c r="F507" s="740" t="s">
        <v>54</v>
      </c>
      <c r="H507" s="741" t="str">
        <f>IF('1xDgl'!$E27="","",'1xDgl'!$E27)</f>
        <v/>
      </c>
      <c r="I507" s="742" t="str">
        <f t="shared" si="100"/>
        <v/>
      </c>
      <c r="J507" s="718" t="str">
        <f t="shared" si="101"/>
        <v>-</v>
      </c>
      <c r="K507" s="711" t="str">
        <f t="shared" si="103"/>
        <v/>
      </c>
      <c r="L507" s="712" t="str">
        <f t="shared" si="102"/>
        <v/>
      </c>
      <c r="M507" s="1"/>
      <c r="N507" s="719" t="str">
        <f>IF($L$1="","",$L$1)</f>
        <v>x</v>
      </c>
      <c r="P507" s="739" t="str">
        <f t="shared" si="92"/>
        <v/>
      </c>
      <c r="Q507" s="740"/>
      <c r="R507" s="740" t="str">
        <f t="shared" si="92"/>
        <v>-</v>
      </c>
      <c r="T507" s="741" t="str">
        <f t="shared" si="92"/>
        <v/>
      </c>
    </row>
    <row r="508" spans="1:20" s="735" customFormat="1" ht="12.75" hidden="1" customHeight="1" x14ac:dyDescent="0.2">
      <c r="B508" s="738" t="str">
        <f>IF('1xDgl'!F9="","-",'1xDgl'!D8&amp;" - "&amp;'1xDgl'!F9&amp;" KW")</f>
        <v>-</v>
      </c>
      <c r="C508" s="733"/>
      <c r="D508" s="739" t="str">
        <f>IF('[1]E-ILeist'!$F27="","",'[1]E-ILeist'!$F27)</f>
        <v/>
      </c>
      <c r="E508" s="740"/>
      <c r="F508" s="740"/>
      <c r="H508" s="741" t="str">
        <f>IF('1xDgl'!$F27="","",'1xDgl'!$F27)</f>
        <v/>
      </c>
      <c r="I508" s="742" t="str">
        <f t="shared" si="100"/>
        <v/>
      </c>
      <c r="J508" s="718" t="str">
        <f t="shared" si="101"/>
        <v>-</v>
      </c>
      <c r="K508" s="711" t="str">
        <f t="shared" si="103"/>
        <v/>
      </c>
      <c r="L508" s="712" t="str">
        <f t="shared" si="102"/>
        <v/>
      </c>
      <c r="M508" s="1"/>
      <c r="N508" s="719"/>
      <c r="P508" s="739" t="str">
        <f t="shared" si="92"/>
        <v/>
      </c>
      <c r="Q508" s="740"/>
      <c r="R508" s="740" t="str">
        <f t="shared" si="92"/>
        <v/>
      </c>
      <c r="T508" s="741" t="str">
        <f t="shared" si="92"/>
        <v/>
      </c>
    </row>
    <row r="509" spans="1:20" s="735" customFormat="1" ht="12.75" x14ac:dyDescent="0.2">
      <c r="B509" s="743" t="str">
        <f>'1xDgl'!H8&amp;" "&amp;'1xDgl'!I9</f>
        <v>Variable Maschinenkosten € gesamt</v>
      </c>
      <c r="C509" s="733"/>
      <c r="D509" s="744">
        <f>IF('[1]E-ILeist'!$I27="","",'[1]E-ILeist'!$I27)</f>
        <v>44.957999999999998</v>
      </c>
      <c r="E509" s="740"/>
      <c r="F509" s="745">
        <f>IF(AND('1xDgl'!I18="",'1xDgl'!I19="",'1xDgl'!I20="",'1xDgl'!I21="",'1xDgl'!I22="",'1xDgl'!I23="",'1xDgl'!I24="",'1xDgl'!I25="",'1xDgl'!I26=""),"-",SUM('1xDgl'!I18:I26))</f>
        <v>44.957999999999998</v>
      </c>
      <c r="H509" s="746">
        <f>IF('1xDgl'!$I27="","",'1xDgl'!$I27)</f>
        <v>44.957999999999998</v>
      </c>
      <c r="I509" s="742" t="str">
        <f t="shared" si="100"/>
        <v>Richtig!</v>
      </c>
      <c r="J509" s="718">
        <f t="shared" si="101"/>
        <v>1</v>
      </c>
      <c r="K509" s="711" t="str">
        <f t="shared" si="103"/>
        <v>│</v>
      </c>
      <c r="L509" s="712">
        <f t="shared" si="102"/>
        <v>1</v>
      </c>
      <c r="M509" s="1"/>
      <c r="N509" s="719" t="str">
        <f>IF($L$1="","",$L$1)</f>
        <v>x</v>
      </c>
      <c r="P509" s="744">
        <f t="shared" si="92"/>
        <v>44.957999999999998</v>
      </c>
      <c r="Q509" s="740"/>
      <c r="R509" s="745">
        <f t="shared" si="92"/>
        <v>44.957999999999998</v>
      </c>
      <c r="T509" s="746">
        <f t="shared" si="92"/>
        <v>44.957999999999998</v>
      </c>
    </row>
    <row r="510" spans="1:20" ht="12.75" x14ac:dyDescent="0.2">
      <c r="A510" s="707"/>
      <c r="B510" s="707"/>
      <c r="C510" s="707"/>
      <c r="D510" s="708"/>
      <c r="H510" s="706"/>
      <c r="I510" s="710" t="str">
        <f t="shared" si="100"/>
        <v/>
      </c>
      <c r="J510" s="710"/>
      <c r="K510" s="711" t="str">
        <f t="shared" si="103"/>
        <v/>
      </c>
      <c r="L510" s="712" t="str">
        <f t="shared" si="102"/>
        <v/>
      </c>
      <c r="N510" s="725" t="str">
        <f>IF($L$1="","",$L$1)</f>
        <v>x</v>
      </c>
      <c r="P510" s="708" t="str">
        <f t="shared" si="92"/>
        <v/>
      </c>
      <c r="R510" s="1" t="str">
        <f t="shared" si="92"/>
        <v/>
      </c>
      <c r="T510" s="706" t="str">
        <f t="shared" si="92"/>
        <v/>
      </c>
    </row>
    <row r="511" spans="1:20" ht="12.75" x14ac:dyDescent="0.2">
      <c r="A511" s="706" t="s">
        <v>370</v>
      </c>
      <c r="B511" s="706" t="s">
        <v>411</v>
      </c>
      <c r="C511" s="707"/>
      <c r="D511" s="708"/>
      <c r="H511" s="706"/>
      <c r="I511" s="710" t="str">
        <f t="shared" si="100"/>
        <v/>
      </c>
      <c r="J511" s="710"/>
      <c r="K511" s="711" t="str">
        <f t="shared" si="103"/>
        <v/>
      </c>
      <c r="L511" s="712" t="str">
        <f t="shared" si="102"/>
        <v/>
      </c>
      <c r="N511" s="695" t="str">
        <f>IF($L$1="","",$L$1)</f>
        <v>x</v>
      </c>
      <c r="P511" s="708" t="str">
        <f t="shared" si="92"/>
        <v/>
      </c>
      <c r="R511" s="1" t="str">
        <f t="shared" si="92"/>
        <v/>
      </c>
      <c r="T511" s="706" t="str">
        <f t="shared" si="92"/>
        <v/>
      </c>
    </row>
    <row r="512" spans="1:20" s="735" customFormat="1" ht="12.75" x14ac:dyDescent="0.2">
      <c r="A512" s="732"/>
      <c r="B512" s="738" t="str">
        <f>IF('1xDgl'!B29="","-",'1xDgl'!B29)</f>
        <v>Variable Kosten für den 75 KW-Traktor</v>
      </c>
      <c r="C512" s="733"/>
      <c r="D512" s="744">
        <f>IF('[1]E-ILeist'!$I29="","",'[1]E-ILeist'!$I29)</f>
        <v>712.13560000000007</v>
      </c>
      <c r="E512" s="740"/>
      <c r="F512" s="745">
        <f>IF(OR('1xDgl'!G29="",'1xDgl'!H29="",'1xDgl'!G29="noch leer",'1xDgl'!H29="noch leer"),"-",'1xDgl'!G29*'1xDgl'!H29)</f>
        <v>712.13560000000007</v>
      </c>
      <c r="H512" s="746">
        <f>IF('1xDgl'!$I29="","",'1xDgl'!$I29)</f>
        <v>712.13560000000007</v>
      </c>
      <c r="I512" s="742" t="str">
        <f t="shared" si="100"/>
        <v>Richtig!</v>
      </c>
      <c r="J512" s="718">
        <f>IF(OR(B512="-",N512="",AND(P512="",T512="")),"-",IF(I512="Richtig!",1,IF(I512="Formel: OK",0.5,IF(OR(I512="Falsch",I512="Fehlt"),0,""))))</f>
        <v>1</v>
      </c>
      <c r="K512" s="711" t="str">
        <f t="shared" si="103"/>
        <v>│</v>
      </c>
      <c r="L512" s="712">
        <f t="shared" si="102"/>
        <v>1</v>
      </c>
      <c r="M512" s="1"/>
      <c r="N512" s="719" t="str">
        <f>IF($L$1="","",$L$1)</f>
        <v>x</v>
      </c>
      <c r="P512" s="744">
        <f t="shared" si="92"/>
        <v>712.13559999999995</v>
      </c>
      <c r="Q512" s="740"/>
      <c r="R512" s="745">
        <f t="shared" si="92"/>
        <v>712.13559999999995</v>
      </c>
      <c r="T512" s="746">
        <f t="shared" si="92"/>
        <v>712.13559999999995</v>
      </c>
    </row>
    <row r="513" spans="1:20" s="735" customFormat="1" ht="12.75" x14ac:dyDescent="0.2">
      <c r="A513" s="732"/>
      <c r="B513" s="738" t="str">
        <f>IF('1xDgl'!B30="","-",'1xDgl'!B30)</f>
        <v>-</v>
      </c>
      <c r="C513" s="733"/>
      <c r="D513" s="744" t="str">
        <f>IF('[1]E-ILeist'!$I30="","",'[1]E-ILeist'!$I30)</f>
        <v/>
      </c>
      <c r="E513" s="740"/>
      <c r="F513" s="745" t="str">
        <f>IF(OR('1xDgl'!G30="",'1xDgl'!H30="",'1xDgl'!G30="noch leer",'1xDgl'!H30="noch leer"),"-",'1xDgl'!G30*'1xDgl'!H30)</f>
        <v>-</v>
      </c>
      <c r="H513" s="746" t="str">
        <f>IF('1xDgl'!$I30="","",'1xDgl'!$I30)</f>
        <v/>
      </c>
      <c r="I513" s="742" t="str">
        <f t="shared" si="100"/>
        <v/>
      </c>
      <c r="J513" s="718" t="str">
        <f>IF(OR(B513="-",N513="",AND(P513="",T513="")),"-",IF(I513="Richtig!",1,IF(I513="Formel: OK",0.5,IF(OR(I513="Falsch",I513="Fehlt"),0,""))))</f>
        <v>-</v>
      </c>
      <c r="K513" s="711" t="str">
        <f t="shared" si="103"/>
        <v/>
      </c>
      <c r="L513" s="712" t="str">
        <f t="shared" si="102"/>
        <v/>
      </c>
      <c r="M513" s="1"/>
      <c r="N513" s="719" t="str">
        <f>IF($L$1="","",$L$1)</f>
        <v>x</v>
      </c>
      <c r="P513" s="744" t="str">
        <f t="shared" si="92"/>
        <v/>
      </c>
      <c r="Q513" s="740"/>
      <c r="R513" s="745" t="str">
        <f t="shared" si="92"/>
        <v>-</v>
      </c>
      <c r="T513" s="746" t="str">
        <f t="shared" si="92"/>
        <v/>
      </c>
    </row>
    <row r="514" spans="1:20" s="735" customFormat="1" ht="12.75" hidden="1" customHeight="1" x14ac:dyDescent="0.2">
      <c r="B514" s="738" t="str">
        <f>IF('1xDgl'!B31="","-",'1xDgl'!B31)</f>
        <v>-</v>
      </c>
      <c r="C514" s="733"/>
      <c r="D514" s="744" t="str">
        <f>IF('[1]E-ILeist'!$I31="","",'[1]E-ILeist'!$I31)</f>
        <v/>
      </c>
      <c r="E514" s="740"/>
      <c r="F514" s="740" t="str">
        <f>IF(OR('1xDgl'!G31="",'1xDgl'!H31="",'1xDgl'!G31="noch leer",'1xDgl'!H31="noch leer"),"-",'1xDgl'!G31*'1xDgl'!H31)</f>
        <v>-</v>
      </c>
      <c r="H514" s="746" t="str">
        <f>IF('1xDgl'!$I31="","",'1xDgl'!$I31)</f>
        <v/>
      </c>
      <c r="I514" s="742" t="str">
        <f t="shared" si="100"/>
        <v/>
      </c>
      <c r="J514" s="718" t="str">
        <f>IF(OR(B514="-",N514="",AND(P514="",T514="")),"-",IF(I514="Richtig!",1,IF(I514="Formel: OK",0.5,IF(OR(I514="Falsch",I514="Fehlt"),0,""))))</f>
        <v>-</v>
      </c>
      <c r="K514" s="711" t="str">
        <f t="shared" si="103"/>
        <v/>
      </c>
      <c r="L514" s="712" t="str">
        <f t="shared" si="102"/>
        <v/>
      </c>
      <c r="M514" s="1"/>
      <c r="N514" s="719"/>
      <c r="P514" s="744" t="str">
        <f t="shared" si="92"/>
        <v/>
      </c>
      <c r="Q514" s="740"/>
      <c r="R514" s="740" t="str">
        <f t="shared" si="92"/>
        <v>-</v>
      </c>
      <c r="T514" s="746" t="str">
        <f t="shared" si="92"/>
        <v/>
      </c>
    </row>
    <row r="515" spans="1:20" s="735" customFormat="1" ht="12.75" hidden="1" customHeight="1" x14ac:dyDescent="0.2">
      <c r="A515" s="747"/>
      <c r="B515" s="743" t="s">
        <v>6</v>
      </c>
      <c r="C515" s="733"/>
      <c r="D515" s="744">
        <f>IF('[1]E-ILeist'!$I32="","",'[1]E-ILeist'!$I32)</f>
        <v>712.13560000000007</v>
      </c>
      <c r="E515" s="740"/>
      <c r="F515" s="745">
        <f>IF(AND('1xDgl'!I29="",'1xDgl'!I30="",'1xDgl'!I31=""),"-",SUM('1xDgl'!I29:I31))</f>
        <v>712.13560000000007</v>
      </c>
      <c r="H515" s="746">
        <f>IF('1xDgl'!$I32="","",'1xDgl'!$I32)</f>
        <v>712.13560000000007</v>
      </c>
      <c r="I515" s="742" t="str">
        <f t="shared" si="100"/>
        <v>Richtig!</v>
      </c>
      <c r="J515" s="718" t="str">
        <f>IF(OR(B515="-",N515="",AND(P515="",T515="")),"-",IF(I515="Richtig!",1,IF(I515="Formel: OK",0.5,IF(OR(I515="Falsch",I515="Fehlt"),0,""))))</f>
        <v>-</v>
      </c>
      <c r="K515" s="711" t="str">
        <f t="shared" si="103"/>
        <v/>
      </c>
      <c r="L515" s="712" t="str">
        <f t="shared" si="102"/>
        <v/>
      </c>
      <c r="M515" s="1"/>
      <c r="N515" s="719"/>
      <c r="P515" s="744">
        <f t="shared" si="92"/>
        <v>712.13559999999995</v>
      </c>
      <c r="Q515" s="740"/>
      <c r="R515" s="745">
        <f t="shared" si="92"/>
        <v>712.13559999999995</v>
      </c>
      <c r="T515" s="746">
        <f t="shared" si="92"/>
        <v>712.13559999999995</v>
      </c>
    </row>
    <row r="516" spans="1:20" ht="12.75" x14ac:dyDescent="0.2">
      <c r="A516" s="707"/>
      <c r="B516" s="707"/>
      <c r="C516" s="707"/>
      <c r="D516" s="708"/>
      <c r="H516" s="706"/>
      <c r="I516" s="710" t="str">
        <f t="shared" si="100"/>
        <v/>
      </c>
      <c r="J516" s="710"/>
      <c r="K516" s="711" t="str">
        <f t="shared" si="103"/>
        <v/>
      </c>
      <c r="L516" s="712" t="str">
        <f t="shared" si="102"/>
        <v/>
      </c>
      <c r="N516" s="725" t="str">
        <f>IF($L$1="","",$L$1)</f>
        <v>x</v>
      </c>
      <c r="P516" s="708" t="str">
        <f t="shared" si="92"/>
        <v/>
      </c>
      <c r="R516" s="1" t="str">
        <f t="shared" si="92"/>
        <v/>
      </c>
      <c r="T516" s="706" t="str">
        <f t="shared" si="92"/>
        <v/>
      </c>
    </row>
    <row r="517" spans="1:20" ht="12.75" x14ac:dyDescent="0.2">
      <c r="A517" s="706" t="s">
        <v>373</v>
      </c>
      <c r="B517" s="706" t="s">
        <v>412</v>
      </c>
      <c r="C517" s="707"/>
      <c r="D517" s="708"/>
      <c r="H517" s="706"/>
      <c r="I517" s="710" t="str">
        <f t="shared" si="100"/>
        <v/>
      </c>
      <c r="J517" s="710"/>
      <c r="K517" s="711" t="str">
        <f t="shared" si="103"/>
        <v/>
      </c>
      <c r="L517" s="712" t="str">
        <f t="shared" si="102"/>
        <v/>
      </c>
      <c r="N517" s="695" t="str">
        <f>IF($L$1="","",$L$1)</f>
        <v>x</v>
      </c>
      <c r="P517" s="708" t="str">
        <f t="shared" si="92"/>
        <v/>
      </c>
      <c r="R517" s="1" t="str">
        <f t="shared" si="92"/>
        <v/>
      </c>
      <c r="T517" s="706" t="str">
        <f t="shared" si="92"/>
        <v/>
      </c>
    </row>
    <row r="518" spans="1:20" s="735" customFormat="1" ht="12.75" x14ac:dyDescent="0.2">
      <c r="B518" s="738" t="str">
        <f>IF('1xDgl'!B34="","-",MID('1xDgl'!B34,1,17)&amp;'1xDgl'!I9)</f>
        <v>Belüftungskosten € gesamt</v>
      </c>
      <c r="C518" s="733"/>
      <c r="D518" s="739">
        <f>IF('[1]E-ILeist'!$I34="","",'[1]E-ILeist'!$I34)</f>
        <v>81.509999999999991</v>
      </c>
      <c r="E518" s="740"/>
      <c r="F518" s="740" t="s">
        <v>54</v>
      </c>
      <c r="H518" s="741">
        <f>IF('1xDgl'!$I34="","",'1xDgl'!$I34)</f>
        <v>81.509999999999991</v>
      </c>
      <c r="I518" s="742" t="str">
        <f t="shared" si="100"/>
        <v>Richtig!</v>
      </c>
      <c r="J518" s="718">
        <f>IF(OR(B518="-",N518="",AND(P518="",T518="")),"-",IF(I518="Richtig!",1,IF(I518="Formel: OK",0.5,IF(OR(I518="Falsch",I518="Fehlt"),0,""))))</f>
        <v>1</v>
      </c>
      <c r="K518" s="711" t="str">
        <f t="shared" si="103"/>
        <v>│</v>
      </c>
      <c r="L518" s="712">
        <f t="shared" si="102"/>
        <v>1</v>
      </c>
      <c r="M518" s="1"/>
      <c r="N518" s="719" t="str">
        <f>IF($L$1="","",$L$1)</f>
        <v>x</v>
      </c>
      <c r="P518" s="739">
        <f t="shared" si="92"/>
        <v>81.510000000000005</v>
      </c>
      <c r="Q518" s="740"/>
      <c r="R518" s="740" t="str">
        <f t="shared" si="92"/>
        <v>-</v>
      </c>
      <c r="T518" s="741">
        <f t="shared" si="92"/>
        <v>81.510000000000005</v>
      </c>
    </row>
    <row r="519" spans="1:20" s="735" customFormat="1" ht="12.75" hidden="1" customHeight="1" x14ac:dyDescent="0.2">
      <c r="A519" s="747"/>
      <c r="B519" s="743" t="str">
        <f>IF('1xDgl'!B35="","-",'1xDgl'!B35)</f>
        <v>Zwischensumme IV</v>
      </c>
      <c r="C519" s="733"/>
      <c r="D519" s="744">
        <f>IF('[1]E-ILeist'!$I35="","",'[1]E-ILeist'!$I35)</f>
        <v>81.509999999999991</v>
      </c>
      <c r="E519" s="740"/>
      <c r="F519" s="745">
        <f>IF('1xDgl'!I34="","-",SUM('1xDgl'!I34))</f>
        <v>81.509999999999991</v>
      </c>
      <c r="H519" s="746">
        <f>IF('1xDgl'!$I35="","",'1xDgl'!$I35)</f>
        <v>81.509999999999991</v>
      </c>
      <c r="I519" s="742" t="str">
        <f t="shared" si="100"/>
        <v>Richtig!</v>
      </c>
      <c r="J519" s="718" t="str">
        <f>IF(OR(B519="-",N519="",AND(P519="",T519="")),"-",IF(I519="Richtig!",1,IF(I519="Formel: OK",0.5,IF(OR(I519="Falsch",I519="Fehlt"),0,""))))</f>
        <v>-</v>
      </c>
      <c r="K519" s="711" t="str">
        <f t="shared" si="103"/>
        <v/>
      </c>
      <c r="L519" s="712" t="str">
        <f t="shared" si="102"/>
        <v/>
      </c>
      <c r="M519" s="1"/>
      <c r="N519" s="719"/>
      <c r="P519" s="744">
        <f t="shared" si="92"/>
        <v>81.510000000000005</v>
      </c>
      <c r="Q519" s="740"/>
      <c r="R519" s="745">
        <f t="shared" si="92"/>
        <v>81.510000000000005</v>
      </c>
      <c r="T519" s="746">
        <f t="shared" si="92"/>
        <v>81.510000000000005</v>
      </c>
    </row>
    <row r="520" spans="1:20" s="735" customFormat="1" ht="12.75" x14ac:dyDescent="0.2">
      <c r="A520" s="732"/>
      <c r="B520" s="743" t="str">
        <f>IF('1xDgl'!B36="","-",'1xDgl'!B36&amp;" "&amp;'1xDgl'!C36&amp;'1xDgl'!D36)</f>
        <v>Variable Kosten insgesamt bei 3 Schnitten (exkl. MWSt)</v>
      </c>
      <c r="C520" s="733"/>
      <c r="D520" s="744">
        <f>IF('[1]E-ILeist'!$I36="","",'[1]E-ILeist'!$I36)</f>
        <v>1243.4882909600001</v>
      </c>
      <c r="E520" s="740"/>
      <c r="F520" s="745">
        <f>IF(AND('1xDgl'!I16="",OR('1xDgl'!I27="",'1xDgl'!C36=""),'1xDgl'!I32="",'1xDgl'!I35=""),"-",SUM('1xDgl'!I16,'1xDgl'!I27*'1xDgl'!C36,'1xDgl'!I32,'1xDgl'!I35))</f>
        <v>1243.4882909600001</v>
      </c>
      <c r="H520" s="746">
        <f>IF('1xDgl'!$I36="","",'1xDgl'!$I36)</f>
        <v>1243.4882909600001</v>
      </c>
      <c r="I520" s="742" t="str">
        <f t="shared" si="100"/>
        <v>Richtig!</v>
      </c>
      <c r="J520" s="718">
        <f>IF(OR(B520="-",N520="",AND(P520="",T520="")),"-",IF(I520="Richtig!",1,IF(I520="Formel: OK",0.5,IF(OR(I520="Falsch",I520="Fehlt"),0,""))))</f>
        <v>1</v>
      </c>
      <c r="K520" s="711" t="str">
        <f t="shared" si="103"/>
        <v>│</v>
      </c>
      <c r="L520" s="712">
        <f t="shared" si="102"/>
        <v>1</v>
      </c>
      <c r="M520" s="1"/>
      <c r="N520" s="719" t="str">
        <f t="shared" ref="N520:N527" si="104">IF($L$1="","",$L$1)</f>
        <v>x</v>
      </c>
      <c r="P520" s="744">
        <f t="shared" si="92"/>
        <v>1243.48829</v>
      </c>
      <c r="Q520" s="740"/>
      <c r="R520" s="745">
        <f t="shared" si="92"/>
        <v>1243.48829</v>
      </c>
      <c r="T520" s="746">
        <f t="shared" si="92"/>
        <v>1243.48829</v>
      </c>
    </row>
    <row r="521" spans="1:20" s="735" customFormat="1" ht="12.75" x14ac:dyDescent="0.2">
      <c r="A521" s="747"/>
      <c r="B521" s="743" t="str">
        <f>IF('1xDgl'!B37="","-",'1xDgl'!B37&amp;" "&amp;FIXED('1xDgl'!C37*100,0)&amp;" %"&amp;'1xDgl'!D37)</f>
        <v>Variable Kosten insgesamt (inkl. 20 % MWSt)</v>
      </c>
      <c r="C521" s="733"/>
      <c r="D521" s="744">
        <f>IF('[1]E-ILeist'!$I37="","",'[1]E-ILeist'!$I37)</f>
        <v>1492.1859491520001</v>
      </c>
      <c r="E521" s="740"/>
      <c r="F521" s="745">
        <f>IF(OR('1xDgl'!I36="",'1xDgl'!C37=""),"-",'1xDgl'!I36+'1xDgl'!I36*'1xDgl'!C37)</f>
        <v>1492.1859491520001</v>
      </c>
      <c r="H521" s="746">
        <f>IF('1xDgl'!$I37="","",'1xDgl'!$I37)</f>
        <v>1492.1859491520001</v>
      </c>
      <c r="I521" s="742" t="str">
        <f t="shared" si="100"/>
        <v>Richtig!</v>
      </c>
      <c r="J521" s="718">
        <f>IF(OR(B521="-",N521="",AND(P521="",T521="")),"-",IF(I521="Richtig!",1,IF(I521="Formel: OK",0.5,IF(OR(I521="Falsch",I521="Fehlt"),0,""))))</f>
        <v>1</v>
      </c>
      <c r="K521" s="711" t="str">
        <f t="shared" si="103"/>
        <v>│</v>
      </c>
      <c r="L521" s="712">
        <f t="shared" si="102"/>
        <v>1</v>
      </c>
      <c r="M521" s="1"/>
      <c r="N521" s="719" t="str">
        <f t="shared" si="104"/>
        <v>x</v>
      </c>
      <c r="P521" s="744">
        <f t="shared" si="92"/>
        <v>1492.18595</v>
      </c>
      <c r="Q521" s="740"/>
      <c r="R521" s="745">
        <f t="shared" si="92"/>
        <v>1492.18595</v>
      </c>
      <c r="T521" s="746">
        <f t="shared" si="92"/>
        <v>1492.18595</v>
      </c>
    </row>
    <row r="522" spans="1:20" ht="12.75" x14ac:dyDescent="0.2">
      <c r="A522" s="707"/>
      <c r="B522" s="707"/>
      <c r="C522" s="707"/>
      <c r="D522" s="708"/>
      <c r="H522" s="706"/>
      <c r="I522" s="710" t="str">
        <f t="shared" si="100"/>
        <v/>
      </c>
      <c r="J522" s="710"/>
      <c r="K522" s="711" t="str">
        <f t="shared" si="103"/>
        <v/>
      </c>
      <c r="L522" s="712" t="str">
        <f t="shared" si="102"/>
        <v/>
      </c>
      <c r="N522" s="725" t="str">
        <f t="shared" si="104"/>
        <v>x</v>
      </c>
      <c r="P522" s="708" t="str">
        <f t="shared" si="92"/>
        <v/>
      </c>
      <c r="R522" s="1" t="str">
        <f t="shared" si="92"/>
        <v/>
      </c>
      <c r="T522" s="706" t="str">
        <f t="shared" si="92"/>
        <v/>
      </c>
    </row>
    <row r="523" spans="1:20" ht="12.75" x14ac:dyDescent="0.2">
      <c r="A523" s="706" t="s">
        <v>375</v>
      </c>
      <c r="B523" s="706" t="s">
        <v>413</v>
      </c>
      <c r="C523" s="707"/>
      <c r="D523" s="708"/>
      <c r="H523" s="706"/>
      <c r="I523" s="710" t="str">
        <f t="shared" si="100"/>
        <v/>
      </c>
      <c r="J523" s="710"/>
      <c r="K523" s="711" t="str">
        <f t="shared" si="103"/>
        <v/>
      </c>
      <c r="L523" s="712" t="str">
        <f t="shared" si="102"/>
        <v/>
      </c>
      <c r="N523" s="695" t="str">
        <f t="shared" si="104"/>
        <v>x</v>
      </c>
      <c r="P523" s="708" t="str">
        <f t="shared" ref="P523:T586" si="105">IF(ISTEXT(D523),D523,IF(D523="","",ROUND(D523,$R$1)))</f>
        <v/>
      </c>
      <c r="R523" s="1" t="str">
        <f t="shared" si="105"/>
        <v/>
      </c>
      <c r="T523" s="706" t="str">
        <f t="shared" si="105"/>
        <v/>
      </c>
    </row>
    <row r="524" spans="1:20" s="735" customFormat="1" ht="12.75" x14ac:dyDescent="0.2">
      <c r="A524" s="732"/>
      <c r="B524" s="743" t="s">
        <v>414</v>
      </c>
      <c r="C524" s="733"/>
      <c r="D524" s="744">
        <f>IF('[1]E-ILeist'!$H41="","",'[1]E-ILeist'!$H41)</f>
        <v>5.9344999999999999</v>
      </c>
      <c r="E524" s="740"/>
      <c r="F524" s="740" t="s">
        <v>54</v>
      </c>
      <c r="H524" s="746">
        <f>IF('1xDgl'!$H41="","",'1xDgl'!$H41)</f>
        <v>5.9344999999999999</v>
      </c>
      <c r="I524" s="742" t="str">
        <f t="shared" si="100"/>
        <v>Richtig!</v>
      </c>
      <c r="J524" s="718">
        <f>IF(OR(B524="-",N524="",AND(P524="",T524="")),"-",IF(I524="Richtig!",1,IF(I524="Formel: OK",0.5,IF(OR(I524="Falsch",I524="Fehlt"),0,""))))</f>
        <v>1</v>
      </c>
      <c r="K524" s="711" t="str">
        <f t="shared" si="103"/>
        <v>│</v>
      </c>
      <c r="L524" s="712">
        <f t="shared" si="102"/>
        <v>1</v>
      </c>
      <c r="M524" s="1"/>
      <c r="N524" s="719" t="str">
        <f t="shared" si="104"/>
        <v>x</v>
      </c>
      <c r="P524" s="744">
        <f t="shared" si="105"/>
        <v>5.9344999999999999</v>
      </c>
      <c r="Q524" s="740"/>
      <c r="R524" s="740" t="str">
        <f t="shared" si="105"/>
        <v>-</v>
      </c>
      <c r="T524" s="746">
        <f t="shared" si="105"/>
        <v>5.9344999999999999</v>
      </c>
    </row>
    <row r="525" spans="1:20" s="735" customFormat="1" ht="12.75" x14ac:dyDescent="0.2">
      <c r="A525" s="747"/>
      <c r="B525" s="743" t="s">
        <v>415</v>
      </c>
      <c r="C525" s="733"/>
      <c r="D525" s="744">
        <f>IF('[1]E-ILeist'!$I41="","",'[1]E-ILeist'!$I41)</f>
        <v>43974.644999999997</v>
      </c>
      <c r="E525" s="740"/>
      <c r="F525" s="740" t="s">
        <v>54</v>
      </c>
      <c r="H525" s="746">
        <f>IF('1xDgl'!$I41="","",'1xDgl'!$I41)</f>
        <v>43974.644999999997</v>
      </c>
      <c r="I525" s="742" t="str">
        <f t="shared" si="100"/>
        <v>Richtig!</v>
      </c>
      <c r="J525" s="718">
        <f>IF(OR(B525="-",N525="",AND(P525="",T525="")),"-",IF(I525="Richtig!",1,IF(I525="Formel: OK",0.5,IF(OR(I525="Falsch",I525="Fehlt"),0,""))))</f>
        <v>1</v>
      </c>
      <c r="K525" s="711" t="str">
        <f t="shared" si="103"/>
        <v>│</v>
      </c>
      <c r="L525" s="712">
        <f t="shared" si="102"/>
        <v>1</v>
      </c>
      <c r="M525" s="1"/>
      <c r="N525" s="719" t="str">
        <f t="shared" si="104"/>
        <v>x</v>
      </c>
      <c r="P525" s="744">
        <f t="shared" si="105"/>
        <v>43974.644999999997</v>
      </c>
      <c r="Q525" s="740"/>
      <c r="R525" s="740" t="str">
        <f t="shared" si="105"/>
        <v>-</v>
      </c>
      <c r="T525" s="746">
        <f t="shared" si="105"/>
        <v>43974.644999999997</v>
      </c>
    </row>
    <row r="526" spans="1:20" ht="12.75" x14ac:dyDescent="0.2">
      <c r="A526" s="707"/>
      <c r="B526" s="707"/>
      <c r="C526" s="707"/>
      <c r="D526" s="708"/>
      <c r="H526" s="706"/>
      <c r="I526" s="710" t="str">
        <f t="shared" si="100"/>
        <v/>
      </c>
      <c r="J526" s="710"/>
      <c r="K526" s="711" t="str">
        <f t="shared" si="103"/>
        <v/>
      </c>
      <c r="L526" s="712" t="str">
        <f t="shared" si="102"/>
        <v/>
      </c>
      <c r="N526" s="725" t="str">
        <f t="shared" si="104"/>
        <v>x</v>
      </c>
      <c r="P526" s="708" t="str">
        <f t="shared" si="105"/>
        <v/>
      </c>
      <c r="R526" s="1" t="str">
        <f t="shared" si="105"/>
        <v/>
      </c>
      <c r="T526" s="706" t="str">
        <f t="shared" si="105"/>
        <v/>
      </c>
    </row>
    <row r="527" spans="1:20" ht="12.75" x14ac:dyDescent="0.2">
      <c r="A527" s="706" t="s">
        <v>379</v>
      </c>
      <c r="B527" s="706" t="s">
        <v>7</v>
      </c>
      <c r="C527" s="707"/>
      <c r="D527" s="708"/>
      <c r="H527" s="706"/>
      <c r="I527" s="710" t="str">
        <f t="shared" si="100"/>
        <v/>
      </c>
      <c r="J527" s="710"/>
      <c r="K527" s="711" t="str">
        <f t="shared" si="103"/>
        <v/>
      </c>
      <c r="L527" s="712" t="str">
        <f t="shared" si="102"/>
        <v/>
      </c>
      <c r="N527" s="695" t="str">
        <f t="shared" si="104"/>
        <v>x</v>
      </c>
      <c r="P527" s="708" t="str">
        <f t="shared" si="105"/>
        <v/>
      </c>
      <c r="R527" s="1" t="str">
        <f t="shared" si="105"/>
        <v/>
      </c>
      <c r="T527" s="706" t="str">
        <f t="shared" si="105"/>
        <v/>
      </c>
    </row>
    <row r="528" spans="1:20" s="735" customFormat="1" ht="12.75" hidden="1" customHeight="1" x14ac:dyDescent="0.2">
      <c r="B528" s="738" t="str">
        <f>IF('1xDgl'!B44="","-",'1xDgl'!B44)</f>
        <v>VK Maschinen</v>
      </c>
      <c r="C528" s="733"/>
      <c r="D528" s="744">
        <f>IF('[1]E-ILeist'!$E44="","",'[1]E-ILeist'!$E44)</f>
        <v>1492.1859491520001</v>
      </c>
      <c r="E528" s="740"/>
      <c r="F528" s="745">
        <f>IF('1xDgl'!I37="","-",'1xDgl'!I37)</f>
        <v>1492.1859491520001</v>
      </c>
      <c r="H528" s="746">
        <f>IF('1xDgl'!$E44="","",'1xDgl'!$E44)</f>
        <v>1492.1859491520001</v>
      </c>
      <c r="I528" s="742" t="str">
        <f t="shared" si="100"/>
        <v>Richtig!</v>
      </c>
      <c r="J528" s="718" t="str">
        <f t="shared" ref="J528:J540" si="106">IF(OR(B528="-",N528="",AND(P528="",T528="")),"-",IF(I528="Richtig!",1,IF(I528="Formel: OK",0.5,IF(OR(I528="Falsch",I528="Fehlt"),0,""))))</f>
        <v>-</v>
      </c>
      <c r="K528" s="711" t="str">
        <f t="shared" si="103"/>
        <v/>
      </c>
      <c r="L528" s="712" t="str">
        <f t="shared" si="102"/>
        <v/>
      </c>
      <c r="M528" s="1"/>
      <c r="N528" s="719"/>
      <c r="P528" s="744">
        <f t="shared" si="105"/>
        <v>1492.18595</v>
      </c>
      <c r="Q528" s="740"/>
      <c r="R528" s="745">
        <f t="shared" si="105"/>
        <v>1492.18595</v>
      </c>
      <c r="T528" s="746">
        <f t="shared" si="105"/>
        <v>1492.18595</v>
      </c>
    </row>
    <row r="529" spans="1:20" s="735" customFormat="1" ht="12.75" hidden="1" customHeight="1" x14ac:dyDescent="0.2">
      <c r="B529" s="738" t="str">
        <f>IF('1xDgl'!B47="","-",'1xDgl'!B47)</f>
        <v>-</v>
      </c>
      <c r="C529" s="733"/>
      <c r="D529" s="739" t="str">
        <f>IF('[1]E-ILeist'!$E47="","",'[1]E-ILeist'!$E47)</f>
        <v/>
      </c>
      <c r="E529" s="740"/>
      <c r="F529" s="740"/>
      <c r="H529" s="741" t="str">
        <f>IF('1xDgl'!$E47="","",'1xDgl'!$E47)</f>
        <v/>
      </c>
      <c r="I529" s="742" t="str">
        <f t="shared" si="100"/>
        <v/>
      </c>
      <c r="J529" s="718" t="str">
        <f t="shared" si="106"/>
        <v>-</v>
      </c>
      <c r="K529" s="711" t="str">
        <f t="shared" si="103"/>
        <v/>
      </c>
      <c r="L529" s="712" t="str">
        <f t="shared" si="102"/>
        <v/>
      </c>
      <c r="M529" s="1"/>
      <c r="N529" s="719"/>
      <c r="P529" s="739" t="str">
        <f t="shared" si="105"/>
        <v/>
      </c>
      <c r="Q529" s="740"/>
      <c r="R529" s="740" t="str">
        <f t="shared" si="105"/>
        <v/>
      </c>
      <c r="T529" s="741" t="str">
        <f t="shared" si="105"/>
        <v/>
      </c>
    </row>
    <row r="530" spans="1:20" s="735" customFormat="1" ht="12.75" hidden="1" customHeight="1" x14ac:dyDescent="0.2">
      <c r="B530" s="738" t="str">
        <f>IF('1xDgl'!B48="","-",'1xDgl'!B48)</f>
        <v>-</v>
      </c>
      <c r="C530" s="733"/>
      <c r="D530" s="739" t="str">
        <f>IF('[1]E-ILeist'!$E48="","",'[1]E-ILeist'!$E48)</f>
        <v/>
      </c>
      <c r="E530" s="740"/>
      <c r="F530" s="740"/>
      <c r="H530" s="741" t="str">
        <f>IF('1xDgl'!$E48="","",'1xDgl'!$E48)</f>
        <v/>
      </c>
      <c r="I530" s="742" t="str">
        <f t="shared" si="100"/>
        <v/>
      </c>
      <c r="J530" s="718" t="str">
        <f t="shared" si="106"/>
        <v>-</v>
      </c>
      <c r="K530" s="711" t="str">
        <f t="shared" si="103"/>
        <v/>
      </c>
      <c r="L530" s="712" t="str">
        <f t="shared" si="102"/>
        <v/>
      </c>
      <c r="M530" s="1"/>
      <c r="N530" s="719"/>
      <c r="P530" s="739" t="str">
        <f t="shared" si="105"/>
        <v/>
      </c>
      <c r="Q530" s="740"/>
      <c r="R530" s="740" t="str">
        <f t="shared" si="105"/>
        <v/>
      </c>
      <c r="T530" s="741" t="str">
        <f t="shared" si="105"/>
        <v/>
      </c>
    </row>
    <row r="531" spans="1:20" s="735" customFormat="1" ht="12.75" hidden="1" customHeight="1" x14ac:dyDescent="0.2">
      <c r="B531" s="743" t="str">
        <f>IF('1xDgl'!B49="","-",'1xDgl'!B49)</f>
        <v>Summe Aussaat/Übersaat</v>
      </c>
      <c r="C531" s="733"/>
      <c r="D531" s="744" t="str">
        <f>IF('[1]E-ILeist'!$E49="","",'[1]E-ILeist'!$E49)</f>
        <v/>
      </c>
      <c r="E531" s="740"/>
      <c r="F531" s="745" t="str">
        <f>IF(AND('1xDgl'!E47="",'1xDgl'!E48=""),"-",SUM('1xDgl'!E47:E48))</f>
        <v>-</v>
      </c>
      <c r="H531" s="746" t="str">
        <f>IF('1xDgl'!$E49="","",'1xDgl'!$E49)</f>
        <v/>
      </c>
      <c r="I531" s="742" t="str">
        <f t="shared" si="100"/>
        <v/>
      </c>
      <c r="J531" s="718" t="str">
        <f t="shared" si="106"/>
        <v>-</v>
      </c>
      <c r="K531" s="711" t="str">
        <f t="shared" si="103"/>
        <v/>
      </c>
      <c r="L531" s="712" t="str">
        <f t="shared" si="102"/>
        <v/>
      </c>
      <c r="M531" s="1"/>
      <c r="N531" s="719"/>
      <c r="P531" s="744" t="str">
        <f t="shared" si="105"/>
        <v/>
      </c>
      <c r="Q531" s="740"/>
      <c r="R531" s="745" t="str">
        <f t="shared" si="105"/>
        <v>-</v>
      </c>
      <c r="T531" s="746" t="str">
        <f t="shared" si="105"/>
        <v/>
      </c>
    </row>
    <row r="532" spans="1:20" s="735" customFormat="1" ht="12.75" hidden="1" customHeight="1" x14ac:dyDescent="0.2">
      <c r="B532" s="738" t="str">
        <f>IF('1xDgl'!B52="","-",'1xDgl'!B52)</f>
        <v>-</v>
      </c>
      <c r="C532" s="733"/>
      <c r="D532" s="739" t="str">
        <f>IF('[1]E-ILeist'!$E52="","",'[1]E-ILeist'!$E52)</f>
        <v/>
      </c>
      <c r="E532" s="740"/>
      <c r="F532" s="740"/>
      <c r="H532" s="741" t="str">
        <f>IF('1xDgl'!$E52="","",'1xDgl'!$E52)</f>
        <v/>
      </c>
      <c r="I532" s="742" t="str">
        <f t="shared" si="100"/>
        <v/>
      </c>
      <c r="J532" s="718" t="str">
        <f t="shared" si="106"/>
        <v>-</v>
      </c>
      <c r="K532" s="711" t="str">
        <f t="shared" si="103"/>
        <v/>
      </c>
      <c r="L532" s="712" t="str">
        <f t="shared" si="102"/>
        <v/>
      </c>
      <c r="M532" s="1"/>
      <c r="N532" s="719"/>
      <c r="P532" s="739" t="str">
        <f t="shared" si="105"/>
        <v/>
      </c>
      <c r="Q532" s="740"/>
      <c r="R532" s="740" t="str">
        <f t="shared" si="105"/>
        <v/>
      </c>
      <c r="T532" s="741" t="str">
        <f t="shared" si="105"/>
        <v/>
      </c>
    </row>
    <row r="533" spans="1:20" s="735" customFormat="1" ht="12.75" hidden="1" customHeight="1" x14ac:dyDescent="0.2">
      <c r="B533" s="738" t="str">
        <f>IF('1xDgl'!B53="","-",'1xDgl'!B53)</f>
        <v>-</v>
      </c>
      <c r="C533" s="733"/>
      <c r="D533" s="739" t="str">
        <f>IF('[1]E-ILeist'!$E53="","",'[1]E-ILeist'!$E53)</f>
        <v/>
      </c>
      <c r="E533" s="740"/>
      <c r="F533" s="740"/>
      <c r="H533" s="741" t="str">
        <f>IF('1xDgl'!$E53="","",'1xDgl'!$E53)</f>
        <v/>
      </c>
      <c r="I533" s="742" t="str">
        <f t="shared" si="100"/>
        <v/>
      </c>
      <c r="J533" s="718" t="str">
        <f t="shared" si="106"/>
        <v>-</v>
      </c>
      <c r="K533" s="711" t="str">
        <f t="shared" si="103"/>
        <v/>
      </c>
      <c r="L533" s="712" t="str">
        <f t="shared" si="102"/>
        <v/>
      </c>
      <c r="M533" s="1"/>
      <c r="N533" s="719"/>
      <c r="P533" s="739" t="str">
        <f t="shared" si="105"/>
        <v/>
      </c>
      <c r="Q533" s="740"/>
      <c r="R533" s="740" t="str">
        <f t="shared" si="105"/>
        <v/>
      </c>
      <c r="T533" s="741" t="str">
        <f t="shared" si="105"/>
        <v/>
      </c>
    </row>
    <row r="534" spans="1:20" s="735" customFormat="1" ht="12.75" hidden="1" customHeight="1" x14ac:dyDescent="0.2">
      <c r="B534" s="738" t="str">
        <f>IF('1xDgl'!B54="","-",'1xDgl'!B54)</f>
        <v>-</v>
      </c>
      <c r="C534" s="733"/>
      <c r="D534" s="739" t="str">
        <f>IF('[1]E-ILeist'!$E54="","",'[1]E-ILeist'!$E54)</f>
        <v/>
      </c>
      <c r="E534" s="740"/>
      <c r="F534" s="740"/>
      <c r="H534" s="741" t="str">
        <f>IF('1xDgl'!$E54="","",'1xDgl'!$E54)</f>
        <v/>
      </c>
      <c r="I534" s="742" t="str">
        <f t="shared" si="100"/>
        <v/>
      </c>
      <c r="J534" s="718" t="str">
        <f t="shared" si="106"/>
        <v>-</v>
      </c>
      <c r="K534" s="711" t="str">
        <f t="shared" si="103"/>
        <v/>
      </c>
      <c r="L534" s="712" t="str">
        <f t="shared" si="102"/>
        <v/>
      </c>
      <c r="M534" s="1"/>
      <c r="N534" s="719"/>
      <c r="P534" s="739" t="str">
        <f t="shared" si="105"/>
        <v/>
      </c>
      <c r="Q534" s="740"/>
      <c r="R534" s="740" t="str">
        <f t="shared" si="105"/>
        <v/>
      </c>
      <c r="T534" s="741" t="str">
        <f t="shared" si="105"/>
        <v/>
      </c>
    </row>
    <row r="535" spans="1:20" s="735" customFormat="1" ht="12.75" hidden="1" customHeight="1" x14ac:dyDescent="0.2">
      <c r="B535" s="743" t="str">
        <f>IF('1xDgl'!B55="","-",'1xDgl'!B55)</f>
        <v>Summe Mineraldünger</v>
      </c>
      <c r="C535" s="733"/>
      <c r="D535" s="744" t="str">
        <f>IF('[1]E-ILeist'!$E55="","",'[1]E-ILeist'!$E55)</f>
        <v/>
      </c>
      <c r="E535" s="740"/>
      <c r="F535" s="745" t="str">
        <f>IF(AND('1xDgl'!E52="",'1xDgl'!E53="",'1xDgl'!E54=""),"-",SUM('1xDgl'!E52:E54))</f>
        <v>-</v>
      </c>
      <c r="H535" s="746" t="str">
        <f>IF('1xDgl'!$E55="","",'1xDgl'!$E55)</f>
        <v/>
      </c>
      <c r="I535" s="742" t="str">
        <f t="shared" si="100"/>
        <v/>
      </c>
      <c r="J535" s="718" t="str">
        <f t="shared" si="106"/>
        <v>-</v>
      </c>
      <c r="K535" s="711" t="str">
        <f t="shared" si="103"/>
        <v/>
      </c>
      <c r="L535" s="712" t="str">
        <f t="shared" si="102"/>
        <v/>
      </c>
      <c r="M535" s="1"/>
      <c r="N535" s="719"/>
      <c r="P535" s="744" t="str">
        <f t="shared" si="105"/>
        <v/>
      </c>
      <c r="Q535" s="740"/>
      <c r="R535" s="745" t="str">
        <f t="shared" si="105"/>
        <v>-</v>
      </c>
      <c r="T535" s="746" t="str">
        <f t="shared" si="105"/>
        <v/>
      </c>
    </row>
    <row r="536" spans="1:20" s="735" customFormat="1" ht="12.75" hidden="1" customHeight="1" x14ac:dyDescent="0.2">
      <c r="B536" s="743" t="str">
        <f>IF('1xDgl'!B61="","-",'1xDgl'!B61)</f>
        <v>Summe sonstige variable Kosten</v>
      </c>
      <c r="C536" s="733"/>
      <c r="D536" s="739" t="str">
        <f>IF('[1]E-ILeist'!$E61="","",'[1]E-ILeist'!$E61)</f>
        <v/>
      </c>
      <c r="E536" s="740"/>
      <c r="F536" s="740"/>
      <c r="H536" s="741" t="str">
        <f>IF('1xDgl'!$E61="","",'1xDgl'!$E61)</f>
        <v/>
      </c>
      <c r="I536" s="742" t="str">
        <f t="shared" si="100"/>
        <v/>
      </c>
      <c r="J536" s="718" t="str">
        <f t="shared" si="106"/>
        <v>-</v>
      </c>
      <c r="K536" s="711" t="str">
        <f t="shared" si="103"/>
        <v/>
      </c>
      <c r="L536" s="712" t="str">
        <f t="shared" si="102"/>
        <v/>
      </c>
      <c r="M536" s="1"/>
      <c r="N536" s="719"/>
      <c r="P536" s="739" t="str">
        <f t="shared" si="105"/>
        <v/>
      </c>
      <c r="Q536" s="740"/>
      <c r="R536" s="740" t="str">
        <f t="shared" si="105"/>
        <v/>
      </c>
      <c r="T536" s="741" t="str">
        <f t="shared" si="105"/>
        <v/>
      </c>
    </row>
    <row r="537" spans="1:20" s="735" customFormat="1" ht="12.75" x14ac:dyDescent="0.2">
      <c r="B537" s="743" t="str">
        <f>IF('1xDgl'!B64="","-",'1xDgl'!B64)</f>
        <v>Summe variable Kosten</v>
      </c>
      <c r="C537" s="733"/>
      <c r="D537" s="744">
        <f>IF('[1]E-ILeist'!$E64="","",'[1]E-ILeist'!$E64)</f>
        <v>1492.1859491520001</v>
      </c>
      <c r="E537" s="740"/>
      <c r="F537" s="745">
        <f>IF(AND('1xDgl'!E44="",'1xDgl'!E49="",'1xDgl'!E55="",'1xDgl'!E61=""),"-",SUM('1xDgl'!E44,'1xDgl'!E49,'1xDgl'!E55,'1xDgl'!E61))</f>
        <v>1492.1859491520001</v>
      </c>
      <c r="H537" s="746">
        <f>IF('1xDgl'!$E64="","",'1xDgl'!$E64)</f>
        <v>1492.1859491520001</v>
      </c>
      <c r="I537" s="742" t="str">
        <f t="shared" si="100"/>
        <v>Richtig!</v>
      </c>
      <c r="J537" s="718">
        <f t="shared" si="106"/>
        <v>1</v>
      </c>
      <c r="K537" s="711" t="str">
        <f t="shared" si="103"/>
        <v>│</v>
      </c>
      <c r="L537" s="712">
        <f t="shared" si="102"/>
        <v>1</v>
      </c>
      <c r="M537" s="1"/>
      <c r="N537" s="719" t="str">
        <f>IF($L$1="","",$L$1)</f>
        <v>x</v>
      </c>
      <c r="P537" s="744">
        <f t="shared" si="105"/>
        <v>1492.18595</v>
      </c>
      <c r="Q537" s="740"/>
      <c r="R537" s="745">
        <f t="shared" si="105"/>
        <v>1492.18595</v>
      </c>
      <c r="T537" s="746">
        <f t="shared" si="105"/>
        <v>1492.18595</v>
      </c>
    </row>
    <row r="538" spans="1:20" s="735" customFormat="1" ht="12.75" x14ac:dyDescent="0.2">
      <c r="B538" s="743" t="str">
        <f>IF('1xDgl'!B65="","-",'1xDgl'!B65)</f>
        <v>AK-Stunden/ha</v>
      </c>
      <c r="C538" s="733"/>
      <c r="D538" s="744">
        <f>IF('[1]E-ILeist'!$E65="","",'[1]E-ILeist'!$E65)</f>
        <v>89.421999999999997</v>
      </c>
      <c r="E538" s="740"/>
      <c r="F538" s="745">
        <f>IF('1xDgl'!C36="","-",SUM('1xDgl'!C16,'1xDgl'!C27*'1xDgl'!C36))</f>
        <v>89.421999999999997</v>
      </c>
      <c r="H538" s="746">
        <f>IF('1xDgl'!$E65="","",'1xDgl'!$E65)</f>
        <v>89.421999999999997</v>
      </c>
      <c r="I538" s="742" t="str">
        <f t="shared" si="100"/>
        <v>Richtig!</v>
      </c>
      <c r="J538" s="718">
        <f t="shared" si="106"/>
        <v>1</v>
      </c>
      <c r="K538" s="711" t="str">
        <f t="shared" si="103"/>
        <v>│</v>
      </c>
      <c r="L538" s="712">
        <f t="shared" si="102"/>
        <v>1</v>
      </c>
      <c r="M538" s="1"/>
      <c r="N538" s="719" t="str">
        <f>IF($L$1="","",$L$1)</f>
        <v>x</v>
      </c>
      <c r="P538" s="744">
        <f t="shared" si="105"/>
        <v>89.421999999999997</v>
      </c>
      <c r="Q538" s="740"/>
      <c r="R538" s="745">
        <f t="shared" si="105"/>
        <v>89.421999999999997</v>
      </c>
      <c r="T538" s="746">
        <f t="shared" si="105"/>
        <v>89.421999999999997</v>
      </c>
    </row>
    <row r="539" spans="1:20" s="735" customFormat="1" ht="12.75" x14ac:dyDescent="0.2">
      <c r="B539" s="743" t="str">
        <f>IF('1xDgl'!B66="","-",'1xDgl'!B66)</f>
        <v>Kosten je MJ NEL/Nettoertrag</v>
      </c>
      <c r="C539" s="733"/>
      <c r="D539" s="748">
        <f>IF('[1]E-ILeist'!$E66="","",'[1]E-ILeist'!$E66)</f>
        <v>3.3932870843005107E-2</v>
      </c>
      <c r="E539" s="740"/>
      <c r="F539" s="749">
        <f>IF(OR('1xDgl'!E64="",'1xDgl'!I41=""),"-",'1xDgl'!E64/'1xDgl'!I41)</f>
        <v>3.3932870843005107E-2</v>
      </c>
      <c r="H539" s="750">
        <f>IF('1xDgl'!$E66="","",'1xDgl'!$E66)</f>
        <v>3.3932870843005107E-2</v>
      </c>
      <c r="I539" s="742" t="str">
        <f t="shared" si="100"/>
        <v>Richtig!</v>
      </c>
      <c r="J539" s="718">
        <f t="shared" si="106"/>
        <v>1</v>
      </c>
      <c r="K539" s="711" t="str">
        <f t="shared" si="103"/>
        <v>│</v>
      </c>
      <c r="L539" s="712">
        <f t="shared" si="102"/>
        <v>1</v>
      </c>
      <c r="M539" s="1"/>
      <c r="N539" s="719" t="str">
        <f>IF($L$1="","",$L$1)</f>
        <v>x</v>
      </c>
      <c r="P539" s="748">
        <f t="shared" si="105"/>
        <v>3.3930000000000002E-2</v>
      </c>
      <c r="Q539" s="740"/>
      <c r="R539" s="749">
        <f t="shared" si="105"/>
        <v>3.3930000000000002E-2</v>
      </c>
      <c r="T539" s="750">
        <f t="shared" si="105"/>
        <v>3.3930000000000002E-2</v>
      </c>
    </row>
    <row r="540" spans="1:20" s="735" customFormat="1" ht="12.75" hidden="1" customHeight="1" x14ac:dyDescent="0.2">
      <c r="B540" s="743" t="str">
        <f>IF('1xDgl'!G64="","-",MID('1xDgl'!G63,1,13)&amp;'1xDgl'!G64&amp;" "&amp;FIXED('1xDgl'!G65*100,0)&amp;" % Trocksnmasse")</f>
        <v>Umgelegt auf 1kg Heu bei 86 % Trocksnmasse</v>
      </c>
      <c r="D540" s="748">
        <f>IF('[1]E-ILeist'!$G66="","",'[1]E-ILeist'!$G66)</f>
        <v>0.17318217493531984</v>
      </c>
      <c r="E540" s="740"/>
      <c r="F540" s="749">
        <f>IF(OR('1xDgl'!E64="",'1xDgl'!C40="",'1xDgl'!G65=""),"-",'1xDgl'!E64/('1xDgl'!C40/'1xDgl'!G65))</f>
        <v>0.17318217493531984</v>
      </c>
      <c r="H540" s="750">
        <f>IF('1xDgl'!$G66="","",'1xDgl'!$G66)</f>
        <v>0.17318217493531984</v>
      </c>
      <c r="I540" s="742" t="str">
        <f t="shared" si="100"/>
        <v>Richtig!</v>
      </c>
      <c r="J540" s="718" t="str">
        <f t="shared" si="106"/>
        <v>-</v>
      </c>
      <c r="K540" s="711" t="str">
        <f t="shared" si="103"/>
        <v/>
      </c>
      <c r="L540" s="712" t="str">
        <f t="shared" si="102"/>
        <v/>
      </c>
      <c r="M540" s="1"/>
      <c r="N540" s="719"/>
      <c r="P540" s="748">
        <f t="shared" si="105"/>
        <v>0.17318</v>
      </c>
      <c r="Q540" s="740"/>
      <c r="R540" s="749">
        <f t="shared" si="105"/>
        <v>0.17318</v>
      </c>
      <c r="T540" s="750">
        <f t="shared" si="105"/>
        <v>0.17318</v>
      </c>
    </row>
    <row r="541" spans="1:20" ht="12.75" customHeight="1" x14ac:dyDescent="0.2">
      <c r="A541" s="707"/>
      <c r="B541" s="707"/>
      <c r="C541" s="707"/>
      <c r="D541" s="708"/>
      <c r="H541" s="709"/>
      <c r="I541" s="710"/>
      <c r="J541" s="710"/>
      <c r="K541" s="711" t="str">
        <f t="shared" si="103"/>
        <v/>
      </c>
      <c r="L541" s="712" t="str">
        <f t="shared" si="102"/>
        <v/>
      </c>
      <c r="N541" s="725" t="str">
        <f t="shared" ref="N541:N592" si="107">IF($L$1="","",$L$1)</f>
        <v>x</v>
      </c>
      <c r="P541" s="708" t="str">
        <f t="shared" si="105"/>
        <v/>
      </c>
      <c r="R541" s="1" t="str">
        <f t="shared" si="105"/>
        <v/>
      </c>
      <c r="T541" s="709" t="str">
        <f t="shared" si="105"/>
        <v/>
      </c>
    </row>
    <row r="542" spans="1:20" ht="22.5" x14ac:dyDescent="0.2">
      <c r="A542" s="698" t="s">
        <v>416</v>
      </c>
      <c r="B542" s="699"/>
      <c r="C542" s="700"/>
      <c r="D542" s="701" t="s">
        <v>0</v>
      </c>
      <c r="E542" s="701"/>
      <c r="F542" s="702" t="s">
        <v>363</v>
      </c>
      <c r="G542" s="700"/>
      <c r="H542" s="702" t="s">
        <v>364</v>
      </c>
      <c r="I542" s="703" t="str">
        <f>"Fehler"</f>
        <v>Fehler</v>
      </c>
      <c r="J542" s="704" t="s">
        <v>365</v>
      </c>
      <c r="K542" s="704"/>
      <c r="L542" s="704"/>
      <c r="N542" s="705" t="str">
        <f t="shared" si="107"/>
        <v>x</v>
      </c>
      <c r="P542" s="701" t="str">
        <f t="shared" si="105"/>
        <v>Ergebnis</v>
      </c>
      <c r="Q542" s="701"/>
      <c r="R542" s="702" t="str">
        <f t="shared" si="105"/>
        <v>Formel-
prüfung</v>
      </c>
      <c r="S542" s="700"/>
      <c r="T542" s="702" t="str">
        <f t="shared" si="105"/>
        <v>Deine Be-rechnung</v>
      </c>
    </row>
    <row r="543" spans="1:20" ht="12.75" customHeight="1" x14ac:dyDescent="0.2">
      <c r="A543" s="751" t="s">
        <v>366</v>
      </c>
      <c r="B543" s="751" t="s">
        <v>417</v>
      </c>
      <c r="C543" s="752"/>
      <c r="D543" s="753"/>
      <c r="E543" s="7"/>
      <c r="F543" s="7"/>
      <c r="G543" s="7"/>
      <c r="H543" s="754"/>
      <c r="I543" s="755"/>
      <c r="J543" s="755"/>
      <c r="K543" s="711" t="str">
        <f t="shared" si="103"/>
        <v/>
      </c>
      <c r="L543" s="712" t="str">
        <f t="shared" ref="L543:L564" si="108">IF(OR(B543="-",N543="",AND(P543="",T543="")),"",1)</f>
        <v/>
      </c>
      <c r="N543" s="695" t="str">
        <f t="shared" si="107"/>
        <v>x</v>
      </c>
      <c r="P543" s="753" t="str">
        <f t="shared" si="105"/>
        <v/>
      </c>
      <c r="Q543" s="7"/>
      <c r="R543" s="7" t="str">
        <f t="shared" si="105"/>
        <v/>
      </c>
      <c r="S543" s="7"/>
      <c r="T543" s="754" t="str">
        <f t="shared" si="105"/>
        <v/>
      </c>
    </row>
    <row r="544" spans="1:20" ht="12.75" customHeight="1" x14ac:dyDescent="0.2">
      <c r="A544" s="752"/>
      <c r="B544" s="752" t="s">
        <v>418</v>
      </c>
      <c r="C544" s="752"/>
      <c r="D544" s="756">
        <f>IF('[1]E-MKK1'!$E12="","",'[1]E-MKK1'!$E12)</f>
        <v>13</v>
      </c>
      <c r="E544" s="757"/>
      <c r="F544" s="757"/>
      <c r="G544" s="7"/>
      <c r="H544" s="758">
        <f>IF('MKK1'!$D8="","",'MKK1'!$D8)</f>
        <v>13</v>
      </c>
      <c r="I544" s="759" t="str">
        <f>IF(T544=P544,"Richtig!",IF(T544="","Fehlt","Falsch"))</f>
        <v>Richtig!</v>
      </c>
      <c r="J544" s="718">
        <f>IF(OR(B544="-",N544="",AND(P544="",T544="")),"-",IF(I544="Richtig!",1,IF(I544="Formel: OK",0.5,IF(OR(I544="Falsch",I544="Fehlt"),0,""))))</f>
        <v>1</v>
      </c>
      <c r="K544" s="711" t="str">
        <f t="shared" si="103"/>
        <v>│</v>
      </c>
      <c r="L544" s="712">
        <f t="shared" si="108"/>
        <v>1</v>
      </c>
      <c r="N544" s="719" t="str">
        <f t="shared" si="107"/>
        <v>x</v>
      </c>
      <c r="P544" s="756">
        <f t="shared" si="105"/>
        <v>13</v>
      </c>
      <c r="Q544" s="757"/>
      <c r="R544" s="757" t="str">
        <f t="shared" si="105"/>
        <v/>
      </c>
      <c r="S544" s="7"/>
      <c r="T544" s="758">
        <f t="shared" si="105"/>
        <v>13</v>
      </c>
    </row>
    <row r="545" spans="1:20" ht="12.75" customHeight="1" x14ac:dyDescent="0.2">
      <c r="A545" s="752"/>
      <c r="B545" s="752" t="str">
        <f>"Zeitwert am 1. 1."&amp;[1]MKK1!G21</f>
        <v>Zeitwert am 1. 1.2020</v>
      </c>
      <c r="C545" s="752"/>
      <c r="D545" s="756">
        <f>IF('[1]E-MKK1'!$E13="","",'[1]E-MKK1'!$E13)</f>
        <v>6639.375</v>
      </c>
      <c r="E545" s="757"/>
      <c r="F545" s="757"/>
      <c r="G545" s="7"/>
      <c r="H545" s="758">
        <f>IF('MKK1'!$D9="","",'MKK1'!$D9)</f>
        <v>6639.375</v>
      </c>
      <c r="I545" s="759" t="str">
        <f>IF(T545=P545,"Richtig!",IF(T545="","Fehlt","Falsch"))</f>
        <v>Richtig!</v>
      </c>
      <c r="J545" s="718">
        <f>IF(OR(B545="-",N545="",AND(P545="",T545="")),"-",IF(I545="Richtig!",1,IF(I545="Formel: OK",0.5,IF(OR(I545="Falsch",I545="Fehlt"),0,""))))</f>
        <v>1</v>
      </c>
      <c r="K545" s="711" t="str">
        <f t="shared" si="103"/>
        <v>│</v>
      </c>
      <c r="L545" s="712">
        <f t="shared" si="108"/>
        <v>1</v>
      </c>
      <c r="N545" s="719" t="str">
        <f t="shared" si="107"/>
        <v>x</v>
      </c>
      <c r="P545" s="756">
        <f t="shared" si="105"/>
        <v>6639.375</v>
      </c>
      <c r="Q545" s="757"/>
      <c r="R545" s="757" t="str">
        <f t="shared" si="105"/>
        <v/>
      </c>
      <c r="S545" s="7"/>
      <c r="T545" s="758">
        <f t="shared" si="105"/>
        <v>6639.375</v>
      </c>
    </row>
    <row r="546" spans="1:20" ht="12.75" x14ac:dyDescent="0.2">
      <c r="A546" s="707"/>
      <c r="B546" s="707"/>
      <c r="C546" s="707"/>
      <c r="D546" s="708"/>
      <c r="H546" s="706"/>
      <c r="I546" s="710"/>
      <c r="J546" s="710"/>
      <c r="K546" s="711" t="str">
        <f t="shared" si="103"/>
        <v/>
      </c>
      <c r="L546" s="712" t="str">
        <f t="shared" si="108"/>
        <v/>
      </c>
      <c r="N546" s="725" t="str">
        <f t="shared" si="107"/>
        <v>x</v>
      </c>
      <c r="P546" s="708" t="str">
        <f t="shared" si="105"/>
        <v/>
      </c>
      <c r="R546" s="1" t="str">
        <f t="shared" si="105"/>
        <v/>
      </c>
      <c r="T546" s="706" t="str">
        <f t="shared" si="105"/>
        <v/>
      </c>
    </row>
    <row r="547" spans="1:20" ht="12.75" x14ac:dyDescent="0.2">
      <c r="A547" s="706" t="s">
        <v>368</v>
      </c>
      <c r="B547" s="706" t="s">
        <v>8</v>
      </c>
      <c r="C547" s="707"/>
      <c r="D547" s="708"/>
      <c r="H547" s="706"/>
      <c r="I547" s="710"/>
      <c r="J547" s="710"/>
      <c r="K547" s="711" t="str">
        <f t="shared" si="103"/>
        <v/>
      </c>
      <c r="L547" s="712" t="str">
        <f t="shared" si="108"/>
        <v/>
      </c>
      <c r="N547" s="695" t="str">
        <f t="shared" si="107"/>
        <v>x</v>
      </c>
      <c r="P547" s="708" t="str">
        <f t="shared" si="105"/>
        <v/>
      </c>
      <c r="R547" s="1" t="str">
        <f t="shared" si="105"/>
        <v/>
      </c>
      <c r="T547" s="706" t="str">
        <f t="shared" si="105"/>
        <v/>
      </c>
    </row>
    <row r="548" spans="1:20" ht="12.75" customHeight="1" x14ac:dyDescent="0.2">
      <c r="A548" s="752"/>
      <c r="B548" s="752" t="s">
        <v>419</v>
      </c>
      <c r="C548" s="752"/>
      <c r="D548" s="756">
        <f>IF('[1]E-MKK1'!$E16="","",'[1]E-MKK1'!$E16)</f>
        <v>2213.125</v>
      </c>
      <c r="E548" s="757"/>
      <c r="F548" s="757"/>
      <c r="G548" s="7"/>
      <c r="H548" s="758">
        <f>IF('MKK1'!$D12="","",'MKK1'!$D12)</f>
        <v>2213.125</v>
      </c>
      <c r="I548" s="759" t="str">
        <f>IF(T548=P548,"Richtig!",IF(T548="","Fehlt","Falsch"))</f>
        <v>Richtig!</v>
      </c>
      <c r="J548" s="718">
        <f>IF(OR(B548="-",N548="",AND(P548="",T548="")),"-",IF(I548="Richtig!",1,IF(I548="Formel: OK",0.5,IF(OR(I548="Falsch",I548="Fehlt"),0,""))))</f>
        <v>1</v>
      </c>
      <c r="K548" s="711" t="str">
        <f t="shared" si="103"/>
        <v>│</v>
      </c>
      <c r="L548" s="712">
        <f t="shared" si="108"/>
        <v>1</v>
      </c>
      <c r="N548" s="719" t="str">
        <f t="shared" si="107"/>
        <v>x</v>
      </c>
      <c r="P548" s="756">
        <f t="shared" si="105"/>
        <v>2213.125</v>
      </c>
      <c r="Q548" s="757"/>
      <c r="R548" s="757" t="str">
        <f t="shared" si="105"/>
        <v/>
      </c>
      <c r="S548" s="7"/>
      <c r="T548" s="758">
        <f t="shared" si="105"/>
        <v>2213.125</v>
      </c>
    </row>
    <row r="549" spans="1:20" ht="12.75" customHeight="1" x14ac:dyDescent="0.2">
      <c r="A549" s="752"/>
      <c r="B549" s="752" t="s">
        <v>420</v>
      </c>
      <c r="C549" s="752"/>
      <c r="D549" s="756">
        <f>IF('[1]E-MKK1'!$E17="","",'[1]E-MKK1'!$E17)</f>
        <v>354.1</v>
      </c>
      <c r="E549" s="757"/>
      <c r="F549" s="757"/>
      <c r="G549" s="7"/>
      <c r="H549" s="758">
        <f>IF('MKK1'!$D13="","",'MKK1'!$D13)</f>
        <v>354.1</v>
      </c>
      <c r="I549" s="759" t="str">
        <f>IF(T549=P549,"Richtig!",IF(T549="","Fehlt","Falsch"))</f>
        <v>Richtig!</v>
      </c>
      <c r="J549" s="718">
        <f>IF(OR(B549="-",N549="",AND(P549="",T549="")),"-",IF(I549="Richtig!",1,IF(I549="Formel: OK",0.5,IF(OR(I549="Falsch",I549="Fehlt"),0,""))))</f>
        <v>1</v>
      </c>
      <c r="K549" s="711" t="str">
        <f t="shared" si="103"/>
        <v>│</v>
      </c>
      <c r="L549" s="712">
        <f t="shared" si="108"/>
        <v>1</v>
      </c>
      <c r="N549" s="719" t="str">
        <f t="shared" si="107"/>
        <v>x</v>
      </c>
      <c r="P549" s="756">
        <f t="shared" si="105"/>
        <v>354.1</v>
      </c>
      <c r="Q549" s="757"/>
      <c r="R549" s="757" t="str">
        <f t="shared" si="105"/>
        <v/>
      </c>
      <c r="S549" s="7"/>
      <c r="T549" s="758">
        <f t="shared" si="105"/>
        <v>354.1</v>
      </c>
    </row>
    <row r="550" spans="1:20" ht="12.75" customHeight="1" x14ac:dyDescent="0.2">
      <c r="A550" s="752"/>
      <c r="B550" s="752" t="s">
        <v>421</v>
      </c>
      <c r="C550" s="752"/>
      <c r="D550" s="756">
        <f>IF('[1]E-MKK1'!$E18="","",'[1]E-MKK1'!$E18)</f>
        <v>354.1</v>
      </c>
      <c r="E550" s="757"/>
      <c r="F550" s="757"/>
      <c r="G550" s="7"/>
      <c r="H550" s="758">
        <f>IF('MKK1'!$D14="","",'MKK1'!$D14)</f>
        <v>354.1</v>
      </c>
      <c r="I550" s="759" t="str">
        <f>IF(T550=P550,"Richtig!",IF(T550="","Fehlt","Falsch"))</f>
        <v>Richtig!</v>
      </c>
      <c r="J550" s="718">
        <f>IF(OR(B550="-",N550="",AND(P550="",T550="")),"-",IF(I550="Richtig!",1,IF(I550="Formel: OK",0.5,IF(OR(I550="Falsch",I550="Fehlt"),0,""))))</f>
        <v>1</v>
      </c>
      <c r="K550" s="711" t="str">
        <f t="shared" si="103"/>
        <v>│</v>
      </c>
      <c r="L550" s="712">
        <f t="shared" si="108"/>
        <v>1</v>
      </c>
      <c r="N550" s="719" t="str">
        <f t="shared" si="107"/>
        <v>x</v>
      </c>
      <c r="P550" s="756">
        <f t="shared" si="105"/>
        <v>354.1</v>
      </c>
      <c r="Q550" s="757"/>
      <c r="R550" s="757" t="str">
        <f t="shared" si="105"/>
        <v/>
      </c>
      <c r="S550" s="7"/>
      <c r="T550" s="758">
        <f t="shared" si="105"/>
        <v>354.1</v>
      </c>
    </row>
    <row r="551" spans="1:20" ht="12.75" customHeight="1" x14ac:dyDescent="0.2">
      <c r="A551" s="752"/>
      <c r="B551" s="752" t="s">
        <v>422</v>
      </c>
      <c r="C551" s="752"/>
      <c r="D551" s="756">
        <f>IF('[1]E-MKK1'!$E19="","",'[1]E-MKK1'!$E19)</f>
        <v>1062.3</v>
      </c>
      <c r="E551" s="757"/>
      <c r="F551" s="757"/>
      <c r="G551" s="7"/>
      <c r="H551" s="758">
        <f>IF('MKK1'!$D15="","",'MKK1'!$D15)</f>
        <v>1062.3</v>
      </c>
      <c r="I551" s="759" t="str">
        <f>IF(T551=P551,"Richtig!",IF(T551="","Fehlt","Falsch"))</f>
        <v>Richtig!</v>
      </c>
      <c r="J551" s="718">
        <f>IF(OR(B551="-",N551="",AND(P551="",T551="")),"-",IF(I551="Richtig!",1,IF(I551="Formel: OK",0.5,IF(OR(I551="Falsch",I551="Fehlt"),0,""))))</f>
        <v>1</v>
      </c>
      <c r="K551" s="711" t="str">
        <f t="shared" si="103"/>
        <v>│</v>
      </c>
      <c r="L551" s="712">
        <f t="shared" si="108"/>
        <v>1</v>
      </c>
      <c r="N551" s="719" t="str">
        <f t="shared" si="107"/>
        <v>x</v>
      </c>
      <c r="P551" s="756">
        <f t="shared" si="105"/>
        <v>1062.3</v>
      </c>
      <c r="Q551" s="757"/>
      <c r="R551" s="757" t="str">
        <f t="shared" si="105"/>
        <v/>
      </c>
      <c r="S551" s="7"/>
      <c r="T551" s="758">
        <f t="shared" si="105"/>
        <v>1062.3</v>
      </c>
    </row>
    <row r="552" spans="1:20" ht="12.75" customHeight="1" x14ac:dyDescent="0.2">
      <c r="A552" s="752"/>
      <c r="B552" s="751" t="s">
        <v>9</v>
      </c>
      <c r="C552" s="752"/>
      <c r="D552" s="760">
        <f>IF('[1]E-MKK1'!$G20="","",'[1]E-MKK1'!$G20)</f>
        <v>3983.625</v>
      </c>
      <c r="E552" s="757"/>
      <c r="F552" s="761">
        <f>IF(AND('MKK1'!D12="",'MKK1'!D13="",'MKK1'!D14="",'MKK1'!D15=""),"-",SUM('MKK1'!D12:D15))</f>
        <v>3983.625</v>
      </c>
      <c r="G552" s="7"/>
      <c r="H552" s="762">
        <f>IF('MKK1'!$F16="","",'MKK1'!$F16)</f>
        <v>3983.625</v>
      </c>
      <c r="I552" s="759" t="str">
        <f>IF(T552=P552,"Richtig!",IF(AND(R552&lt;&gt;"",T552&lt;&gt;P552,T552=R552),"Formel: OK",IF(T552="","Fehlt","Falsch")))</f>
        <v>Richtig!</v>
      </c>
      <c r="J552" s="718">
        <f>IF(OR(B552="-",N552="",AND(P552="",T552="")),"-",IF(I552="Richtig!",1,IF(I552="Formel: OK",0.5,IF(OR(I552="Falsch",I552="Fehlt"),0,""))))</f>
        <v>1</v>
      </c>
      <c r="K552" s="711" t="str">
        <f t="shared" si="103"/>
        <v>│</v>
      </c>
      <c r="L552" s="712">
        <f t="shared" si="108"/>
        <v>1</v>
      </c>
      <c r="N552" s="719" t="str">
        <f t="shared" si="107"/>
        <v>x</v>
      </c>
      <c r="P552" s="760">
        <f t="shared" si="105"/>
        <v>3983.625</v>
      </c>
      <c r="Q552" s="757"/>
      <c r="R552" s="761">
        <f t="shared" si="105"/>
        <v>3983.625</v>
      </c>
      <c r="S552" s="7"/>
      <c r="T552" s="762">
        <f t="shared" si="105"/>
        <v>3983.625</v>
      </c>
    </row>
    <row r="553" spans="1:20" ht="12.75" x14ac:dyDescent="0.2">
      <c r="A553" s="707"/>
      <c r="B553" s="707"/>
      <c r="C553" s="707"/>
      <c r="D553" s="708"/>
      <c r="H553" s="706"/>
      <c r="I553" s="710"/>
      <c r="J553" s="710"/>
      <c r="K553" s="711" t="str">
        <f t="shared" si="103"/>
        <v/>
      </c>
      <c r="L553" s="712" t="str">
        <f t="shared" si="108"/>
        <v/>
      </c>
      <c r="N553" s="725" t="str">
        <f t="shared" si="107"/>
        <v>x</v>
      </c>
      <c r="P553" s="708" t="str">
        <f t="shared" si="105"/>
        <v/>
      </c>
      <c r="R553" s="1" t="str">
        <f t="shared" si="105"/>
        <v/>
      </c>
      <c r="T553" s="706" t="str">
        <f t="shared" si="105"/>
        <v/>
      </c>
    </row>
    <row r="554" spans="1:20" ht="12.75" x14ac:dyDescent="0.2">
      <c r="A554" s="706" t="s">
        <v>370</v>
      </c>
      <c r="B554" s="706" t="s">
        <v>7</v>
      </c>
      <c r="C554" s="707"/>
      <c r="D554" s="708"/>
      <c r="H554" s="706"/>
      <c r="I554" s="710"/>
      <c r="J554" s="710"/>
      <c r="K554" s="711" t="str">
        <f t="shared" si="103"/>
        <v/>
      </c>
      <c r="L554" s="712" t="str">
        <f t="shared" si="108"/>
        <v/>
      </c>
      <c r="N554" s="695" t="str">
        <f t="shared" si="107"/>
        <v>x</v>
      </c>
      <c r="P554" s="708" t="str">
        <f t="shared" si="105"/>
        <v/>
      </c>
      <c r="R554" s="1" t="str">
        <f t="shared" si="105"/>
        <v/>
      </c>
      <c r="T554" s="706" t="str">
        <f t="shared" si="105"/>
        <v/>
      </c>
    </row>
    <row r="555" spans="1:20" ht="12.75" customHeight="1" x14ac:dyDescent="0.2">
      <c r="A555" s="752"/>
      <c r="B555" s="752" t="s">
        <v>423</v>
      </c>
      <c r="C555" s="752"/>
      <c r="D555" s="714">
        <f>IF('[1]E-MKK1'!$G23="","",'[1]E-MKK1'!$G23)</f>
        <v>869.04</v>
      </c>
      <c r="E555" s="715"/>
      <c r="F555" s="715"/>
      <c r="H555" s="716">
        <f>IF('MKK1'!$F19="","",'MKK1'!$F19)</f>
        <v>869.04</v>
      </c>
      <c r="I555" s="717" t="str">
        <f>IF(AND(P555="",T555=""),"",IF(T555=P555,"Richtig!",IF(T555="","Fehlt","Falsch")))</f>
        <v>Richtig!</v>
      </c>
      <c r="J555" s="718">
        <f>IF(OR(B555="-",N555="",AND(P555="",T555="")),"-",IF(I555="Richtig!",1,IF(I555="Formel: OK",0.5,IF(OR(I555="Falsch",I555="Fehlt"),0,""))))</f>
        <v>1</v>
      </c>
      <c r="K555" s="711" t="str">
        <f t="shared" si="103"/>
        <v>│</v>
      </c>
      <c r="L555" s="712">
        <f t="shared" si="108"/>
        <v>1</v>
      </c>
      <c r="N555" s="719" t="str">
        <f t="shared" si="107"/>
        <v>x</v>
      </c>
      <c r="P555" s="714">
        <f t="shared" si="105"/>
        <v>869.04</v>
      </c>
      <c r="Q555" s="715"/>
      <c r="R555" s="715" t="str">
        <f t="shared" si="105"/>
        <v/>
      </c>
      <c r="T555" s="716">
        <f t="shared" si="105"/>
        <v>869.04</v>
      </c>
    </row>
    <row r="556" spans="1:20" ht="12.75" customHeight="1" x14ac:dyDescent="0.2">
      <c r="A556" s="752"/>
      <c r="B556" s="752" t="s">
        <v>424</v>
      </c>
      <c r="C556" s="752"/>
      <c r="D556" s="756">
        <f>IF('[1]E-MKK1'!$E24="","",'[1]E-MKK1'!$E24)</f>
        <v>708.2</v>
      </c>
      <c r="E556" s="757"/>
      <c r="F556" s="757"/>
      <c r="G556" s="7"/>
      <c r="H556" s="758">
        <f>IF('MKK1'!$D20="","",'MKK1'!$D20)</f>
        <v>708.2</v>
      </c>
      <c r="I556" s="759" t="str">
        <f>IF(T556=P556,"Richtig!",IF(T556="","Fehlt","Falsch"))</f>
        <v>Richtig!</v>
      </c>
      <c r="J556" s="718">
        <f>IF(OR(B556="-",N556="",AND(P556="",T556="")),"-",IF(I556="Richtig!",1,IF(I556="Formel: OK",0.5,IF(OR(I556="Falsch",I556="Fehlt"),0,""))))</f>
        <v>1</v>
      </c>
      <c r="K556" s="711" t="str">
        <f t="shared" si="103"/>
        <v>│</v>
      </c>
      <c r="L556" s="712">
        <f t="shared" si="108"/>
        <v>1</v>
      </c>
      <c r="N556" s="719" t="str">
        <f t="shared" si="107"/>
        <v>x</v>
      </c>
      <c r="P556" s="756">
        <f t="shared" si="105"/>
        <v>708.2</v>
      </c>
      <c r="Q556" s="757"/>
      <c r="R556" s="757" t="str">
        <f t="shared" si="105"/>
        <v/>
      </c>
      <c r="S556" s="7"/>
      <c r="T556" s="758">
        <f t="shared" si="105"/>
        <v>708.2</v>
      </c>
    </row>
    <row r="557" spans="1:20" ht="12.75" customHeight="1" x14ac:dyDescent="0.2">
      <c r="A557" s="752"/>
      <c r="B557" s="752" t="s">
        <v>425</v>
      </c>
      <c r="C557" s="752"/>
      <c r="D557" s="760">
        <f>IF('[1]E-MKK1'!$G24="","",'[1]E-MKK1'!$G24)</f>
        <v>1508.4660000000001</v>
      </c>
      <c r="E557" s="757"/>
      <c r="F557" s="761">
        <f>IF(OR('MKK1'!D20="",[1]MKK1!G19=""),"-",'MKK1'!D20/100*[1]MKK1!G19)</f>
        <v>1558.0400000000002</v>
      </c>
      <c r="G557" s="7"/>
      <c r="H557" s="762">
        <f>IF('MKK1'!$F20="","",'MKK1'!$F20)</f>
        <v>1508.4660000000001</v>
      </c>
      <c r="I557" s="759" t="str">
        <f>IF(T557=P557,"Richtig!",IF(AND(R557&lt;&gt;"",T557&lt;&gt;P557,T557=R557),"Formel: OK",IF(T557="","Fehlt","Falsch")))</f>
        <v>Richtig!</v>
      </c>
      <c r="J557" s="718">
        <f>IF(OR(B557="-",N557="",AND(P557="",T557="")),"-",IF(I557="Richtig!",1,IF(I557="Formel: OK",0.5,IF(OR(I557="Falsch",I557="Fehlt"),0,""))))</f>
        <v>1</v>
      </c>
      <c r="K557" s="711" t="str">
        <f t="shared" si="103"/>
        <v>│</v>
      </c>
      <c r="L557" s="712">
        <f t="shared" si="108"/>
        <v>1</v>
      </c>
      <c r="N557" s="719" t="str">
        <f t="shared" si="107"/>
        <v>x</v>
      </c>
      <c r="P557" s="760">
        <f t="shared" si="105"/>
        <v>1508.4659999999999</v>
      </c>
      <c r="Q557" s="757"/>
      <c r="R557" s="761">
        <f t="shared" si="105"/>
        <v>1558.04</v>
      </c>
      <c r="S557" s="7"/>
      <c r="T557" s="762">
        <f t="shared" si="105"/>
        <v>1508.4659999999999</v>
      </c>
    </row>
    <row r="558" spans="1:20" ht="12.75" customHeight="1" x14ac:dyDescent="0.2">
      <c r="A558" s="752"/>
      <c r="B558" s="751" t="s">
        <v>10</v>
      </c>
      <c r="C558" s="752"/>
      <c r="D558" s="760">
        <f>IF('[1]E-MKK1'!$G25="","",'[1]E-MKK1'!$G25)</f>
        <v>2377.5060000000003</v>
      </c>
      <c r="E558" s="757"/>
      <c r="F558" s="761">
        <f>IF(AND('MKK1'!F19="",'MKK1'!F20=""),"-",SUM('MKK1'!F19:F20))</f>
        <v>2377.5060000000003</v>
      </c>
      <c r="G558" s="7"/>
      <c r="H558" s="762">
        <f>IF('MKK1'!$F21="","",'MKK1'!$F21)</f>
        <v>2377.5060000000003</v>
      </c>
      <c r="I558" s="759" t="str">
        <f>IF(T558=P558,"Richtig!",IF(AND(R558&lt;&gt;"",T558&lt;&gt;P558,T558=R558),"Formel: OK",IF(T558="","Fehlt","Falsch")))</f>
        <v>Richtig!</v>
      </c>
      <c r="J558" s="718">
        <f>IF(OR(B558="-",N558="",AND(P558="",T558="")),"-",IF(I558="Richtig!",1,IF(I558="Formel: OK",0.5,IF(OR(I558="Falsch",I558="Fehlt"),0,""))))</f>
        <v>1</v>
      </c>
      <c r="K558" s="711" t="str">
        <f t="shared" si="103"/>
        <v>│</v>
      </c>
      <c r="L558" s="712">
        <f t="shared" si="108"/>
        <v>1</v>
      </c>
      <c r="N558" s="719" t="str">
        <f t="shared" si="107"/>
        <v>x</v>
      </c>
      <c r="P558" s="760">
        <f t="shared" si="105"/>
        <v>2377.5059999999999</v>
      </c>
      <c r="Q558" s="757"/>
      <c r="R558" s="761">
        <f t="shared" si="105"/>
        <v>2377.5059999999999</v>
      </c>
      <c r="S558" s="7"/>
      <c r="T558" s="762">
        <f t="shared" si="105"/>
        <v>2377.5059999999999</v>
      </c>
    </row>
    <row r="559" spans="1:20" ht="12.75" x14ac:dyDescent="0.2">
      <c r="A559" s="707"/>
      <c r="B559" s="707"/>
      <c r="C559" s="707"/>
      <c r="D559" s="708"/>
      <c r="H559" s="706"/>
      <c r="I559" s="710"/>
      <c r="J559" s="710"/>
      <c r="K559" s="711" t="str">
        <f t="shared" si="103"/>
        <v/>
      </c>
      <c r="L559" s="712" t="str">
        <f t="shared" si="108"/>
        <v/>
      </c>
      <c r="N559" s="725" t="str">
        <f t="shared" si="107"/>
        <v>x</v>
      </c>
      <c r="P559" s="708" t="str">
        <f t="shared" si="105"/>
        <v/>
      </c>
      <c r="R559" s="1" t="str">
        <f t="shared" si="105"/>
        <v/>
      </c>
      <c r="T559" s="706" t="str">
        <f t="shared" si="105"/>
        <v/>
      </c>
    </row>
    <row r="560" spans="1:20" ht="12.75" x14ac:dyDescent="0.2">
      <c r="A560" s="706" t="s">
        <v>373</v>
      </c>
      <c r="B560" s="706" t="s">
        <v>426</v>
      </c>
      <c r="C560" s="707"/>
      <c r="D560" s="708"/>
      <c r="H560" s="706"/>
      <c r="I560" s="710"/>
      <c r="J560" s="710"/>
      <c r="K560" s="711" t="str">
        <f t="shared" si="103"/>
        <v/>
      </c>
      <c r="L560" s="712" t="str">
        <f t="shared" si="108"/>
        <v/>
      </c>
      <c r="N560" s="695" t="str">
        <f t="shared" si="107"/>
        <v>x</v>
      </c>
      <c r="P560" s="708" t="str">
        <f t="shared" si="105"/>
        <v/>
      </c>
      <c r="R560" s="1" t="str">
        <f t="shared" si="105"/>
        <v/>
      </c>
      <c r="T560" s="706" t="str">
        <f t="shared" si="105"/>
        <v/>
      </c>
    </row>
    <row r="561" spans="1:20" ht="12.75" customHeight="1" x14ac:dyDescent="0.2">
      <c r="A561" s="752"/>
      <c r="B561" s="752" t="s">
        <v>427</v>
      </c>
      <c r="C561" s="752"/>
      <c r="D561" s="760">
        <f>IF('[1]E-MKK1'!$G28="","",'[1]E-MKK1'!$G28)</f>
        <v>18.702464788732396</v>
      </c>
      <c r="E561" s="757"/>
      <c r="F561" s="761">
        <f>IF(OR('MKK1'!F16="",[1]MKK1!G19=""),"-",'MKK1'!F16/[1]MKK1!G19)</f>
        <v>18.107386363636362</v>
      </c>
      <c r="G561" s="7"/>
      <c r="H561" s="762">
        <f>IF('MKK1'!$F24="","",'MKK1'!$F24)</f>
        <v>18.702464788732396</v>
      </c>
      <c r="I561" s="759" t="str">
        <f>IF(T561=P561,"Richtig!",IF(AND(R561&lt;&gt;"",T561&lt;&gt;P561,T561=R561),"Formel: OK",IF(T561="","Fehlt","Falsch")))</f>
        <v>Richtig!</v>
      </c>
      <c r="J561" s="718">
        <f>IF(OR(B561="-",N561="",AND(P561="",T561="")),"-",IF(I561="Richtig!",1,IF(I561="Formel: OK",0.5,IF(OR(I561="Falsch",I561="Fehlt"),0,""))))</f>
        <v>1</v>
      </c>
      <c r="K561" s="711" t="str">
        <f t="shared" si="103"/>
        <v>│</v>
      </c>
      <c r="L561" s="712">
        <f t="shared" si="108"/>
        <v>1</v>
      </c>
      <c r="N561" s="719" t="str">
        <f t="shared" si="107"/>
        <v>x</v>
      </c>
      <c r="P561" s="760">
        <f t="shared" si="105"/>
        <v>18.702459999999999</v>
      </c>
      <c r="Q561" s="757"/>
      <c r="R561" s="761">
        <f t="shared" si="105"/>
        <v>18.107389999999999</v>
      </c>
      <c r="S561" s="7"/>
      <c r="T561" s="762">
        <f t="shared" si="105"/>
        <v>18.702459999999999</v>
      </c>
    </row>
    <row r="562" spans="1:20" ht="12.75" customHeight="1" x14ac:dyDescent="0.2">
      <c r="A562" s="752"/>
      <c r="B562" s="752" t="s">
        <v>428</v>
      </c>
      <c r="C562" s="752"/>
      <c r="D562" s="760">
        <f>IF('[1]E-MKK1'!$G29="","",'[1]E-MKK1'!$G29)</f>
        <v>11.162000000000001</v>
      </c>
      <c r="E562" s="757"/>
      <c r="F562" s="761">
        <f>IF(OR('MKK1'!F21="",[1]MKK1!G19=""),"-",'MKK1'!F21/[1]MKK1!G19)</f>
        <v>10.806845454545456</v>
      </c>
      <c r="G562" s="7"/>
      <c r="H562" s="762">
        <f>IF('MKK1'!$F25="","",'MKK1'!$F25)</f>
        <v>11.162000000000001</v>
      </c>
      <c r="I562" s="759" t="str">
        <f>IF(T562=P562,"Richtig!",IF(AND(R562&lt;&gt;"",T562&lt;&gt;P562,T562=R562),"Formel: OK",IF(T562="","Fehlt","Falsch")))</f>
        <v>Richtig!</v>
      </c>
      <c r="J562" s="718">
        <f>IF(OR(B562="-",N562="",AND(P562="",T562="")),"-",IF(I562="Richtig!",1,IF(I562="Formel: OK",0.5,IF(OR(I562="Falsch",I562="Fehlt"),0,""))))</f>
        <v>1</v>
      </c>
      <c r="K562" s="711" t="str">
        <f t="shared" si="103"/>
        <v>│</v>
      </c>
      <c r="L562" s="712">
        <f t="shared" si="108"/>
        <v>1</v>
      </c>
      <c r="N562" s="719" t="str">
        <f t="shared" si="107"/>
        <v>x</v>
      </c>
      <c r="P562" s="760">
        <f t="shared" si="105"/>
        <v>11.162000000000001</v>
      </c>
      <c r="Q562" s="757"/>
      <c r="R562" s="761">
        <f t="shared" si="105"/>
        <v>10.806850000000001</v>
      </c>
      <c r="S562" s="7"/>
      <c r="T562" s="762">
        <f t="shared" si="105"/>
        <v>11.162000000000001</v>
      </c>
    </row>
    <row r="563" spans="1:20" ht="12.75" customHeight="1" x14ac:dyDescent="0.2">
      <c r="A563" s="752"/>
      <c r="B563" s="751" t="s">
        <v>429</v>
      </c>
      <c r="C563" s="752"/>
      <c r="D563" s="760">
        <f>IF('[1]E-MKK1'!$G30="","",'[1]E-MKK1'!$G30)</f>
        <v>29.864464788732398</v>
      </c>
      <c r="E563" s="757"/>
      <c r="F563" s="761">
        <f>IF(AND('MKK1'!F24="",'MKK1'!F25=""),"-",SUM('MKK1'!F24:F25))</f>
        <v>29.864464788732398</v>
      </c>
      <c r="G563" s="7"/>
      <c r="H563" s="762">
        <f>IF('MKK1'!$F26="","",'MKK1'!$F26)</f>
        <v>29.864464788732398</v>
      </c>
      <c r="I563" s="759" t="str">
        <f>IF(T563=P563,"Richtig!",IF(AND(R563&lt;&gt;"",T563&lt;&gt;P563,T563=R563),"Formel: OK",IF(T563="","Fehlt","Falsch")))</f>
        <v>Richtig!</v>
      </c>
      <c r="J563" s="718">
        <f>IF(OR(B563="-",N563="",AND(P563="",T563="")),"-",IF(I563="Richtig!",1,IF(I563="Formel: OK",0.5,IF(OR(I563="Falsch",I563="Fehlt"),0,""))))</f>
        <v>1</v>
      </c>
      <c r="K563" s="711" t="str">
        <f t="shared" si="103"/>
        <v>│</v>
      </c>
      <c r="L563" s="712">
        <f t="shared" si="108"/>
        <v>1</v>
      </c>
      <c r="N563" s="719" t="str">
        <f t="shared" si="107"/>
        <v>x</v>
      </c>
      <c r="P563" s="760">
        <f t="shared" si="105"/>
        <v>29.864460000000001</v>
      </c>
      <c r="Q563" s="757"/>
      <c r="R563" s="761">
        <f t="shared" si="105"/>
        <v>29.864460000000001</v>
      </c>
      <c r="S563" s="7"/>
      <c r="T563" s="762">
        <f t="shared" si="105"/>
        <v>29.864460000000001</v>
      </c>
    </row>
    <row r="564" spans="1:20" ht="12.75" customHeight="1" x14ac:dyDescent="0.2">
      <c r="A564" s="7"/>
      <c r="B564" s="7"/>
      <c r="C564" s="7"/>
      <c r="D564" s="753"/>
      <c r="E564" s="7"/>
      <c r="F564" s="7"/>
      <c r="G564" s="7"/>
      <c r="H564" s="763"/>
      <c r="I564" s="755"/>
      <c r="J564" s="755"/>
      <c r="K564" s="711" t="str">
        <f t="shared" si="103"/>
        <v/>
      </c>
      <c r="L564" s="712" t="str">
        <f t="shared" si="108"/>
        <v/>
      </c>
      <c r="N564" s="725" t="str">
        <f t="shared" si="107"/>
        <v>x</v>
      </c>
      <c r="P564" s="753" t="str">
        <f t="shared" si="105"/>
        <v/>
      </c>
      <c r="Q564" s="7"/>
      <c r="R564" s="7" t="str">
        <f t="shared" si="105"/>
        <v/>
      </c>
      <c r="S564" s="7"/>
      <c r="T564" s="763" t="str">
        <f t="shared" si="105"/>
        <v/>
      </c>
    </row>
    <row r="565" spans="1:20" ht="22.5" x14ac:dyDescent="0.2">
      <c r="A565" s="698" t="s">
        <v>430</v>
      </c>
      <c r="B565" s="699"/>
      <c r="C565" s="700"/>
      <c r="D565" s="701" t="s">
        <v>0</v>
      </c>
      <c r="E565" s="701"/>
      <c r="F565" s="702" t="s">
        <v>363</v>
      </c>
      <c r="G565" s="700"/>
      <c r="H565" s="702" t="s">
        <v>364</v>
      </c>
      <c r="I565" s="703" t="str">
        <f>"Fehler"</f>
        <v>Fehler</v>
      </c>
      <c r="J565" s="704" t="s">
        <v>365</v>
      </c>
      <c r="K565" s="704"/>
      <c r="L565" s="704"/>
      <c r="N565" s="705" t="str">
        <f t="shared" si="107"/>
        <v>x</v>
      </c>
      <c r="P565" s="701" t="str">
        <f t="shared" si="105"/>
        <v>Ergebnis</v>
      </c>
      <c r="Q565" s="701"/>
      <c r="R565" s="702" t="str">
        <f t="shared" si="105"/>
        <v>Formel-
prüfung</v>
      </c>
      <c r="S565" s="700"/>
      <c r="T565" s="702" t="str">
        <f t="shared" si="105"/>
        <v>Deine Be-rechnung</v>
      </c>
    </row>
    <row r="566" spans="1:20" ht="12.75" customHeight="1" x14ac:dyDescent="0.2">
      <c r="A566" s="751" t="s">
        <v>366</v>
      </c>
      <c r="B566" s="751" t="s">
        <v>417</v>
      </c>
      <c r="C566" s="752"/>
      <c r="D566" s="753"/>
      <c r="E566" s="7"/>
      <c r="F566" s="7"/>
      <c r="G566" s="7"/>
      <c r="H566" s="754"/>
      <c r="I566" s="755"/>
      <c r="J566" s="755"/>
      <c r="K566" s="711" t="str">
        <f t="shared" ref="K566:K629" si="109">IF(L566="","","│")</f>
        <v/>
      </c>
      <c r="L566" s="712" t="str">
        <f t="shared" ref="L566:L587" si="110">IF(OR(B566="-",N566="",AND(P566="",T566="")),"",1)</f>
        <v/>
      </c>
      <c r="N566" s="695" t="str">
        <f t="shared" si="107"/>
        <v>x</v>
      </c>
      <c r="P566" s="753" t="str">
        <f t="shared" si="105"/>
        <v/>
      </c>
      <c r="Q566" s="7"/>
      <c r="R566" s="7" t="str">
        <f t="shared" si="105"/>
        <v/>
      </c>
      <c r="S566" s="7"/>
      <c r="T566" s="754" t="str">
        <f t="shared" si="105"/>
        <v/>
      </c>
    </row>
    <row r="567" spans="1:20" ht="12.75" customHeight="1" x14ac:dyDescent="0.2">
      <c r="A567" s="752"/>
      <c r="B567" s="752" t="s">
        <v>418</v>
      </c>
      <c r="C567" s="752"/>
      <c r="D567" s="756">
        <f>IF('[1]E-MKK2'!$E12="","",'[1]E-MKK2'!$E12)</f>
        <v>25</v>
      </c>
      <c r="E567" s="757"/>
      <c r="F567" s="757"/>
      <c r="G567" s="7"/>
      <c r="H567" s="758">
        <f>IF('MKK2'!D8="","",'MKK2'!D8)</f>
        <v>25</v>
      </c>
      <c r="I567" s="759" t="str">
        <f>IF(T567=P567,"Richtig!",IF(T567="","Fehlt","Falsch"))</f>
        <v>Richtig!</v>
      </c>
      <c r="J567" s="718">
        <f>IF(OR(B567="-",N567="",AND(P567="",T567="")),"-",IF(I567="Richtig!",1,IF(I567="Formel: OK",0.5,IF(OR(I567="Falsch",I567="Fehlt"),0,""))))</f>
        <v>1</v>
      </c>
      <c r="K567" s="711" t="str">
        <f t="shared" si="109"/>
        <v>│</v>
      </c>
      <c r="L567" s="712">
        <f t="shared" si="110"/>
        <v>1</v>
      </c>
      <c r="N567" s="719" t="str">
        <f t="shared" si="107"/>
        <v>x</v>
      </c>
      <c r="P567" s="756">
        <f t="shared" si="105"/>
        <v>25</v>
      </c>
      <c r="Q567" s="757"/>
      <c r="R567" s="757" t="str">
        <f t="shared" si="105"/>
        <v/>
      </c>
      <c r="S567" s="7"/>
      <c r="T567" s="758">
        <f t="shared" si="105"/>
        <v>25</v>
      </c>
    </row>
    <row r="568" spans="1:20" ht="12.75" customHeight="1" x14ac:dyDescent="0.2">
      <c r="A568" s="752"/>
      <c r="B568" s="752" t="str">
        <f>"Zeitwert am 1. 1."&amp;[1]MKK2!G21</f>
        <v>Zeitwert am 1. 1.2020</v>
      </c>
      <c r="C568" s="752"/>
      <c r="D568" s="756">
        <f>IF('[1]E-MKK2'!$E13="","",'[1]E-MKK2'!$E13)</f>
        <v>1</v>
      </c>
      <c r="E568" s="757"/>
      <c r="F568" s="757"/>
      <c r="G568" s="7"/>
      <c r="H568" s="758">
        <f>IF('MKK2'!D9="","",'MKK2'!D9)</f>
        <v>1</v>
      </c>
      <c r="I568" s="759" t="str">
        <f>IF(T568=P568,"Richtig!",IF(T568="","Fehlt","Falsch"))</f>
        <v>Richtig!</v>
      </c>
      <c r="J568" s="718">
        <f>IF(OR(B568="-",N568="",AND(P568="",T568="")),"-",IF(I568="Richtig!",1,IF(I568="Formel: OK",0.5,IF(OR(I568="Falsch",I568="Fehlt"),0,""))))</f>
        <v>1</v>
      </c>
      <c r="K568" s="711" t="str">
        <f t="shared" si="109"/>
        <v>│</v>
      </c>
      <c r="L568" s="712">
        <f t="shared" si="110"/>
        <v>1</v>
      </c>
      <c r="N568" s="719" t="str">
        <f t="shared" si="107"/>
        <v>x</v>
      </c>
      <c r="P568" s="756">
        <f t="shared" si="105"/>
        <v>1</v>
      </c>
      <c r="Q568" s="757"/>
      <c r="R568" s="757" t="str">
        <f t="shared" si="105"/>
        <v/>
      </c>
      <c r="S568" s="7"/>
      <c r="T568" s="758">
        <f t="shared" si="105"/>
        <v>1</v>
      </c>
    </row>
    <row r="569" spans="1:20" ht="12.75" x14ac:dyDescent="0.2">
      <c r="A569" s="707"/>
      <c r="B569" s="707"/>
      <c r="C569" s="707"/>
      <c r="D569" s="708"/>
      <c r="H569" s="706"/>
      <c r="I569" s="710"/>
      <c r="J569" s="710"/>
      <c r="K569" s="711" t="str">
        <f t="shared" si="109"/>
        <v/>
      </c>
      <c r="L569" s="712" t="str">
        <f t="shared" si="110"/>
        <v/>
      </c>
      <c r="N569" s="725" t="str">
        <f t="shared" si="107"/>
        <v>x</v>
      </c>
      <c r="P569" s="708" t="str">
        <f t="shared" si="105"/>
        <v/>
      </c>
      <c r="R569" s="1" t="str">
        <f t="shared" si="105"/>
        <v/>
      </c>
      <c r="T569" s="706" t="str">
        <f t="shared" si="105"/>
        <v/>
      </c>
    </row>
    <row r="570" spans="1:20" ht="12.75" x14ac:dyDescent="0.2">
      <c r="A570" s="706" t="s">
        <v>368</v>
      </c>
      <c r="B570" s="706" t="s">
        <v>8</v>
      </c>
      <c r="C570" s="707"/>
      <c r="D570" s="708"/>
      <c r="H570" s="706"/>
      <c r="I570" s="710"/>
      <c r="J570" s="710"/>
      <c r="K570" s="711" t="str">
        <f t="shared" si="109"/>
        <v/>
      </c>
      <c r="L570" s="712" t="str">
        <f t="shared" si="110"/>
        <v/>
      </c>
      <c r="N570" s="695" t="str">
        <f t="shared" si="107"/>
        <v>x</v>
      </c>
      <c r="P570" s="708" t="str">
        <f t="shared" si="105"/>
        <v/>
      </c>
      <c r="R570" s="1" t="str">
        <f t="shared" si="105"/>
        <v/>
      </c>
      <c r="T570" s="706" t="str">
        <f t="shared" si="105"/>
        <v/>
      </c>
    </row>
    <row r="571" spans="1:20" ht="12.75" customHeight="1" x14ac:dyDescent="0.2">
      <c r="A571" s="752"/>
      <c r="B571" s="752" t="s">
        <v>419</v>
      </c>
      <c r="C571" s="752"/>
      <c r="D571" s="756">
        <f>IF('[1]E-MKK2'!$E16="","",'[1]E-MKK2'!$E16)</f>
        <v>0</v>
      </c>
      <c r="E571" s="757"/>
      <c r="F571" s="757"/>
      <c r="G571" s="7"/>
      <c r="H571" s="758">
        <f>IF('MKK2'!D12="","",'MKK2'!D12)</f>
        <v>0</v>
      </c>
      <c r="I571" s="759" t="str">
        <f>IF(T571=P571,"Richtig!",IF(T571="","Fehlt","Falsch"))</f>
        <v>Richtig!</v>
      </c>
      <c r="J571" s="718">
        <f>IF(OR(B571="-",N571="",AND(P571="",T571="")),"-",IF(I571="Richtig!",1,IF(I571="Formel: OK",0.5,IF(OR(I571="Falsch",I571="Fehlt"),0,""))))</f>
        <v>1</v>
      </c>
      <c r="K571" s="711" t="str">
        <f t="shared" si="109"/>
        <v>│</v>
      </c>
      <c r="L571" s="712">
        <f t="shared" si="110"/>
        <v>1</v>
      </c>
      <c r="N571" s="719" t="str">
        <f t="shared" si="107"/>
        <v>x</v>
      </c>
      <c r="P571" s="756">
        <f t="shared" si="105"/>
        <v>0</v>
      </c>
      <c r="Q571" s="757"/>
      <c r="R571" s="757" t="str">
        <f t="shared" si="105"/>
        <v/>
      </c>
      <c r="S571" s="7"/>
      <c r="T571" s="758">
        <f t="shared" si="105"/>
        <v>0</v>
      </c>
    </row>
    <row r="572" spans="1:20" ht="12.75" customHeight="1" x14ac:dyDescent="0.2">
      <c r="A572" s="752"/>
      <c r="B572" s="752" t="s">
        <v>420</v>
      </c>
      <c r="C572" s="752"/>
      <c r="D572" s="756">
        <f>IF('[1]E-MKK2'!$E17="","",'[1]E-MKK2'!$E17)</f>
        <v>7</v>
      </c>
      <c r="E572" s="757"/>
      <c r="F572" s="757"/>
      <c r="G572" s="7"/>
      <c r="H572" s="758">
        <f>IF('MKK2'!D13="","",'MKK2'!D13)</f>
        <v>7</v>
      </c>
      <c r="I572" s="759" t="str">
        <f>IF(T572=P572,"Richtig!",IF(T572="","Fehlt","Falsch"))</f>
        <v>Richtig!</v>
      </c>
      <c r="J572" s="718">
        <f>IF(OR(B572="-",N572="",AND(P572="",T572="")),"-",IF(I572="Richtig!",1,IF(I572="Formel: OK",0.5,IF(OR(I572="Falsch",I572="Fehlt"),0,""))))</f>
        <v>1</v>
      </c>
      <c r="K572" s="711" t="str">
        <f t="shared" si="109"/>
        <v>│</v>
      </c>
      <c r="L572" s="712">
        <f t="shared" si="110"/>
        <v>1</v>
      </c>
      <c r="N572" s="719" t="str">
        <f t="shared" si="107"/>
        <v>x</v>
      </c>
      <c r="P572" s="756">
        <f t="shared" si="105"/>
        <v>7</v>
      </c>
      <c r="Q572" s="757"/>
      <c r="R572" s="757" t="str">
        <f t="shared" si="105"/>
        <v/>
      </c>
      <c r="S572" s="7"/>
      <c r="T572" s="758">
        <f t="shared" si="105"/>
        <v>7</v>
      </c>
    </row>
    <row r="573" spans="1:20" ht="12.75" customHeight="1" x14ac:dyDescent="0.2">
      <c r="A573" s="752"/>
      <c r="B573" s="752" t="s">
        <v>421</v>
      </c>
      <c r="C573" s="752"/>
      <c r="D573" s="756">
        <f>IF('[1]E-MKK2'!$E18="","",'[1]E-MKK2'!$E18)</f>
        <v>7</v>
      </c>
      <c r="E573" s="757"/>
      <c r="F573" s="757"/>
      <c r="G573" s="7"/>
      <c r="H573" s="758">
        <f>IF('MKK2'!D14="","",'MKK2'!D14)</f>
        <v>7</v>
      </c>
      <c r="I573" s="759" t="str">
        <f>IF(T573=P573,"Richtig!",IF(T573="","Fehlt","Falsch"))</f>
        <v>Richtig!</v>
      </c>
      <c r="J573" s="718">
        <f>IF(OR(B573="-",N573="",AND(P573="",T573="")),"-",IF(I573="Richtig!",1,IF(I573="Formel: OK",0.5,IF(OR(I573="Falsch",I573="Fehlt"),0,""))))</f>
        <v>1</v>
      </c>
      <c r="K573" s="711" t="str">
        <f t="shared" si="109"/>
        <v>│</v>
      </c>
      <c r="L573" s="712">
        <f t="shared" si="110"/>
        <v>1</v>
      </c>
      <c r="N573" s="719" t="str">
        <f t="shared" si="107"/>
        <v>x</v>
      </c>
      <c r="P573" s="756">
        <f t="shared" si="105"/>
        <v>7</v>
      </c>
      <c r="Q573" s="757"/>
      <c r="R573" s="757" t="str">
        <f t="shared" si="105"/>
        <v/>
      </c>
      <c r="S573" s="7"/>
      <c r="T573" s="758">
        <f t="shared" si="105"/>
        <v>7</v>
      </c>
    </row>
    <row r="574" spans="1:20" ht="12.75" customHeight="1" x14ac:dyDescent="0.2">
      <c r="A574" s="752"/>
      <c r="B574" s="752" t="s">
        <v>422</v>
      </c>
      <c r="C574" s="752"/>
      <c r="D574" s="756">
        <f>IF('[1]E-MKK2'!$E19="","",'[1]E-MKK2'!$E19)</f>
        <v>21</v>
      </c>
      <c r="E574" s="757"/>
      <c r="F574" s="757"/>
      <c r="G574" s="7"/>
      <c r="H574" s="758">
        <f>IF('MKK2'!D15="","",'MKK2'!D15)</f>
        <v>21</v>
      </c>
      <c r="I574" s="759" t="str">
        <f>IF(T574=P574,"Richtig!",IF(T574="","Fehlt","Falsch"))</f>
        <v>Richtig!</v>
      </c>
      <c r="J574" s="718">
        <f>IF(OR(B574="-",N574="",AND(P574="",T574="")),"-",IF(I574="Richtig!",1,IF(I574="Formel: OK",0.5,IF(OR(I574="Falsch",I574="Fehlt"),0,""))))</f>
        <v>1</v>
      </c>
      <c r="K574" s="711" t="str">
        <f t="shared" si="109"/>
        <v>│</v>
      </c>
      <c r="L574" s="712">
        <f t="shared" si="110"/>
        <v>1</v>
      </c>
      <c r="N574" s="719" t="str">
        <f t="shared" si="107"/>
        <v>x</v>
      </c>
      <c r="P574" s="756">
        <f t="shared" si="105"/>
        <v>21</v>
      </c>
      <c r="Q574" s="757"/>
      <c r="R574" s="757" t="str">
        <f t="shared" si="105"/>
        <v/>
      </c>
      <c r="S574" s="7"/>
      <c r="T574" s="758">
        <f t="shared" si="105"/>
        <v>21</v>
      </c>
    </row>
    <row r="575" spans="1:20" ht="12.75" customHeight="1" x14ac:dyDescent="0.2">
      <c r="A575" s="752"/>
      <c r="B575" s="751" t="s">
        <v>9</v>
      </c>
      <c r="C575" s="752"/>
      <c r="D575" s="760">
        <f>IF('[1]E-MKK2'!$G20="","",'[1]E-MKK2'!$G20)</f>
        <v>35</v>
      </c>
      <c r="E575" s="757"/>
      <c r="F575" s="761">
        <f>IF(AND('MKK2'!D12="",'MKK2'!D13="",'MKK2'!D14="",'MKK2'!D15="")="","-",SUM('MKK2'!D12:D15))</f>
        <v>35</v>
      </c>
      <c r="G575" s="7"/>
      <c r="H575" s="762">
        <f>IF('MKK2'!F16="","",'MKK2'!F16)</f>
        <v>35</v>
      </c>
      <c r="I575" s="759" t="str">
        <f>IF(T575=P575,"Richtig!",IF(AND(R575&lt;&gt;"",T575&lt;&gt;P575,T575=R575),"Formel: OK",IF(T575="","Fehlt","Falsch")))</f>
        <v>Richtig!</v>
      </c>
      <c r="J575" s="718">
        <f>IF(OR(B575="-",N575="",AND(P575="",T575="")),"-",IF(I575="Richtig!",1,IF(I575="Formel: OK",0.5,IF(OR(I575="Falsch",I575="Fehlt"),0,""))))</f>
        <v>1</v>
      </c>
      <c r="K575" s="711" t="str">
        <f t="shared" si="109"/>
        <v>│</v>
      </c>
      <c r="L575" s="712">
        <f t="shared" si="110"/>
        <v>1</v>
      </c>
      <c r="N575" s="719" t="str">
        <f t="shared" si="107"/>
        <v>x</v>
      </c>
      <c r="P575" s="760">
        <f t="shared" si="105"/>
        <v>35</v>
      </c>
      <c r="Q575" s="757"/>
      <c r="R575" s="761">
        <f t="shared" si="105"/>
        <v>35</v>
      </c>
      <c r="S575" s="7"/>
      <c r="T575" s="762">
        <f t="shared" si="105"/>
        <v>35</v>
      </c>
    </row>
    <row r="576" spans="1:20" ht="12.75" x14ac:dyDescent="0.2">
      <c r="A576" s="707"/>
      <c r="B576" s="707"/>
      <c r="C576" s="707"/>
      <c r="D576" s="708"/>
      <c r="H576" s="706"/>
      <c r="I576" s="710"/>
      <c r="J576" s="710"/>
      <c r="K576" s="711" t="str">
        <f t="shared" si="109"/>
        <v/>
      </c>
      <c r="L576" s="712" t="str">
        <f t="shared" si="110"/>
        <v/>
      </c>
      <c r="N576" s="725" t="str">
        <f t="shared" si="107"/>
        <v>x</v>
      </c>
      <c r="P576" s="708" t="str">
        <f t="shared" si="105"/>
        <v/>
      </c>
      <c r="R576" s="1" t="str">
        <f t="shared" si="105"/>
        <v/>
      </c>
      <c r="T576" s="706" t="str">
        <f t="shared" si="105"/>
        <v/>
      </c>
    </row>
    <row r="577" spans="1:20" ht="12.75" x14ac:dyDescent="0.2">
      <c r="A577" s="706" t="s">
        <v>370</v>
      </c>
      <c r="B577" s="706" t="s">
        <v>7</v>
      </c>
      <c r="C577" s="707"/>
      <c r="D577" s="708"/>
      <c r="H577" s="706"/>
      <c r="I577" s="710"/>
      <c r="J577" s="710"/>
      <c r="K577" s="711" t="str">
        <f t="shared" si="109"/>
        <v/>
      </c>
      <c r="L577" s="712" t="str">
        <f t="shared" si="110"/>
        <v/>
      </c>
      <c r="N577" s="695" t="str">
        <f t="shared" si="107"/>
        <v>x</v>
      </c>
      <c r="P577" s="708" t="str">
        <f t="shared" si="105"/>
        <v/>
      </c>
      <c r="R577" s="1" t="str">
        <f t="shared" si="105"/>
        <v/>
      </c>
      <c r="T577" s="706" t="str">
        <f t="shared" si="105"/>
        <v/>
      </c>
    </row>
    <row r="578" spans="1:20" ht="12.75" hidden="1" customHeight="1" x14ac:dyDescent="0.2">
      <c r="A578" s="752"/>
      <c r="B578" s="752" t="s">
        <v>423</v>
      </c>
      <c r="C578" s="752"/>
      <c r="D578" s="714">
        <f>IF('[1]E-MKK2'!$G23="","",'[1]E-MKK2'!$G23)</f>
        <v>59.5</v>
      </c>
      <c r="E578" s="715"/>
      <c r="F578" s="715"/>
      <c r="H578" s="716">
        <f>IF('MKK2'!F19="","",'MKK2'!F19)</f>
        <v>59.5</v>
      </c>
      <c r="I578" s="717" t="str">
        <f>IF(AND(P578="",T578=""),"",IF(T578=P578,"Richtig!",IF(T578="","Fehlt","Falsch")))</f>
        <v>Richtig!</v>
      </c>
      <c r="J578" s="718" t="str">
        <f>IF(OR(B578="-",N578="",AND(P578="",T578="")),"-",IF(I578="Richtig!",1,IF(I578="Formel: OK",0.5,IF(OR(I578="Falsch",I578="Fehlt"),0,""))))</f>
        <v>-</v>
      </c>
      <c r="K578" s="711" t="str">
        <f t="shared" si="109"/>
        <v/>
      </c>
      <c r="L578" s="712" t="str">
        <f t="shared" si="110"/>
        <v/>
      </c>
      <c r="N578" s="719"/>
      <c r="P578" s="714">
        <f t="shared" si="105"/>
        <v>59.5</v>
      </c>
      <c r="Q578" s="715"/>
      <c r="R578" s="715" t="str">
        <f t="shared" si="105"/>
        <v/>
      </c>
      <c r="T578" s="716">
        <f t="shared" si="105"/>
        <v>59.5</v>
      </c>
    </row>
    <row r="579" spans="1:20" ht="12.75" customHeight="1" x14ac:dyDescent="0.2">
      <c r="A579" s="752"/>
      <c r="B579" s="752" t="s">
        <v>424</v>
      </c>
      <c r="C579" s="752"/>
      <c r="D579" s="756">
        <f>IF('[1]E-MKK2'!$E24="","",'[1]E-MKK2'!$E24)</f>
        <v>70</v>
      </c>
      <c r="E579" s="757"/>
      <c r="F579" s="757"/>
      <c r="G579" s="7"/>
      <c r="H579" s="758">
        <f>IF('MKK2'!D20="","",'MKK2'!D20)</f>
        <v>70</v>
      </c>
      <c r="I579" s="759" t="str">
        <f>IF(T579=P579,"Richtig!",IF(T579="","Fehlt","Falsch"))</f>
        <v>Richtig!</v>
      </c>
      <c r="J579" s="718">
        <f>IF(OR(B579="-",N579="",AND(P579="",T579="")),"-",IF(I579="Richtig!",1,IF(I579="Formel: OK",0.5,IF(OR(I579="Falsch",I579="Fehlt"),0,""))))</f>
        <v>1</v>
      </c>
      <c r="K579" s="711" t="str">
        <f t="shared" si="109"/>
        <v>│</v>
      </c>
      <c r="L579" s="712">
        <f t="shared" si="110"/>
        <v>1</v>
      </c>
      <c r="N579" s="719" t="str">
        <f t="shared" si="107"/>
        <v>x</v>
      </c>
      <c r="P579" s="756">
        <f t="shared" si="105"/>
        <v>70</v>
      </c>
      <c r="Q579" s="757"/>
      <c r="R579" s="757" t="str">
        <f t="shared" si="105"/>
        <v/>
      </c>
      <c r="S579" s="7"/>
      <c r="T579" s="758">
        <f t="shared" si="105"/>
        <v>70</v>
      </c>
    </row>
    <row r="580" spans="1:20" ht="12.75" customHeight="1" x14ac:dyDescent="0.2">
      <c r="A580" s="752"/>
      <c r="B580" s="752" t="s">
        <v>425</v>
      </c>
      <c r="C580" s="752"/>
      <c r="D580" s="760">
        <f>IF('[1]E-MKK2'!$G24="","",'[1]E-MKK2'!$G24)</f>
        <v>17.5</v>
      </c>
      <c r="E580" s="757"/>
      <c r="F580" s="761">
        <f>IF(OR('MKK2'!D20="",[1]MKK2!G19=""),"-",'MKK2'!D20/100*[1]MKK2!G19)</f>
        <v>16.799999999999997</v>
      </c>
      <c r="G580" s="7"/>
      <c r="H580" s="762">
        <f>IF('MKK2'!F20="","",'MKK2'!F20)</f>
        <v>17.5</v>
      </c>
      <c r="I580" s="759" t="str">
        <f>IF(T580=P580,"Richtig!",IF(AND(R580&lt;&gt;"",T580&lt;&gt;P580,T580=R580),"Formel: OK",IF(T580="","Fehlt","Falsch")))</f>
        <v>Richtig!</v>
      </c>
      <c r="J580" s="718">
        <f>IF(OR(B580="-",N580="",AND(P580="",T580="")),"-",IF(I580="Richtig!",1,IF(I580="Formel: OK",0.5,IF(OR(I580="Falsch",I580="Fehlt"),0,""))))</f>
        <v>1</v>
      </c>
      <c r="K580" s="711" t="str">
        <f t="shared" si="109"/>
        <v>│</v>
      </c>
      <c r="L580" s="712">
        <f t="shared" si="110"/>
        <v>1</v>
      </c>
      <c r="N580" s="719" t="str">
        <f t="shared" si="107"/>
        <v>x</v>
      </c>
      <c r="P580" s="760">
        <f t="shared" si="105"/>
        <v>17.5</v>
      </c>
      <c r="Q580" s="757"/>
      <c r="R580" s="761">
        <f t="shared" si="105"/>
        <v>16.8</v>
      </c>
      <c r="S580" s="7"/>
      <c r="T580" s="762">
        <f t="shared" si="105"/>
        <v>17.5</v>
      </c>
    </row>
    <row r="581" spans="1:20" ht="12.75" customHeight="1" x14ac:dyDescent="0.2">
      <c r="A581" s="752"/>
      <c r="B581" s="751" t="s">
        <v>10</v>
      </c>
      <c r="C581" s="752"/>
      <c r="D581" s="760">
        <f>IF('[1]E-MKK2'!$G25="","",'[1]E-MKK2'!$G25)</f>
        <v>77</v>
      </c>
      <c r="E581" s="757"/>
      <c r="F581" s="761">
        <f>IF(AND('MKK2'!F19="",'MKK2'!F20=""),"-",SUM('MKK2'!F19:F20))</f>
        <v>77</v>
      </c>
      <c r="G581" s="7"/>
      <c r="H581" s="762">
        <f>IF('MKK2'!F21="","",'MKK2'!F21)</f>
        <v>77</v>
      </c>
      <c r="I581" s="759" t="str">
        <f>IF(T581=P581,"Richtig!",IF(AND(R581&lt;&gt;"",T581&lt;&gt;P581,T581=R581),"Formel: OK",IF(T581="","Fehlt","Falsch")))</f>
        <v>Richtig!</v>
      </c>
      <c r="J581" s="718">
        <f>IF(OR(B581="-",N581="",AND(P581="",T581="")),"-",IF(I581="Richtig!",1,IF(I581="Formel: OK",0.5,IF(OR(I581="Falsch",I581="Fehlt"),0,""))))</f>
        <v>1</v>
      </c>
      <c r="K581" s="711" t="str">
        <f t="shared" si="109"/>
        <v>│</v>
      </c>
      <c r="L581" s="712">
        <f t="shared" si="110"/>
        <v>1</v>
      </c>
      <c r="N581" s="719" t="str">
        <f t="shared" si="107"/>
        <v>x</v>
      </c>
      <c r="P581" s="760">
        <f t="shared" si="105"/>
        <v>77</v>
      </c>
      <c r="Q581" s="757"/>
      <c r="R581" s="761">
        <f t="shared" si="105"/>
        <v>77</v>
      </c>
      <c r="S581" s="7"/>
      <c r="T581" s="762">
        <f t="shared" si="105"/>
        <v>77</v>
      </c>
    </row>
    <row r="582" spans="1:20" ht="12.75" x14ac:dyDescent="0.2">
      <c r="A582" s="707"/>
      <c r="B582" s="707"/>
      <c r="C582" s="707"/>
      <c r="D582" s="708"/>
      <c r="H582" s="706"/>
      <c r="I582" s="710"/>
      <c r="J582" s="710"/>
      <c r="K582" s="711" t="str">
        <f t="shared" si="109"/>
        <v/>
      </c>
      <c r="L582" s="712" t="str">
        <f t="shared" si="110"/>
        <v/>
      </c>
      <c r="N582" s="725" t="str">
        <f t="shared" si="107"/>
        <v>x</v>
      </c>
      <c r="P582" s="708" t="str">
        <f t="shared" si="105"/>
        <v/>
      </c>
      <c r="R582" s="1" t="str">
        <f t="shared" si="105"/>
        <v/>
      </c>
      <c r="T582" s="706" t="str">
        <f t="shared" si="105"/>
        <v/>
      </c>
    </row>
    <row r="583" spans="1:20" ht="12.75" x14ac:dyDescent="0.2">
      <c r="A583" s="706" t="s">
        <v>373</v>
      </c>
      <c r="B583" s="706" t="s">
        <v>426</v>
      </c>
      <c r="C583" s="707"/>
      <c r="D583" s="708"/>
      <c r="H583" s="706"/>
      <c r="I583" s="710"/>
      <c r="J583" s="710"/>
      <c r="K583" s="711" t="str">
        <f t="shared" si="109"/>
        <v/>
      </c>
      <c r="L583" s="712" t="str">
        <f t="shared" si="110"/>
        <v/>
      </c>
      <c r="N583" s="695" t="str">
        <f t="shared" si="107"/>
        <v>x</v>
      </c>
      <c r="P583" s="708" t="str">
        <f t="shared" si="105"/>
        <v/>
      </c>
      <c r="R583" s="1" t="str">
        <f t="shared" si="105"/>
        <v/>
      </c>
      <c r="T583" s="706" t="str">
        <f t="shared" si="105"/>
        <v/>
      </c>
    </row>
    <row r="584" spans="1:20" ht="12.75" customHeight="1" x14ac:dyDescent="0.2">
      <c r="A584" s="752"/>
      <c r="B584" s="752" t="s">
        <v>427</v>
      </c>
      <c r="C584" s="752"/>
      <c r="D584" s="760">
        <f>IF('[1]E-MKK2'!$G28="","",'[1]E-MKK2'!$G28)</f>
        <v>1.4</v>
      </c>
      <c r="E584" s="757"/>
      <c r="F584" s="761">
        <f>IF(OR('MKK2'!F16="",[1]MKK2!G19=""),"-",'MKK2'!F16/[1]MKK2!G19)</f>
        <v>1.4583333333333333</v>
      </c>
      <c r="G584" s="7"/>
      <c r="H584" s="762">
        <f>IF('MKK2'!F24="","",'MKK2'!F24)</f>
        <v>1.4</v>
      </c>
      <c r="I584" s="759" t="str">
        <f>IF(T584=P584,"Richtig!",IF(AND(R584&lt;&gt;"",T584&lt;&gt;P584,T584=R584),"Formel: OK",IF(T584="","Fehlt","Falsch")))</f>
        <v>Richtig!</v>
      </c>
      <c r="J584" s="718">
        <f>IF(OR(B584="-",N584="",AND(P584="",T584="")),"-",IF(I584="Richtig!",1,IF(I584="Formel: OK",0.5,IF(OR(I584="Falsch",I584="Fehlt"),0,""))))</f>
        <v>1</v>
      </c>
      <c r="K584" s="711" t="str">
        <f t="shared" si="109"/>
        <v>│</v>
      </c>
      <c r="L584" s="712">
        <f t="shared" si="110"/>
        <v>1</v>
      </c>
      <c r="N584" s="719" t="str">
        <f t="shared" si="107"/>
        <v>x</v>
      </c>
      <c r="P584" s="760">
        <f t="shared" si="105"/>
        <v>1.4</v>
      </c>
      <c r="Q584" s="757"/>
      <c r="R584" s="761">
        <f t="shared" si="105"/>
        <v>1.4583299999999999</v>
      </c>
      <c r="S584" s="7"/>
      <c r="T584" s="762">
        <f t="shared" si="105"/>
        <v>1.4</v>
      </c>
    </row>
    <row r="585" spans="1:20" ht="12.75" customHeight="1" x14ac:dyDescent="0.2">
      <c r="A585" s="752"/>
      <c r="B585" s="752" t="s">
        <v>428</v>
      </c>
      <c r="C585" s="752"/>
      <c r="D585" s="760">
        <f>IF('[1]E-MKK2'!$G29="","",'[1]E-MKK2'!$G29)</f>
        <v>3.08</v>
      </c>
      <c r="E585" s="757"/>
      <c r="F585" s="761">
        <f>IF(OR('MKK2'!F21="",[1]MKK2!G19=""),"-",'MKK2'!F21/[1]MKK2!G19)</f>
        <v>3.2083333333333335</v>
      </c>
      <c r="G585" s="7"/>
      <c r="H585" s="762">
        <f>IF('MKK2'!F25="","",'MKK2'!F25)</f>
        <v>3.08</v>
      </c>
      <c r="I585" s="759" t="str">
        <f>IF(T585=P585,"Richtig!",IF(AND(R585&lt;&gt;"",T585&lt;&gt;P585,T585=R585),"Formel: OK",IF(T585="","Fehlt","Falsch")))</f>
        <v>Richtig!</v>
      </c>
      <c r="J585" s="718">
        <f>IF(OR(B585="-",N585="",AND(P585="",T585="")),"-",IF(I585="Richtig!",1,IF(I585="Formel: OK",0.5,IF(OR(I585="Falsch",I585="Fehlt"),0,""))))</f>
        <v>1</v>
      </c>
      <c r="K585" s="711" t="str">
        <f t="shared" si="109"/>
        <v>│</v>
      </c>
      <c r="L585" s="712">
        <f t="shared" si="110"/>
        <v>1</v>
      </c>
      <c r="N585" s="719" t="str">
        <f t="shared" si="107"/>
        <v>x</v>
      </c>
      <c r="P585" s="760">
        <f t="shared" si="105"/>
        <v>3.08</v>
      </c>
      <c r="Q585" s="757"/>
      <c r="R585" s="761">
        <f t="shared" si="105"/>
        <v>3.2083300000000001</v>
      </c>
      <c r="S585" s="7"/>
      <c r="T585" s="762">
        <f t="shared" si="105"/>
        <v>3.08</v>
      </c>
    </row>
    <row r="586" spans="1:20" ht="12.75" customHeight="1" x14ac:dyDescent="0.2">
      <c r="A586" s="752"/>
      <c r="B586" s="751" t="s">
        <v>429</v>
      </c>
      <c r="C586" s="752"/>
      <c r="D586" s="760">
        <f>IF('[1]E-MKK2'!$G30="","",'[1]E-MKK2'!$G30)</f>
        <v>4.4800000000000004</v>
      </c>
      <c r="E586" s="757"/>
      <c r="F586" s="761">
        <f>IF(AND('MKK2'!F24="",'MKK2'!F25=""),"-",SUM('MKK2'!F24:F25))</f>
        <v>4.4800000000000004</v>
      </c>
      <c r="G586" s="7"/>
      <c r="H586" s="762">
        <f>IF('MKK2'!F26="","",'MKK2'!F26)</f>
        <v>4.4800000000000004</v>
      </c>
      <c r="I586" s="759" t="str">
        <f>IF(T586=P586,"Richtig!",IF(AND(R586&lt;&gt;"",T586&lt;&gt;P586,T586=R586),"Formel: OK",IF(T586="","Fehlt","Falsch")))</f>
        <v>Richtig!</v>
      </c>
      <c r="J586" s="718">
        <f>IF(OR(B586="-",N586="",AND(P586="",T586="")),"-",IF(I586="Richtig!",1,IF(I586="Formel: OK",0.5,IF(OR(I586="Falsch",I586="Fehlt"),0,""))))</f>
        <v>1</v>
      </c>
      <c r="K586" s="711" t="str">
        <f t="shared" si="109"/>
        <v>│</v>
      </c>
      <c r="L586" s="712">
        <f t="shared" si="110"/>
        <v>1</v>
      </c>
      <c r="N586" s="719" t="str">
        <f t="shared" si="107"/>
        <v>x</v>
      </c>
      <c r="P586" s="760">
        <f t="shared" si="105"/>
        <v>4.4800000000000004</v>
      </c>
      <c r="Q586" s="757"/>
      <c r="R586" s="761">
        <f t="shared" si="105"/>
        <v>4.4800000000000004</v>
      </c>
      <c r="S586" s="7"/>
      <c r="T586" s="762">
        <f t="shared" si="105"/>
        <v>4.4800000000000004</v>
      </c>
    </row>
    <row r="587" spans="1:20" ht="12.75" customHeight="1" x14ac:dyDescent="0.2">
      <c r="A587" s="7"/>
      <c r="B587" s="7"/>
      <c r="C587" s="7"/>
      <c r="D587" s="753"/>
      <c r="E587" s="7"/>
      <c r="F587" s="7"/>
      <c r="G587" s="7"/>
      <c r="H587" s="763"/>
      <c r="I587" s="755"/>
      <c r="J587" s="755"/>
      <c r="K587" s="711" t="str">
        <f t="shared" si="109"/>
        <v/>
      </c>
      <c r="L587" s="712" t="str">
        <f t="shared" si="110"/>
        <v/>
      </c>
      <c r="N587" s="725" t="str">
        <f t="shared" si="107"/>
        <v>x</v>
      </c>
      <c r="P587" s="753" t="str">
        <f t="shared" ref="P587:T650" si="111">IF(ISTEXT(D587),D587,IF(D587="","",ROUND(D587,$R$1)))</f>
        <v/>
      </c>
      <c r="Q587" s="7"/>
      <c r="R587" s="7" t="str">
        <f t="shared" si="111"/>
        <v/>
      </c>
      <c r="S587" s="7"/>
      <c r="T587" s="763" t="str">
        <f t="shared" si="111"/>
        <v/>
      </c>
    </row>
    <row r="588" spans="1:20" ht="22.5" x14ac:dyDescent="0.2">
      <c r="A588" s="698" t="s">
        <v>431</v>
      </c>
      <c r="B588" s="699"/>
      <c r="C588" s="700"/>
      <c r="D588" s="701" t="s">
        <v>0</v>
      </c>
      <c r="E588" s="701"/>
      <c r="F588" s="702" t="s">
        <v>363</v>
      </c>
      <c r="G588" s="700"/>
      <c r="H588" s="702" t="s">
        <v>364</v>
      </c>
      <c r="I588" s="703" t="str">
        <f>"Fehler"</f>
        <v>Fehler</v>
      </c>
      <c r="J588" s="704" t="s">
        <v>365</v>
      </c>
      <c r="K588" s="704"/>
      <c r="L588" s="704"/>
      <c r="N588" s="705" t="str">
        <f t="shared" si="107"/>
        <v>x</v>
      </c>
      <c r="P588" s="701" t="str">
        <f t="shared" si="111"/>
        <v>Ergebnis</v>
      </c>
      <c r="Q588" s="701"/>
      <c r="R588" s="702" t="str">
        <f t="shared" si="111"/>
        <v>Formel-
prüfung</v>
      </c>
      <c r="S588" s="700"/>
      <c r="T588" s="702" t="str">
        <f t="shared" si="111"/>
        <v>Deine Be-rechnung</v>
      </c>
    </row>
    <row r="589" spans="1:20" s="8" customFormat="1" ht="12.75" customHeight="1" x14ac:dyDescent="0.2">
      <c r="A589" s="764" t="s">
        <v>390</v>
      </c>
      <c r="B589" s="764" t="str">
        <f>Jog!B5</f>
        <v>LEISTUNG</v>
      </c>
      <c r="C589" s="765"/>
      <c r="D589" s="766"/>
      <c r="H589" s="767"/>
      <c r="I589" s="768"/>
      <c r="J589" s="768"/>
      <c r="K589" s="711" t="str">
        <f t="shared" si="109"/>
        <v/>
      </c>
      <c r="L589" s="712" t="str">
        <f t="shared" ref="L589:L634" si="112">IF(OR(B589="-",N589="",AND(P589="",T589="")),"",1)</f>
        <v/>
      </c>
      <c r="M589" s="1"/>
      <c r="N589" s="695" t="str">
        <f t="shared" si="107"/>
        <v>x</v>
      </c>
      <c r="P589" s="766" t="str">
        <f t="shared" si="111"/>
        <v/>
      </c>
      <c r="R589" s="8" t="str">
        <f t="shared" si="111"/>
        <v/>
      </c>
      <c r="T589" s="767" t="str">
        <f t="shared" si="111"/>
        <v/>
      </c>
    </row>
    <row r="590" spans="1:20" s="8" customFormat="1" ht="12.75" customHeight="1" x14ac:dyDescent="0.2">
      <c r="B590" s="769" t="str">
        <f>MID(Jog!C8,4,6)&amp;" "&amp;Jog!F5</f>
        <v xml:space="preserve">Gläser </v>
      </c>
      <c r="C590" s="765"/>
      <c r="D590" s="770">
        <f>IF('[1]E-Jog'!$F8="","",'[1]E-Jog'!$F8)</f>
        <v>726.92307692307691</v>
      </c>
      <c r="E590" s="771"/>
      <c r="F590" s="771"/>
      <c r="H590" s="772">
        <f>IF(Jog!$F8="","",Jog!$F8)</f>
        <v>726.92307692307691</v>
      </c>
      <c r="I590" s="773" t="str">
        <f>IF(T590=P590,"Richtig!",IF(T590="","Fehlt","Falsch"))</f>
        <v>Richtig!</v>
      </c>
      <c r="J590" s="718">
        <f>IF(OR(B590="-",N590="",AND(P590="",T590="")),"-",IF(I590="Richtig!",1,IF(I590="Formel: OK",0.5,IF(OR(I590="Falsch",I590="Fehlt"),0,""))))</f>
        <v>1</v>
      </c>
      <c r="K590" s="711" t="str">
        <f t="shared" si="109"/>
        <v>│</v>
      </c>
      <c r="L590" s="712">
        <f t="shared" si="112"/>
        <v>1</v>
      </c>
      <c r="M590" s="1"/>
      <c r="N590" s="719" t="str">
        <f t="shared" si="107"/>
        <v>x</v>
      </c>
      <c r="P590" s="770">
        <f t="shared" si="111"/>
        <v>726.92308000000003</v>
      </c>
      <c r="Q590" s="771"/>
      <c r="R590" s="771" t="str">
        <f t="shared" si="111"/>
        <v/>
      </c>
      <c r="T590" s="772">
        <f t="shared" si="111"/>
        <v>726.92308000000003</v>
      </c>
    </row>
    <row r="591" spans="1:20" s="8" customFormat="1" ht="12.75" customHeight="1" x14ac:dyDescent="0.2">
      <c r="B591" s="769" t="str">
        <f>Jog!B9&amp;" "&amp;Jog!F5</f>
        <v xml:space="preserve">Verkaufserlös </v>
      </c>
      <c r="C591" s="765"/>
      <c r="D591" s="770">
        <f>IF('[1]E-Jog'!$F9="","",'[1]E-Jog'!$F9)</f>
        <v>516.11538461538453</v>
      </c>
      <c r="E591" s="771"/>
      <c r="F591" s="771"/>
      <c r="H591" s="772">
        <f>IF(Jog!$F9="","",Jog!$F9)</f>
        <v>516.11538461538453</v>
      </c>
      <c r="I591" s="773" t="str">
        <f>IF(T591=P591,"Richtig!",IF(T591="","Fehlt","Falsch"))</f>
        <v>Richtig!</v>
      </c>
      <c r="J591" s="718">
        <f>IF(OR(B591="-",N591="",AND(P591="",T591="")),"-",IF(I591="Richtig!",1,IF(I591="Formel: OK",0.5,IF(OR(I591="Falsch",I591="Fehlt"),0,""))))</f>
        <v>1</v>
      </c>
      <c r="K591" s="711" t="str">
        <f t="shared" si="109"/>
        <v>│</v>
      </c>
      <c r="L591" s="712">
        <f t="shared" si="112"/>
        <v>1</v>
      </c>
      <c r="M591" s="1"/>
      <c r="N591" s="719" t="str">
        <f t="shared" si="107"/>
        <v>x</v>
      </c>
      <c r="P591" s="770">
        <f t="shared" si="111"/>
        <v>516.11537999999996</v>
      </c>
      <c r="Q591" s="771"/>
      <c r="R591" s="771" t="str">
        <f t="shared" si="111"/>
        <v/>
      </c>
      <c r="T591" s="772">
        <f t="shared" si="111"/>
        <v>516.11537999999996</v>
      </c>
    </row>
    <row r="592" spans="1:20" s="8" customFormat="1" ht="15" x14ac:dyDescent="0.2">
      <c r="A592" s="765"/>
      <c r="B592" s="774" t="str">
        <f>Jog!B10&amp;" "&amp;Jog!F5</f>
        <v xml:space="preserve">Verlust! </v>
      </c>
      <c r="C592" s="765"/>
      <c r="D592" s="775">
        <f>IF('[1]E-Jog'!$F10="","",'[1]E-Jog'!$F10)</f>
        <v>-2.1255636923077645</v>
      </c>
      <c r="E592" s="771"/>
      <c r="F592" s="776">
        <f>IF(OR(H591="",H629=""),"-",H591-H629)</f>
        <v>-2.1255636923077645</v>
      </c>
      <c r="H592" s="777">
        <f>IF(Jog!$F10="","",Jog!$F10)</f>
        <v>-2.1255636923077645</v>
      </c>
      <c r="I592" s="773" t="str">
        <f>IF(B592="-","",IF(T592=P592,"Richtig!",IF(AND(P592&lt;&gt;T592,R592=T592),"Formel: OK",IF(T592="","Fehlt","Falsch"))))</f>
        <v>Richtig!</v>
      </c>
      <c r="J592" s="718">
        <f>IF(OR(B592="-",N592="",AND(P592="",T592="")),"-",IF(I592="Richtig!",1,IF(I592="Formel: OK",0.5,IF(OR(I592="Falsch",I592="Fehlt"),0,""))))</f>
        <v>1</v>
      </c>
      <c r="K592" s="711" t="str">
        <f t="shared" si="109"/>
        <v>│</v>
      </c>
      <c r="L592" s="712">
        <f t="shared" si="112"/>
        <v>1</v>
      </c>
      <c r="M592" s="1"/>
      <c r="N592" s="719" t="str">
        <f t="shared" si="107"/>
        <v>x</v>
      </c>
      <c r="P592" s="775">
        <f t="shared" si="111"/>
        <v>-2.1255600000000001</v>
      </c>
      <c r="Q592" s="771"/>
      <c r="R592" s="776">
        <f t="shared" si="111"/>
        <v>-2.1255600000000001</v>
      </c>
      <c r="T592" s="777">
        <f t="shared" si="111"/>
        <v>-2.1255600000000001</v>
      </c>
    </row>
    <row r="593" spans="1:20" s="8" customFormat="1" ht="15" hidden="1" customHeight="1" x14ac:dyDescent="0.2">
      <c r="A593" s="765"/>
      <c r="B593" s="774" t="str">
        <f>Jog!B10&amp;" "&amp;Jog!H19</f>
        <v>Verlust! pro Stk.</v>
      </c>
      <c r="C593" s="765"/>
      <c r="D593" s="775">
        <f>IF('[1]E-Jog'!$H10="","",'[1]E-Jog'!$H10)</f>
        <v>-2.9240558730159183E-3</v>
      </c>
      <c r="E593" s="771"/>
      <c r="F593" s="776">
        <f>IF(OR(H592="",$H$590=""),"-",H592/$H$590)</f>
        <v>-2.9240558730159725E-3</v>
      </c>
      <c r="H593" s="777">
        <f>IF(Jog!$H10="","",Jog!$H10)</f>
        <v>-2.9240558730159183E-3</v>
      </c>
      <c r="I593" s="773" t="str">
        <f>IF(B593="-","",IF(T593=P593,"Richtig!",IF(AND(P593&lt;&gt;T593,R593=T593),"Formel: OK",IF(T593="","Fehlt","Falsch"))))</f>
        <v>Richtig!</v>
      </c>
      <c r="J593" s="718" t="str">
        <f>IF(OR(B593="-",N593="",AND(P593="",T593="")),"-",IF(I593="Richtig!",1,IF(I593="Formel: OK",0.5,IF(OR(I593="Falsch",I593="Fehlt"),0,""))))</f>
        <v>-</v>
      </c>
      <c r="K593" s="711" t="str">
        <f t="shared" si="109"/>
        <v/>
      </c>
      <c r="L593" s="712" t="str">
        <f t="shared" si="112"/>
        <v/>
      </c>
      <c r="M593" s="1"/>
      <c r="N593" s="719"/>
      <c r="P593" s="775">
        <f t="shared" si="111"/>
        <v>-2.9199999999999999E-3</v>
      </c>
      <c r="Q593" s="771"/>
      <c r="R593" s="776">
        <f t="shared" si="111"/>
        <v>-2.9199999999999999E-3</v>
      </c>
      <c r="T593" s="777">
        <f t="shared" si="111"/>
        <v>-2.9199999999999999E-3</v>
      </c>
    </row>
    <row r="594" spans="1:20" ht="12.75" x14ac:dyDescent="0.2">
      <c r="A594" s="707"/>
      <c r="B594" s="707"/>
      <c r="C594" s="707"/>
      <c r="D594" s="708"/>
      <c r="H594" s="706"/>
      <c r="I594" s="710"/>
      <c r="J594" s="710"/>
      <c r="K594" s="711" t="str">
        <f t="shared" si="109"/>
        <v/>
      </c>
      <c r="L594" s="712" t="str">
        <f t="shared" si="112"/>
        <v/>
      </c>
      <c r="N594" s="725" t="str">
        <f>IF($L$1="","",$L$1)</f>
        <v>x</v>
      </c>
      <c r="P594" s="708" t="str">
        <f t="shared" si="111"/>
        <v/>
      </c>
      <c r="R594" s="1" t="str">
        <f t="shared" si="111"/>
        <v/>
      </c>
      <c r="T594" s="706" t="str">
        <f t="shared" si="111"/>
        <v/>
      </c>
    </row>
    <row r="595" spans="1:20" ht="12.75" x14ac:dyDescent="0.2">
      <c r="A595" s="706" t="s">
        <v>368</v>
      </c>
      <c r="B595" s="706" t="str">
        <f>Jog!B15</f>
        <v>Rohstoffkosten</v>
      </c>
      <c r="C595" s="707"/>
      <c r="D595" s="708"/>
      <c r="H595" s="706"/>
      <c r="I595" s="710"/>
      <c r="J595" s="710"/>
      <c r="K595" s="711" t="str">
        <f t="shared" si="109"/>
        <v/>
      </c>
      <c r="L595" s="712" t="str">
        <f t="shared" si="112"/>
        <v/>
      </c>
      <c r="N595" s="695" t="str">
        <f>IF($L$1="","",$L$1)</f>
        <v>x</v>
      </c>
      <c r="P595" s="708" t="str">
        <f t="shared" si="111"/>
        <v/>
      </c>
      <c r="R595" s="1" t="str">
        <f t="shared" si="111"/>
        <v/>
      </c>
      <c r="T595" s="706" t="str">
        <f t="shared" si="111"/>
        <v/>
      </c>
    </row>
    <row r="596" spans="1:20" s="8" customFormat="1" ht="12.75" customHeight="1" x14ac:dyDescent="0.2">
      <c r="A596" s="765"/>
      <c r="B596" s="774" t="str">
        <f>Jog!B16&amp;"kosten "&amp;Jog!F5</f>
        <v xml:space="preserve">Rohmilchkosten </v>
      </c>
      <c r="C596" s="765"/>
      <c r="D596" s="770">
        <f>IF('[1]E-Jog'!$G16="","",'[1]E-Jog'!$G16)</f>
        <v>64.260000000000005</v>
      </c>
      <c r="E596" s="771"/>
      <c r="F596" s="771"/>
      <c r="H596" s="772">
        <f>IF(Jog!$G16="","",Jog!$G16)</f>
        <v>64.260000000000005</v>
      </c>
      <c r="I596" s="773" t="str">
        <f>IF(B596="-","",IF(T596=P596,"Richtig!",IF(T596="","Fehlt","Falsch")))</f>
        <v>Richtig!</v>
      </c>
      <c r="J596" s="718">
        <f>IF(OR(B596="-",N596="",AND(P596="",T596="")),"-",IF(I596="Richtig!",1,IF(I596="Formel: OK",0.5,IF(OR(I596="Falsch",I596="Fehlt"),0,""))))</f>
        <v>1</v>
      </c>
      <c r="K596" s="711" t="str">
        <f t="shared" si="109"/>
        <v>│</v>
      </c>
      <c r="L596" s="712">
        <f t="shared" si="112"/>
        <v>1</v>
      </c>
      <c r="M596" s="1"/>
      <c r="N596" s="719" t="str">
        <f>IF($L$1="","",$L$1)</f>
        <v>x</v>
      </c>
      <c r="P596" s="770">
        <f t="shared" si="111"/>
        <v>64.260000000000005</v>
      </c>
      <c r="Q596" s="771"/>
      <c r="R596" s="771" t="str">
        <f t="shared" si="111"/>
        <v/>
      </c>
      <c r="T596" s="772">
        <f t="shared" si="111"/>
        <v>64.260000000000005</v>
      </c>
    </row>
    <row r="597" spans="1:20" s="8" customFormat="1" ht="15" hidden="1" customHeight="1" x14ac:dyDescent="0.2">
      <c r="A597" s="765"/>
      <c r="B597" s="778" t="str">
        <f>Jog!B17&amp;" "&amp;Jog!F5</f>
        <v xml:space="preserve">Summe Rohstoffkosten </v>
      </c>
      <c r="C597" s="765"/>
      <c r="D597" s="775">
        <f>IF('[1]E-Jog'!$G17="","",'[1]E-Jog'!$G17)</f>
        <v>64.260000000000005</v>
      </c>
      <c r="E597" s="771"/>
      <c r="F597" s="776">
        <f>IF(H596="","-",H596)</f>
        <v>64.260000000000005</v>
      </c>
      <c r="H597" s="777">
        <f>IF(Jog!$G17="","",Jog!$G17)</f>
        <v>64.260000000000005</v>
      </c>
      <c r="I597" s="773" t="str">
        <f>IF(B597="-","",IF(T597=P597,"Richtig!",IF(AND(P597&lt;&gt;T597,R597=T597),"Formel: OK",IF(T597="","Fehlt","Falsch"))))</f>
        <v>Richtig!</v>
      </c>
      <c r="J597" s="718" t="str">
        <f>IF(OR(B597="-",N597="",AND(P597="",T597="")),"-",IF(I597="Richtig!",1,IF(I597="Formel: OK",0.5,IF(OR(I597="Falsch",I597="Fehlt"),0,""))))</f>
        <v>-</v>
      </c>
      <c r="K597" s="711" t="str">
        <f t="shared" si="109"/>
        <v/>
      </c>
      <c r="L597" s="712" t="str">
        <f t="shared" si="112"/>
        <v/>
      </c>
      <c r="M597" s="1"/>
      <c r="N597" s="719"/>
      <c r="P597" s="775">
        <f t="shared" si="111"/>
        <v>64.260000000000005</v>
      </c>
      <c r="Q597" s="771"/>
      <c r="R597" s="776">
        <f t="shared" si="111"/>
        <v>64.260000000000005</v>
      </c>
      <c r="T597" s="777">
        <f t="shared" si="111"/>
        <v>64.260000000000005</v>
      </c>
    </row>
    <row r="598" spans="1:20" s="8" customFormat="1" ht="15" x14ac:dyDescent="0.2">
      <c r="A598" s="765"/>
      <c r="B598" s="778" t="str">
        <f>Jog!B17&amp;" "&amp;Jog!H19</f>
        <v>Summe Rohstoffkosten pro Stk.</v>
      </c>
      <c r="C598" s="765"/>
      <c r="D598" s="775">
        <f>IF('[1]E-Jog'!$H17="","",'[1]E-Jog'!$H17)</f>
        <v>8.8400000000000006E-2</v>
      </c>
      <c r="E598" s="771"/>
      <c r="F598" s="776">
        <f>IF(OR(H597="",$H$590=""),"-",H597/$H$590)</f>
        <v>8.8400000000000006E-2</v>
      </c>
      <c r="H598" s="777">
        <f>IF(Jog!$H17="","",Jog!$H17)</f>
        <v>8.8400000000000006E-2</v>
      </c>
      <c r="I598" s="773" t="str">
        <f>IF(B598="-","",IF(T598=P598,"Richtig!",IF(AND(P598&lt;&gt;T598,R598=T598),"Formel: OK",IF(T598="","Fehlt","Falsch"))))</f>
        <v>Richtig!</v>
      </c>
      <c r="J598" s="718">
        <f>IF(OR(B598="-",N598="",AND(P598="",T598="")),"-",IF(I598="Richtig!",1,IF(I598="Formel: OK",0.5,IF(OR(I598="Falsch",I598="Fehlt"),0,""))))</f>
        <v>1</v>
      </c>
      <c r="K598" s="711" t="str">
        <f t="shared" si="109"/>
        <v>│</v>
      </c>
      <c r="L598" s="712">
        <f t="shared" si="112"/>
        <v>1</v>
      </c>
      <c r="M598" s="1"/>
      <c r="N598" s="719" t="str">
        <f>IF($L$1="","",$L$1)</f>
        <v>x</v>
      </c>
      <c r="P598" s="775">
        <f t="shared" si="111"/>
        <v>8.8400000000000006E-2</v>
      </c>
      <c r="Q598" s="771"/>
      <c r="R598" s="776">
        <f t="shared" si="111"/>
        <v>8.8400000000000006E-2</v>
      </c>
      <c r="T598" s="777">
        <f t="shared" si="111"/>
        <v>8.8400000000000006E-2</v>
      </c>
    </row>
    <row r="599" spans="1:20" ht="12.75" x14ac:dyDescent="0.2">
      <c r="A599" s="707"/>
      <c r="B599" s="707"/>
      <c r="C599" s="707"/>
      <c r="D599" s="708"/>
      <c r="H599" s="706"/>
      <c r="I599" s="710"/>
      <c r="J599" s="710"/>
      <c r="K599" s="711" t="str">
        <f t="shared" si="109"/>
        <v/>
      </c>
      <c r="L599" s="712" t="str">
        <f t="shared" si="112"/>
        <v/>
      </c>
      <c r="N599" s="725" t="str">
        <f>IF($L$1="","",$L$1)</f>
        <v>x</v>
      </c>
      <c r="P599" s="708" t="str">
        <f t="shared" si="111"/>
        <v/>
      </c>
      <c r="R599" s="1" t="str">
        <f t="shared" si="111"/>
        <v/>
      </c>
      <c r="T599" s="706" t="str">
        <f t="shared" si="111"/>
        <v/>
      </c>
    </row>
    <row r="600" spans="1:20" ht="12.75" x14ac:dyDescent="0.2">
      <c r="A600" s="706" t="s">
        <v>370</v>
      </c>
      <c r="B600" s="706" t="str">
        <f>Jog!B19</f>
        <v>Verarbeitungskosten</v>
      </c>
      <c r="C600" s="707"/>
      <c r="D600" s="708"/>
      <c r="H600" s="706"/>
      <c r="I600" s="710"/>
      <c r="J600" s="710"/>
      <c r="K600" s="711" t="str">
        <f t="shared" si="109"/>
        <v/>
      </c>
      <c r="L600" s="712" t="str">
        <f t="shared" si="112"/>
        <v/>
      </c>
      <c r="N600" s="695" t="str">
        <f>IF($L$1="","",$L$1)</f>
        <v>x</v>
      </c>
      <c r="P600" s="708" t="str">
        <f t="shared" si="111"/>
        <v/>
      </c>
      <c r="R600" s="1" t="str">
        <f t="shared" si="111"/>
        <v/>
      </c>
      <c r="T600" s="706" t="str">
        <f t="shared" si="111"/>
        <v/>
      </c>
    </row>
    <row r="601" spans="1:20" s="8" customFormat="1" ht="12.75" customHeight="1" x14ac:dyDescent="0.2">
      <c r="A601" s="765"/>
      <c r="B601" s="774" t="str">
        <f>IF(Jog!B20="","-",Jog!B20&amp;" "&amp;Jog!$F$5)</f>
        <v xml:space="preserve">Glas </v>
      </c>
      <c r="C601" s="765"/>
      <c r="D601" s="770">
        <f>IF('[1]E-Jog'!$G20="","",'[1]E-Jog'!$G20)</f>
        <v>152.65384615384613</v>
      </c>
      <c r="E601" s="771"/>
      <c r="F601" s="771"/>
      <c r="H601" s="772">
        <f>IF(Jog!$G20="","",Jog!$G20)</f>
        <v>152.65384615384613</v>
      </c>
      <c r="I601" s="773" t="str">
        <f t="shared" ref="I601:I609" si="113">IF(B601="-","",IF(T601=P601,"Richtig!",IF(T601="","Fehlt","Falsch")))</f>
        <v>Richtig!</v>
      </c>
      <c r="J601" s="718">
        <f t="shared" ref="J601:J611" si="114">IF(OR(B601="-",N601="",AND(P601="",T601="")),"-",IF(I601="Richtig!",1,IF(I601="Formel: OK",0.5,IF(OR(I601="Falsch",I601="Fehlt"),0,""))))</f>
        <v>1</v>
      </c>
      <c r="K601" s="711" t="str">
        <f t="shared" si="109"/>
        <v>│</v>
      </c>
      <c r="L601" s="712">
        <f t="shared" si="112"/>
        <v>1</v>
      </c>
      <c r="M601" s="1"/>
      <c r="N601" s="719" t="str">
        <f>IF($L$1="","",$L$1)</f>
        <v>x</v>
      </c>
      <c r="P601" s="770">
        <f t="shared" si="111"/>
        <v>152.65385000000001</v>
      </c>
      <c r="Q601" s="771"/>
      <c r="R601" s="771" t="str">
        <f t="shared" si="111"/>
        <v/>
      </c>
      <c r="T601" s="772">
        <f t="shared" si="111"/>
        <v>152.65385000000001</v>
      </c>
    </row>
    <row r="602" spans="1:20" s="8" customFormat="1" ht="15" hidden="1" customHeight="1" x14ac:dyDescent="0.2">
      <c r="A602" s="765"/>
      <c r="B602" s="774" t="str">
        <f>IF(Jog!B21="","-",Jog!B21&amp;" "&amp;Jog!$F$5)</f>
        <v xml:space="preserve">Deckel und Etikett </v>
      </c>
      <c r="C602" s="765"/>
      <c r="D602" s="770">
        <f>IF('[1]E-Jog'!$G21="","",'[1]E-Jog'!$G21)</f>
        <v>79.961538461538467</v>
      </c>
      <c r="E602" s="771"/>
      <c r="F602" s="771"/>
      <c r="H602" s="772">
        <f>IF(Jog!$G21="","",Jog!$G21)</f>
        <v>79.961538461538467</v>
      </c>
      <c r="I602" s="773" t="str">
        <f t="shared" si="113"/>
        <v>Richtig!</v>
      </c>
      <c r="J602" s="718" t="str">
        <f t="shared" si="114"/>
        <v>-</v>
      </c>
      <c r="K602" s="711" t="str">
        <f t="shared" si="109"/>
        <v/>
      </c>
      <c r="L602" s="712" t="str">
        <f t="shared" si="112"/>
        <v/>
      </c>
      <c r="M602" s="1"/>
      <c r="N602" s="719"/>
      <c r="P602" s="770">
        <f t="shared" si="111"/>
        <v>79.961539999999999</v>
      </c>
      <c r="Q602" s="771"/>
      <c r="R602" s="771" t="str">
        <f t="shared" si="111"/>
        <v/>
      </c>
      <c r="T602" s="772">
        <f t="shared" si="111"/>
        <v>79.961539999999999</v>
      </c>
    </row>
    <row r="603" spans="1:20" s="8" customFormat="1" ht="15" x14ac:dyDescent="0.2">
      <c r="B603" s="774" t="str">
        <f>IF(Jog!B22="","-",Jog!B22&amp;" "&amp;Jog!$F$5)</f>
        <v xml:space="preserve">Jogurtkultur </v>
      </c>
      <c r="C603" s="765"/>
      <c r="D603" s="770">
        <f>IF('[1]E-Jog'!$G22="","",'[1]E-Jog'!$G22)</f>
        <v>1.76</v>
      </c>
      <c r="E603" s="771"/>
      <c r="F603" s="771"/>
      <c r="H603" s="772">
        <f>IF(Jog!$G22="","",Jog!$G22)</f>
        <v>1.76</v>
      </c>
      <c r="I603" s="773" t="str">
        <f t="shared" si="113"/>
        <v>Richtig!</v>
      </c>
      <c r="J603" s="718">
        <f t="shared" si="114"/>
        <v>1</v>
      </c>
      <c r="K603" s="711" t="str">
        <f t="shared" si="109"/>
        <v>│</v>
      </c>
      <c r="L603" s="712">
        <f t="shared" si="112"/>
        <v>1</v>
      </c>
      <c r="M603" s="1"/>
      <c r="N603" s="719" t="str">
        <f>IF($L$1="","",$L$1)</f>
        <v>x</v>
      </c>
      <c r="P603" s="770">
        <f t="shared" si="111"/>
        <v>1.76</v>
      </c>
      <c r="Q603" s="771"/>
      <c r="R603" s="771" t="str">
        <f t="shared" si="111"/>
        <v/>
      </c>
      <c r="T603" s="772">
        <f t="shared" si="111"/>
        <v>1.76</v>
      </c>
    </row>
    <row r="604" spans="1:20" s="8" customFormat="1" ht="15" x14ac:dyDescent="0.2">
      <c r="B604" s="774" t="str">
        <f>IF(Jog!B23="","-",Jog!B23&amp;" "&amp;Jog!$F$5)</f>
        <v xml:space="preserve">Geschmackszutaten: Himbee </v>
      </c>
      <c r="C604" s="765"/>
      <c r="D604" s="770">
        <f>IF('[1]E-Jog'!$G23="","",'[1]E-Jog'!$G23)</f>
        <v>28.560000000000002</v>
      </c>
      <c r="E604" s="771"/>
      <c r="F604" s="771"/>
      <c r="H604" s="772">
        <f>IF(Jog!$G23="","",Jog!$G23)</f>
        <v>28.560000000000002</v>
      </c>
      <c r="I604" s="773" t="str">
        <f t="shared" si="113"/>
        <v>Richtig!</v>
      </c>
      <c r="J604" s="718">
        <f t="shared" si="114"/>
        <v>1</v>
      </c>
      <c r="K604" s="711" t="str">
        <f t="shared" si="109"/>
        <v>│</v>
      </c>
      <c r="L604" s="712">
        <f t="shared" si="112"/>
        <v>1</v>
      </c>
      <c r="M604" s="1"/>
      <c r="N604" s="719" t="str">
        <f>IF($L$1="","",$L$1)</f>
        <v>x</v>
      </c>
      <c r="P604" s="770">
        <f t="shared" si="111"/>
        <v>28.56</v>
      </c>
      <c r="Q604" s="771"/>
      <c r="R604" s="771" t="str">
        <f t="shared" si="111"/>
        <v/>
      </c>
      <c r="T604" s="772">
        <f t="shared" si="111"/>
        <v>28.56</v>
      </c>
    </row>
    <row r="605" spans="1:20" s="8" customFormat="1" ht="15" x14ac:dyDescent="0.2">
      <c r="B605" s="774" t="str">
        <f>IF(Jog!B24="","-",Jog!B24&amp;" "&amp;Jog!$F$5)</f>
        <v xml:space="preserve">Zucker </v>
      </c>
      <c r="C605" s="765"/>
      <c r="D605" s="770">
        <f>IF('[1]E-Jog'!$G24="","",'[1]E-Jog'!$G24)</f>
        <v>0.47499999999999998</v>
      </c>
      <c r="E605" s="771"/>
      <c r="F605" s="771"/>
      <c r="H605" s="772">
        <f>IF(Jog!$G24="","",Jog!$G24)</f>
        <v>0.47499999999999998</v>
      </c>
      <c r="I605" s="773" t="str">
        <f t="shared" si="113"/>
        <v>Richtig!</v>
      </c>
      <c r="J605" s="718">
        <f t="shared" si="114"/>
        <v>1</v>
      </c>
      <c r="K605" s="711" t="str">
        <f t="shared" si="109"/>
        <v>│</v>
      </c>
      <c r="L605" s="712">
        <f t="shared" si="112"/>
        <v>1</v>
      </c>
      <c r="M605" s="1"/>
      <c r="N605" s="719" t="str">
        <f>IF($L$1="","",$L$1)</f>
        <v>x</v>
      </c>
      <c r="P605" s="770">
        <f t="shared" si="111"/>
        <v>0.47499999999999998</v>
      </c>
      <c r="Q605" s="771"/>
      <c r="R605" s="771" t="str">
        <f t="shared" si="111"/>
        <v/>
      </c>
      <c r="T605" s="772">
        <f t="shared" si="111"/>
        <v>0.47499999999999998</v>
      </c>
    </row>
    <row r="606" spans="1:20" s="8" customFormat="1" ht="15" hidden="1" customHeight="1" x14ac:dyDescent="0.2">
      <c r="B606" s="774" t="str">
        <f>IF(Jog!B25="","-",Jog!B25&amp;" "&amp;Jog!$F$5)</f>
        <v xml:space="preserve">Strom </v>
      </c>
      <c r="C606" s="765"/>
      <c r="D606" s="770">
        <f>IF('[1]E-Jog'!$G25="","",'[1]E-Jog'!$G25)</f>
        <v>3.75</v>
      </c>
      <c r="E606" s="771"/>
      <c r="F606" s="771"/>
      <c r="H606" s="772">
        <f>IF(Jog!$G25="","",Jog!$G25)</f>
        <v>3.75</v>
      </c>
      <c r="I606" s="773" t="str">
        <f t="shared" si="113"/>
        <v>Richtig!</v>
      </c>
      <c r="J606" s="718" t="str">
        <f t="shared" si="114"/>
        <v>-</v>
      </c>
      <c r="K606" s="711" t="str">
        <f t="shared" si="109"/>
        <v/>
      </c>
      <c r="L606" s="712" t="str">
        <f t="shared" si="112"/>
        <v/>
      </c>
      <c r="M606" s="1"/>
      <c r="N606" s="719"/>
      <c r="P606" s="770">
        <f t="shared" si="111"/>
        <v>3.75</v>
      </c>
      <c r="Q606" s="771"/>
      <c r="R606" s="771" t="str">
        <f t="shared" si="111"/>
        <v/>
      </c>
      <c r="T606" s="772">
        <f t="shared" si="111"/>
        <v>3.75</v>
      </c>
    </row>
    <row r="607" spans="1:20" s="8" customFormat="1" ht="15" hidden="1" customHeight="1" x14ac:dyDescent="0.2">
      <c r="B607" s="774" t="str">
        <f>IF(Jog!B26="","-",Jog!B26&amp;" "&amp;Jog!$F$5)</f>
        <v xml:space="preserve">Wasser (inkl. Abwasser) </v>
      </c>
      <c r="C607" s="765"/>
      <c r="D607" s="770">
        <f>IF('[1]E-Jog'!$G26="","",'[1]E-Jog'!$G26)</f>
        <v>5.7280000000000006</v>
      </c>
      <c r="E607" s="771"/>
      <c r="F607" s="771"/>
      <c r="H607" s="772">
        <f>IF(Jog!$G26="","",Jog!$G26)</f>
        <v>5.7280000000000006</v>
      </c>
      <c r="I607" s="773" t="str">
        <f t="shared" si="113"/>
        <v>Richtig!</v>
      </c>
      <c r="J607" s="718" t="str">
        <f t="shared" si="114"/>
        <v>-</v>
      </c>
      <c r="K607" s="711" t="str">
        <f t="shared" si="109"/>
        <v/>
      </c>
      <c r="L607" s="712" t="str">
        <f t="shared" si="112"/>
        <v/>
      </c>
      <c r="M607" s="1"/>
      <c r="N607" s="719"/>
      <c r="P607" s="770">
        <f t="shared" si="111"/>
        <v>5.7279999999999998</v>
      </c>
      <c r="Q607" s="771"/>
      <c r="R607" s="771" t="str">
        <f t="shared" si="111"/>
        <v/>
      </c>
      <c r="T607" s="772">
        <f t="shared" si="111"/>
        <v>5.7279999999999998</v>
      </c>
    </row>
    <row r="608" spans="1:20" s="8" customFormat="1" ht="15" hidden="1" customHeight="1" x14ac:dyDescent="0.2">
      <c r="B608" s="774" t="str">
        <f>IF(Jog!B27="","-",Jog!B27&amp;" "&amp;Jog!$F$5)</f>
        <v>-</v>
      </c>
      <c r="C608" s="765"/>
      <c r="D608" s="770" t="str">
        <f>IF('[1]E-Jog'!$G27="","",'[1]E-Jog'!$G27)</f>
        <v/>
      </c>
      <c r="E608" s="771"/>
      <c r="F608" s="771"/>
      <c r="H608" s="772" t="str">
        <f>IF(Jog!$G27="","",Jog!$G27)</f>
        <v/>
      </c>
      <c r="I608" s="773" t="str">
        <f t="shared" si="113"/>
        <v/>
      </c>
      <c r="J608" s="718" t="str">
        <f t="shared" si="114"/>
        <v>-</v>
      </c>
      <c r="K608" s="711" t="str">
        <f t="shared" si="109"/>
        <v/>
      </c>
      <c r="L608" s="712" t="str">
        <f t="shared" si="112"/>
        <v/>
      </c>
      <c r="M608" s="1"/>
      <c r="N608" s="719"/>
      <c r="P608" s="770" t="str">
        <f t="shared" si="111"/>
        <v/>
      </c>
      <c r="Q608" s="771"/>
      <c r="R608" s="771" t="str">
        <f t="shared" si="111"/>
        <v/>
      </c>
      <c r="T608" s="772" t="str">
        <f t="shared" si="111"/>
        <v/>
      </c>
    </row>
    <row r="609" spans="1:20" s="8" customFormat="1" ht="15" hidden="1" customHeight="1" x14ac:dyDescent="0.2">
      <c r="B609" s="774" t="str">
        <f>IF(Jog!B28="","-",Jog!B28&amp;" "&amp;Jog!$F$5)</f>
        <v>-</v>
      </c>
      <c r="C609" s="765"/>
      <c r="D609" s="770" t="str">
        <f>IF('[1]E-Jog'!$G28="","",'[1]E-Jog'!$G28)</f>
        <v/>
      </c>
      <c r="E609" s="771"/>
      <c r="F609" s="771"/>
      <c r="H609" s="772" t="str">
        <f>IF(Jog!$G28="","",Jog!$G28)</f>
        <v/>
      </c>
      <c r="I609" s="773" t="str">
        <f t="shared" si="113"/>
        <v/>
      </c>
      <c r="J609" s="718" t="str">
        <f t="shared" si="114"/>
        <v>-</v>
      </c>
      <c r="K609" s="711" t="str">
        <f t="shared" si="109"/>
        <v/>
      </c>
      <c r="L609" s="712" t="str">
        <f t="shared" si="112"/>
        <v/>
      </c>
      <c r="M609" s="1"/>
      <c r="N609" s="719"/>
      <c r="P609" s="770" t="str">
        <f t="shared" si="111"/>
        <v/>
      </c>
      <c r="Q609" s="771"/>
      <c r="R609" s="771" t="str">
        <f t="shared" si="111"/>
        <v/>
      </c>
      <c r="T609" s="772" t="str">
        <f t="shared" si="111"/>
        <v/>
      </c>
    </row>
    <row r="610" spans="1:20" s="8" customFormat="1" ht="15" x14ac:dyDescent="0.2">
      <c r="A610" s="765"/>
      <c r="B610" s="778" t="str">
        <f>Jog!B29&amp;" "&amp;Jog!$F$5</f>
        <v xml:space="preserve">Summe Verarbeitungskosten </v>
      </c>
      <c r="C610" s="765"/>
      <c r="D610" s="775">
        <f>IF('[1]E-Jog'!$G29="","",'[1]E-Jog'!$G29)</f>
        <v>272.88838461538461</v>
      </c>
      <c r="E610" s="771"/>
      <c r="F610" s="776">
        <f>IF(AND(H601="",H602="",H603="",H604="",H605="",H606="",H607="",H608="",H609=""),"-",SUM(H601:H609))</f>
        <v>272.88838461538461</v>
      </c>
      <c r="H610" s="777">
        <f>IF(Jog!$G29="","",Jog!$G29)</f>
        <v>272.88838461538461</v>
      </c>
      <c r="I610" s="773" t="str">
        <f>IF(B610="-","",IF(T610=P610,"Richtig!",IF(AND(P610&lt;&gt;T610,R610=T610),"Formel: OK",IF(T610="","Fehlt","Falsch"))))</f>
        <v>Richtig!</v>
      </c>
      <c r="J610" s="718">
        <f t="shared" si="114"/>
        <v>1</v>
      </c>
      <c r="K610" s="711" t="str">
        <f t="shared" si="109"/>
        <v>│</v>
      </c>
      <c r="L610" s="712">
        <f t="shared" si="112"/>
        <v>1</v>
      </c>
      <c r="M610" s="1"/>
      <c r="N610" s="719" t="str">
        <f>IF($L$1="","",$L$1)</f>
        <v>x</v>
      </c>
      <c r="P610" s="775">
        <f t="shared" si="111"/>
        <v>272.88837999999998</v>
      </c>
      <c r="Q610" s="771"/>
      <c r="R610" s="776">
        <f t="shared" si="111"/>
        <v>272.88837999999998</v>
      </c>
      <c r="T610" s="777">
        <f t="shared" si="111"/>
        <v>272.88837999999998</v>
      </c>
    </row>
    <row r="611" spans="1:20" s="8" customFormat="1" ht="15" x14ac:dyDescent="0.2">
      <c r="A611" s="765"/>
      <c r="B611" s="778" t="str">
        <f>Jog!B29&amp;" "&amp;Jog!$H$19</f>
        <v>Summe Verarbeitungskosten pro Stk.</v>
      </c>
      <c r="C611" s="765"/>
      <c r="D611" s="775">
        <f>IF('[1]E-Jog'!$H29="","",'[1]E-Jog'!$H29)</f>
        <v>0.37540201058201056</v>
      </c>
      <c r="E611" s="771"/>
      <c r="F611" s="776">
        <f>IF(OR(H610="",$H$590=""),"-",H610/$H$590)</f>
        <v>0.37540201058201056</v>
      </c>
      <c r="H611" s="777">
        <f>IF(Jog!$H29="","",Jog!$H29)</f>
        <v>0.37540201058201056</v>
      </c>
      <c r="I611" s="773" t="str">
        <f>IF(B611="-","",IF(T611=P611,"Richtig!",IF(AND(P611&lt;&gt;T611,R611=T611),"Formel: OK",IF(T611="","Fehlt","Falsch"))))</f>
        <v>Richtig!</v>
      </c>
      <c r="J611" s="718">
        <f t="shared" si="114"/>
        <v>1</v>
      </c>
      <c r="K611" s="711" t="str">
        <f t="shared" si="109"/>
        <v>│</v>
      </c>
      <c r="L611" s="712">
        <f t="shared" si="112"/>
        <v>1</v>
      </c>
      <c r="M611" s="1"/>
      <c r="N611" s="719" t="str">
        <f>IF($L$1="","",$L$1)</f>
        <v>x</v>
      </c>
      <c r="P611" s="775">
        <f t="shared" si="111"/>
        <v>0.37540000000000001</v>
      </c>
      <c r="Q611" s="771"/>
      <c r="R611" s="776">
        <f t="shared" si="111"/>
        <v>0.37540000000000001</v>
      </c>
      <c r="T611" s="777">
        <f t="shared" si="111"/>
        <v>0.37540000000000001</v>
      </c>
    </row>
    <row r="612" spans="1:20" ht="12.75" x14ac:dyDescent="0.2">
      <c r="A612" s="707"/>
      <c r="B612" s="707"/>
      <c r="C612" s="707"/>
      <c r="D612" s="708"/>
      <c r="H612" s="706"/>
      <c r="I612" s="710"/>
      <c r="J612" s="710"/>
      <c r="K612" s="711" t="str">
        <f t="shared" si="109"/>
        <v/>
      </c>
      <c r="L612" s="712" t="str">
        <f t="shared" si="112"/>
        <v/>
      </c>
      <c r="N612" s="725" t="str">
        <f>IF($L$1="","",$L$1)</f>
        <v>x</v>
      </c>
      <c r="P612" s="708" t="str">
        <f t="shared" si="111"/>
        <v/>
      </c>
      <c r="R612" s="1" t="str">
        <f t="shared" si="111"/>
        <v/>
      </c>
      <c r="T612" s="706" t="str">
        <f t="shared" si="111"/>
        <v/>
      </c>
    </row>
    <row r="613" spans="1:20" ht="12.75" x14ac:dyDescent="0.2">
      <c r="A613" s="706" t="s">
        <v>373</v>
      </c>
      <c r="B613" s="706" t="str">
        <f>Jog!B31</f>
        <v>Arbeitskosten</v>
      </c>
      <c r="C613" s="707"/>
      <c r="D613" s="708"/>
      <c r="H613" s="706"/>
      <c r="I613" s="710"/>
      <c r="J613" s="710"/>
      <c r="K613" s="711" t="str">
        <f t="shared" si="109"/>
        <v/>
      </c>
      <c r="L613" s="712" t="str">
        <f t="shared" si="112"/>
        <v/>
      </c>
      <c r="N613" s="695" t="str">
        <f>IF($L$1="","",$L$1)</f>
        <v>x</v>
      </c>
      <c r="P613" s="708" t="str">
        <f t="shared" si="111"/>
        <v/>
      </c>
      <c r="R613" s="1" t="str">
        <f t="shared" si="111"/>
        <v/>
      </c>
      <c r="T613" s="706" t="str">
        <f t="shared" si="111"/>
        <v/>
      </c>
    </row>
    <row r="614" spans="1:20" s="8" customFormat="1" ht="15" x14ac:dyDescent="0.2">
      <c r="B614" s="774" t="str">
        <f>Jog!B31&amp;" "&amp;Jog!G31</f>
        <v>Arbeitskosten pro Woche</v>
      </c>
      <c r="C614" s="765"/>
      <c r="D614" s="770">
        <f>IF('[1]E-Jog'!$G33="","",'[1]E-Jog'!$G33)</f>
        <v>140.6</v>
      </c>
      <c r="E614" s="771"/>
      <c r="F614" s="771"/>
      <c r="H614" s="772">
        <f>IF(Jog!$G33="","",Jog!$G33)</f>
        <v>140.6</v>
      </c>
      <c r="I614" s="773" t="str">
        <f>IF(B614="-","",IF(T614=P614,"Richtig!",IF(T614="","Fehlt","Falsch")))</f>
        <v>Richtig!</v>
      </c>
      <c r="J614" s="718">
        <f>IF(OR(B614="-",N614="",AND(P614="",T614="")),"-",IF(I614="Richtig!",1,IF(I614="Formel: OK",0.5,IF(OR(I614="Falsch",I614="Fehlt"),0,""))))</f>
        <v>1</v>
      </c>
      <c r="K614" s="711" t="str">
        <f t="shared" si="109"/>
        <v>│</v>
      </c>
      <c r="L614" s="712">
        <f t="shared" si="112"/>
        <v>1</v>
      </c>
      <c r="M614" s="1"/>
      <c r="N614" s="719" t="str">
        <f>IF($L$1="","",$L$1)</f>
        <v>x</v>
      </c>
      <c r="P614" s="770">
        <f t="shared" si="111"/>
        <v>140.6</v>
      </c>
      <c r="Q614" s="771"/>
      <c r="R614" s="771" t="str">
        <f t="shared" si="111"/>
        <v/>
      </c>
      <c r="T614" s="772">
        <f t="shared" si="111"/>
        <v>140.6</v>
      </c>
    </row>
    <row r="615" spans="1:20" s="8" customFormat="1" ht="15" hidden="1" customHeight="1" x14ac:dyDescent="0.2">
      <c r="A615" s="765"/>
      <c r="B615" s="778" t="str">
        <f>Jog!B34&amp;" "&amp;Jog!$F$5</f>
        <v xml:space="preserve">Summe Arbeitskosten </v>
      </c>
      <c r="C615" s="765"/>
      <c r="D615" s="775">
        <f>IF('[1]E-Jog'!$G34="","",'[1]E-Jog'!$G34)</f>
        <v>140.6</v>
      </c>
      <c r="E615" s="771"/>
      <c r="F615" s="776">
        <f>IF(H614="","-",H614)</f>
        <v>140.6</v>
      </c>
      <c r="H615" s="777">
        <f>IF(Jog!$G34="","",Jog!$G34)</f>
        <v>140.6</v>
      </c>
      <c r="I615" s="773" t="str">
        <f>IF(B615="-","",IF(T615=P615,"Richtig!",IF(AND(P615&lt;&gt;T615,R615=T615),"Formel: OK",IF(T615="","Fehlt","Falsch"))))</f>
        <v>Richtig!</v>
      </c>
      <c r="J615" s="718" t="str">
        <f>IF(OR(B615="-",N615="",AND(P615="",T615="")),"-",IF(I615="Richtig!",1,IF(I615="Formel: OK",0.5,IF(OR(I615="Falsch",I615="Fehlt"),0,""))))</f>
        <v>-</v>
      </c>
      <c r="K615" s="711" t="str">
        <f t="shared" si="109"/>
        <v/>
      </c>
      <c r="L615" s="712" t="str">
        <f t="shared" si="112"/>
        <v/>
      </c>
      <c r="M615" s="1"/>
      <c r="N615" s="719"/>
      <c r="P615" s="775">
        <f t="shared" si="111"/>
        <v>140.6</v>
      </c>
      <c r="Q615" s="771"/>
      <c r="R615" s="776">
        <f t="shared" si="111"/>
        <v>140.6</v>
      </c>
      <c r="T615" s="777">
        <f t="shared" si="111"/>
        <v>140.6</v>
      </c>
    </row>
    <row r="616" spans="1:20" s="8" customFormat="1" ht="15" hidden="1" customHeight="1" x14ac:dyDescent="0.2">
      <c r="A616" s="765"/>
      <c r="B616" s="778" t="str">
        <f>Jog!B34&amp;" "&amp;Jog!$H$19</f>
        <v>Summe Arbeitskosten pro Stk.</v>
      </c>
      <c r="C616" s="765"/>
      <c r="D616" s="775">
        <f>IF('[1]E-Jog'!$H34="","",'[1]E-Jog'!$H34)</f>
        <v>0.19341798941798941</v>
      </c>
      <c r="E616" s="771"/>
      <c r="F616" s="776">
        <f>IF(OR(H615="",$H$590=""),"-",H615/$H$590)</f>
        <v>0.19341798941798941</v>
      </c>
      <c r="H616" s="777">
        <f>IF(Jog!$H34="","",Jog!$H34)</f>
        <v>0.19341798941798941</v>
      </c>
      <c r="I616" s="773" t="str">
        <f>IF(B616="-","",IF(T616=P616,"Richtig!",IF(AND(P616&lt;&gt;T616,R616=T616),"Formel: OK",IF(T616="","Fehlt","Falsch"))))</f>
        <v>Richtig!</v>
      </c>
      <c r="J616" s="718" t="str">
        <f>IF(OR(B616="-",N616="",AND(P616="",T616="")),"-",IF(I616="Richtig!",1,IF(I616="Formel: OK",0.5,IF(OR(I616="Falsch",I616="Fehlt"),0,""))))</f>
        <v>-</v>
      </c>
      <c r="K616" s="711" t="str">
        <f t="shared" si="109"/>
        <v/>
      </c>
      <c r="L616" s="712" t="str">
        <f t="shared" si="112"/>
        <v/>
      </c>
      <c r="M616" s="1"/>
      <c r="N616" s="719"/>
      <c r="P616" s="775">
        <f t="shared" si="111"/>
        <v>0.19342000000000001</v>
      </c>
      <c r="Q616" s="771"/>
      <c r="R616" s="776">
        <f t="shared" si="111"/>
        <v>0.19342000000000001</v>
      </c>
      <c r="T616" s="777">
        <f t="shared" si="111"/>
        <v>0.19342000000000001</v>
      </c>
    </row>
    <row r="617" spans="1:20" ht="12.75" x14ac:dyDescent="0.2">
      <c r="A617" s="707"/>
      <c r="B617" s="707"/>
      <c r="C617" s="707"/>
      <c r="D617" s="708"/>
      <c r="H617" s="706"/>
      <c r="I617" s="710"/>
      <c r="J617" s="710"/>
      <c r="K617" s="711" t="str">
        <f t="shared" si="109"/>
        <v/>
      </c>
      <c r="L617" s="712" t="str">
        <f t="shared" si="112"/>
        <v/>
      </c>
      <c r="N617" s="725" t="str">
        <f t="shared" ref="N617:N622" si="115">IF($L$1="","",$L$1)</f>
        <v>x</v>
      </c>
      <c r="P617" s="708" t="str">
        <f t="shared" si="111"/>
        <v/>
      </c>
      <c r="R617" s="1" t="str">
        <f t="shared" si="111"/>
        <v/>
      </c>
      <c r="T617" s="706" t="str">
        <f t="shared" si="111"/>
        <v/>
      </c>
    </row>
    <row r="618" spans="1:20" ht="12.75" x14ac:dyDescent="0.2">
      <c r="A618" s="706" t="s">
        <v>375</v>
      </c>
      <c r="B618" s="706" t="str">
        <f>Jog!B36</f>
        <v>Fixkosten</v>
      </c>
      <c r="C618" s="707"/>
      <c r="D618" s="708"/>
      <c r="H618" s="706"/>
      <c r="I618" s="710"/>
      <c r="J618" s="710"/>
      <c r="K618" s="711" t="str">
        <f t="shared" si="109"/>
        <v/>
      </c>
      <c r="L618" s="712" t="str">
        <f t="shared" si="112"/>
        <v/>
      </c>
      <c r="N618" s="695" t="str">
        <f t="shared" si="115"/>
        <v>x</v>
      </c>
      <c r="P618" s="708" t="str">
        <f t="shared" si="111"/>
        <v/>
      </c>
      <c r="R618" s="1" t="str">
        <f t="shared" si="111"/>
        <v/>
      </c>
      <c r="T618" s="706" t="str">
        <f t="shared" si="111"/>
        <v/>
      </c>
    </row>
    <row r="619" spans="1:20" s="8" customFormat="1" ht="15" x14ac:dyDescent="0.2">
      <c r="B619" s="774" t="str">
        <f>IF(Jog!B37="","-",Jog!B37&amp;" "&amp;Jog!$F$5)</f>
        <v xml:space="preserve">Pasteur </v>
      </c>
      <c r="C619" s="765"/>
      <c r="D619" s="770">
        <f>IF('[1]E-Jog'!$G37="","",'[1]E-Jog'!$G37)</f>
        <v>12.884615384615385</v>
      </c>
      <c r="E619" s="771"/>
      <c r="F619" s="771"/>
      <c r="H619" s="772">
        <f>IF(Jog!$G37="","",Jog!$G37)</f>
        <v>12.884615384615385</v>
      </c>
      <c r="I619" s="773" t="str">
        <f>IF(B619="-","",IF(T619=P619,"Richtig!",IF(T619="","Fehlt","Falsch")))</f>
        <v>Richtig!</v>
      </c>
      <c r="J619" s="718">
        <f t="shared" ref="J619:J625" si="116">IF(OR(B619="-",N619="",AND(P619="",T619="")),"-",IF(I619="Richtig!",1,IF(I619="Formel: OK",0.5,IF(OR(I619="Falsch",I619="Fehlt"),0,""))))</f>
        <v>1</v>
      </c>
      <c r="K619" s="711" t="str">
        <f t="shared" si="109"/>
        <v>│</v>
      </c>
      <c r="L619" s="712">
        <f t="shared" si="112"/>
        <v>1</v>
      </c>
      <c r="M619" s="1"/>
      <c r="N619" s="719" t="str">
        <f t="shared" si="115"/>
        <v>x</v>
      </c>
      <c r="P619" s="770">
        <f t="shared" si="111"/>
        <v>12.88462</v>
      </c>
      <c r="Q619" s="771"/>
      <c r="R619" s="771" t="str">
        <f t="shared" si="111"/>
        <v/>
      </c>
      <c r="T619" s="772">
        <f t="shared" si="111"/>
        <v>12.88462</v>
      </c>
    </row>
    <row r="620" spans="1:20" s="8" customFormat="1" ht="15" x14ac:dyDescent="0.2">
      <c r="B620" s="774" t="str">
        <f>IF(Jog!B38="","-",Jog!B38&amp;" "&amp;Jog!$F$5)</f>
        <v xml:space="preserve">Kühlschrank </v>
      </c>
      <c r="C620" s="765"/>
      <c r="D620" s="770">
        <f>IF('[1]E-Jog'!$G38="","",'[1]E-Jog'!$G38)</f>
        <v>6.3461538461538458</v>
      </c>
      <c r="E620" s="771"/>
      <c r="F620" s="771"/>
      <c r="H620" s="772">
        <f>IF(Jog!$G38="","",Jog!$G38)</f>
        <v>6.3461538461538458</v>
      </c>
      <c r="I620" s="773" t="str">
        <f>IF(B620="-","",IF(T620=P620,"Richtig!",IF(T620="","Fehlt","Falsch")))</f>
        <v>Richtig!</v>
      </c>
      <c r="J620" s="718">
        <f t="shared" si="116"/>
        <v>1</v>
      </c>
      <c r="K620" s="711" t="str">
        <f t="shared" si="109"/>
        <v>│</v>
      </c>
      <c r="L620" s="712">
        <f t="shared" si="112"/>
        <v>1</v>
      </c>
      <c r="M620" s="1"/>
      <c r="N620" s="719" t="str">
        <f t="shared" si="115"/>
        <v>x</v>
      </c>
      <c r="P620" s="770">
        <f t="shared" si="111"/>
        <v>6.3461499999999997</v>
      </c>
      <c r="Q620" s="771"/>
      <c r="R620" s="771" t="str">
        <f t="shared" si="111"/>
        <v/>
      </c>
      <c r="T620" s="772">
        <f t="shared" si="111"/>
        <v>6.3461499999999997</v>
      </c>
    </row>
    <row r="621" spans="1:20" s="8" customFormat="1" ht="15" x14ac:dyDescent="0.2">
      <c r="B621" s="774" t="str">
        <f>IF(Jog!B39="","-",Jog!B39&amp;" "&amp;Jog!$F$5)</f>
        <v xml:space="preserve">Geschirrspüler </v>
      </c>
      <c r="C621" s="765"/>
      <c r="D621" s="770">
        <f>IF('[1]E-Jog'!$G39="","",'[1]E-Jog'!$G39)</f>
        <v>5.1923076923076925</v>
      </c>
      <c r="E621" s="771"/>
      <c r="F621" s="771"/>
      <c r="H621" s="772">
        <f>IF(Jog!$G39="","",Jog!$G39)</f>
        <v>5.1923076923076925</v>
      </c>
      <c r="I621" s="773" t="str">
        <f>IF(B621="-","",IF(T621=P621,"Richtig!",IF(T621="","Fehlt","Falsch")))</f>
        <v>Richtig!</v>
      </c>
      <c r="J621" s="718">
        <f t="shared" si="116"/>
        <v>1</v>
      </c>
      <c r="K621" s="711" t="str">
        <f t="shared" si="109"/>
        <v>│</v>
      </c>
      <c r="L621" s="712">
        <f t="shared" si="112"/>
        <v>1</v>
      </c>
      <c r="M621" s="1"/>
      <c r="N621" s="719" t="str">
        <f t="shared" si="115"/>
        <v>x</v>
      </c>
      <c r="P621" s="770">
        <f t="shared" si="111"/>
        <v>5.19231</v>
      </c>
      <c r="Q621" s="771"/>
      <c r="R621" s="771" t="str">
        <f t="shared" si="111"/>
        <v/>
      </c>
      <c r="T621" s="772">
        <f t="shared" si="111"/>
        <v>5.19231</v>
      </c>
    </row>
    <row r="622" spans="1:20" s="8" customFormat="1" ht="15" x14ac:dyDescent="0.2">
      <c r="A622" s="765"/>
      <c r="B622" s="778" t="str">
        <f>IF(Jog!B40="","-",Jog!B40&amp;" "&amp;Jog!$F$5)</f>
        <v xml:space="preserve">Summe Fixkosten </v>
      </c>
      <c r="C622" s="765"/>
      <c r="D622" s="775">
        <f>IF('[1]E-Jog'!$G40="","",'[1]E-Jog'!$G40)</f>
        <v>24.423076923076923</v>
      </c>
      <c r="E622" s="771"/>
      <c r="F622" s="776">
        <f>IF(AND(H619="",H620="",H621=""),"-",SUM(H619:H621))</f>
        <v>24.423076923076923</v>
      </c>
      <c r="H622" s="777">
        <f>IF(Jog!$G40="","",Jog!$G40)</f>
        <v>24.423076923076923</v>
      </c>
      <c r="I622" s="773" t="str">
        <f>IF(B622="-","",IF(T622=P622,"Richtig!",IF(AND(P622&lt;&gt;T622,R622=T622),"Formel: OK",IF(T622="","Fehlt","Falsch"))))</f>
        <v>Richtig!</v>
      </c>
      <c r="J622" s="718">
        <f t="shared" si="116"/>
        <v>1</v>
      </c>
      <c r="K622" s="711" t="str">
        <f t="shared" si="109"/>
        <v>│</v>
      </c>
      <c r="L622" s="712">
        <f t="shared" si="112"/>
        <v>1</v>
      </c>
      <c r="M622" s="1"/>
      <c r="N622" s="719" t="str">
        <f t="shared" si="115"/>
        <v>x</v>
      </c>
      <c r="P622" s="775">
        <f t="shared" si="111"/>
        <v>24.423079999999999</v>
      </c>
      <c r="Q622" s="771"/>
      <c r="R622" s="776">
        <f t="shared" si="111"/>
        <v>24.423079999999999</v>
      </c>
      <c r="T622" s="777">
        <f t="shared" si="111"/>
        <v>24.423079999999999</v>
      </c>
    </row>
    <row r="623" spans="1:20" s="8" customFormat="1" ht="15" hidden="1" customHeight="1" x14ac:dyDescent="0.2">
      <c r="A623" s="765"/>
      <c r="B623" s="778" t="str">
        <f>IF(Jog!B40="","-",Jog!B40&amp;" "&amp;Jog!$H$19)</f>
        <v>Summe Fixkosten pro Stk.</v>
      </c>
      <c r="C623" s="765"/>
      <c r="D623" s="775">
        <f>IF('[1]E-Jog'!$H40="","",'[1]E-Jog'!$H40)</f>
        <v>3.3597883597883599E-2</v>
      </c>
      <c r="E623" s="771"/>
      <c r="F623" s="776">
        <f>IF(OR(H622="",$H$590=""),"-",H622/$H$590)</f>
        <v>3.3597883597883599E-2</v>
      </c>
      <c r="H623" s="777">
        <f>IF(Jog!$H40="","",Jog!$H40)</f>
        <v>3.3597883597883599E-2</v>
      </c>
      <c r="I623" s="773" t="str">
        <f>IF(B623="-","",IF(T623=P623,"Richtig!",IF(AND(P623&lt;&gt;T623,R623=T623),"Formel: OK",IF(T623="","Fehlt","Falsch"))))</f>
        <v>Richtig!</v>
      </c>
      <c r="J623" s="718" t="str">
        <f t="shared" si="116"/>
        <v>-</v>
      </c>
      <c r="K623" s="711" t="str">
        <f t="shared" si="109"/>
        <v/>
      </c>
      <c r="L623" s="712" t="str">
        <f t="shared" si="112"/>
        <v/>
      </c>
      <c r="M623" s="1"/>
      <c r="N623" s="719"/>
      <c r="P623" s="775">
        <f t="shared" si="111"/>
        <v>3.3599999999999998E-2</v>
      </c>
      <c r="Q623" s="771"/>
      <c r="R623" s="776">
        <f t="shared" si="111"/>
        <v>3.3599999999999998E-2</v>
      </c>
      <c r="T623" s="777">
        <f t="shared" si="111"/>
        <v>3.3599999999999998E-2</v>
      </c>
    </row>
    <row r="624" spans="1:20" s="8" customFormat="1" ht="15" x14ac:dyDescent="0.2">
      <c r="A624" s="765"/>
      <c r="B624" s="778" t="str">
        <f>IF(Jog!B41="","-",Jog!B41&amp;" "&amp;Jog!$F$5)</f>
        <v xml:space="preserve">Herstellungskosten </v>
      </c>
      <c r="C624" s="765"/>
      <c r="D624" s="775">
        <f>IF('[1]E-Jog'!$G41="","",'[1]E-Jog'!$G41)</f>
        <v>502.17146153846147</v>
      </c>
      <c r="E624" s="771"/>
      <c r="F624" s="776">
        <f>IF(AND(H597="",H610="",H615="",H622=""),"-",SUM(H597,H610,H615,H622))</f>
        <v>502.17146153846147</v>
      </c>
      <c r="H624" s="777">
        <f>IF(Jog!$G41="","",Jog!$G41)</f>
        <v>502.17146153846147</v>
      </c>
      <c r="I624" s="773" t="str">
        <f>IF(B624="-","",IF(T624=P624,"Richtig!",IF(AND(P624&lt;&gt;T624,R624=T624),"Formel: OK",IF(T624="","Fehlt","Falsch"))))</f>
        <v>Richtig!</v>
      </c>
      <c r="J624" s="718">
        <f t="shared" si="116"/>
        <v>1</v>
      </c>
      <c r="K624" s="711" t="str">
        <f t="shared" si="109"/>
        <v>│</v>
      </c>
      <c r="L624" s="712">
        <f t="shared" si="112"/>
        <v>1</v>
      </c>
      <c r="M624" s="1"/>
      <c r="N624" s="719" t="str">
        <f>IF($L$1="","",$L$1)</f>
        <v>x</v>
      </c>
      <c r="P624" s="775">
        <f t="shared" si="111"/>
        <v>502.17146000000002</v>
      </c>
      <c r="Q624" s="771"/>
      <c r="R624" s="776">
        <f t="shared" si="111"/>
        <v>502.17146000000002</v>
      </c>
      <c r="T624" s="777">
        <f t="shared" si="111"/>
        <v>502.17146000000002</v>
      </c>
    </row>
    <row r="625" spans="1:20" s="8" customFormat="1" ht="15" hidden="1" customHeight="1" x14ac:dyDescent="0.2">
      <c r="A625" s="765"/>
      <c r="B625" s="778" t="str">
        <f>IF(Jog!B41="","-",Jog!B41&amp;" "&amp;Jog!$H$19)</f>
        <v>Herstellungskosten pro Stk.</v>
      </c>
      <c r="C625" s="765"/>
      <c r="D625" s="775">
        <f>IF('[1]E-Jog'!$H41="","",'[1]E-Jog'!$H41)</f>
        <v>0.69081788359788354</v>
      </c>
      <c r="E625" s="771"/>
      <c r="F625" s="776">
        <f>IF(OR(H624="",$H$590=""),"-",H624/$H$590)</f>
        <v>0.69081788359788354</v>
      </c>
      <c r="H625" s="777">
        <f>IF(Jog!$H41="","",Jog!$H41)</f>
        <v>0.69081788359788354</v>
      </c>
      <c r="I625" s="773" t="str">
        <f>IF(B625="-","",IF(T625=P625,"Richtig!",IF(AND(P625&lt;&gt;T625,R625=T625),"Formel: OK",IF(T625="","Fehlt","Falsch"))))</f>
        <v>Richtig!</v>
      </c>
      <c r="J625" s="718" t="str">
        <f t="shared" si="116"/>
        <v>-</v>
      </c>
      <c r="K625" s="711" t="str">
        <f t="shared" si="109"/>
        <v/>
      </c>
      <c r="L625" s="712" t="str">
        <f t="shared" si="112"/>
        <v/>
      </c>
      <c r="M625" s="1"/>
      <c r="N625" s="719"/>
      <c r="P625" s="775">
        <f t="shared" si="111"/>
        <v>0.69081999999999999</v>
      </c>
      <c r="Q625" s="771"/>
      <c r="R625" s="776">
        <f t="shared" si="111"/>
        <v>0.69081999999999999</v>
      </c>
      <c r="T625" s="777">
        <f t="shared" si="111"/>
        <v>0.69081999999999999</v>
      </c>
    </row>
    <row r="626" spans="1:20" ht="12.75" x14ac:dyDescent="0.2">
      <c r="A626" s="707"/>
      <c r="B626" s="707"/>
      <c r="C626" s="707"/>
      <c r="D626" s="708"/>
      <c r="H626" s="706"/>
      <c r="I626" s="710"/>
      <c r="J626" s="710"/>
      <c r="K626" s="711" t="str">
        <f t="shared" si="109"/>
        <v/>
      </c>
      <c r="L626" s="712" t="str">
        <f t="shared" si="112"/>
        <v/>
      </c>
      <c r="N626" s="725" t="str">
        <f>IF($L$1="","",$L$1)</f>
        <v>x</v>
      </c>
      <c r="P626" s="708" t="str">
        <f t="shared" si="111"/>
        <v/>
      </c>
      <c r="R626" s="1" t="str">
        <f t="shared" si="111"/>
        <v/>
      </c>
      <c r="T626" s="706" t="str">
        <f t="shared" si="111"/>
        <v/>
      </c>
    </row>
    <row r="627" spans="1:20" ht="12.75" x14ac:dyDescent="0.2">
      <c r="A627" s="706" t="s">
        <v>379</v>
      </c>
      <c r="B627" s="706" t="str">
        <f>Jog!B43</f>
        <v>Gemein- und Vermarktungskosten</v>
      </c>
      <c r="C627" s="707"/>
      <c r="D627" s="708"/>
      <c r="H627" s="706"/>
      <c r="I627" s="710"/>
      <c r="J627" s="710"/>
      <c r="K627" s="711" t="str">
        <f t="shared" si="109"/>
        <v/>
      </c>
      <c r="L627" s="712" t="str">
        <f t="shared" si="112"/>
        <v/>
      </c>
      <c r="N627" s="695" t="str">
        <f>IF($L$1="","",$L$1)</f>
        <v>x</v>
      </c>
      <c r="P627" s="708" t="str">
        <f t="shared" si="111"/>
        <v/>
      </c>
      <c r="R627" s="1" t="str">
        <f t="shared" si="111"/>
        <v/>
      </c>
      <c r="T627" s="706" t="str">
        <f t="shared" si="111"/>
        <v/>
      </c>
    </row>
    <row r="628" spans="1:20" s="8" customFormat="1" ht="15" x14ac:dyDescent="0.2">
      <c r="A628" s="765"/>
      <c r="B628" s="774" t="str">
        <f>IF(Jog!B44="","-",Jog!B44&amp;" "&amp;Jog!$F$5)</f>
        <v xml:space="preserve">Gemein- und Vermarktungskostenzuschlag </v>
      </c>
      <c r="C628" s="765"/>
      <c r="D628" s="775">
        <f>IF('[1]E-Jog'!$G44="","",'[1]E-Jog'!$G44)</f>
        <v>16.069486769230767</v>
      </c>
      <c r="E628" s="771"/>
      <c r="F628" s="776">
        <f>IF(OR(H624="",Jog!E44=""),"-",H624*Jog!E44)</f>
        <v>16.069486769230767</v>
      </c>
      <c r="H628" s="777">
        <f>IF(Jog!$G44="","",Jog!$G44)</f>
        <v>16.069486769230767</v>
      </c>
      <c r="I628" s="773" t="str">
        <f t="shared" ref="I628:I633" si="117">IF(B628="-","",IF(T628=P628,"Richtig!",IF(AND(P628&lt;&gt;T628,R628=T628),"Formel: OK",IF(T628="","Fehlt","Falsch"))))</f>
        <v>Richtig!</v>
      </c>
      <c r="J628" s="718">
        <f t="shared" ref="J628:J633" si="118">IF(OR(B628="-",N628="",AND(P628="",T628="")),"-",IF(I628="Richtig!",1,IF(I628="Formel: OK",0.5,IF(OR(I628="Falsch",I628="Fehlt"),0,""))))</f>
        <v>1</v>
      </c>
      <c r="K628" s="711" t="str">
        <f t="shared" si="109"/>
        <v>│</v>
      </c>
      <c r="L628" s="712">
        <f t="shared" si="112"/>
        <v>1</v>
      </c>
      <c r="M628" s="1"/>
      <c r="N628" s="719" t="str">
        <f>IF($L$1="","",$L$1)</f>
        <v>x</v>
      </c>
      <c r="P628" s="775">
        <f t="shared" si="111"/>
        <v>16.069489999999998</v>
      </c>
      <c r="Q628" s="771"/>
      <c r="R628" s="776">
        <f t="shared" si="111"/>
        <v>16.069489999999998</v>
      </c>
      <c r="T628" s="777">
        <f t="shared" si="111"/>
        <v>16.069489999999998</v>
      </c>
    </row>
    <row r="629" spans="1:20" s="8" customFormat="1" ht="15" hidden="1" customHeight="1" x14ac:dyDescent="0.2">
      <c r="A629" s="765"/>
      <c r="B629" s="774" t="str">
        <f>IF(Jog!B45="","-",Jog!B45&amp;" "&amp;Jog!$F$5)</f>
        <v xml:space="preserve">Vollkosten </v>
      </c>
      <c r="C629" s="765"/>
      <c r="D629" s="775">
        <f>IF('[1]E-Jog'!$G45="","",'[1]E-Jog'!$G45)</f>
        <v>518.24094830769229</v>
      </c>
      <c r="E629" s="771"/>
      <c r="F629" s="776">
        <f>IF(AND(H624="",H628=""),"-",SUM(H624,H628))</f>
        <v>518.24094830769229</v>
      </c>
      <c r="H629" s="777">
        <f>IF(Jog!$G45="","",Jog!$G45)</f>
        <v>518.24094830769229</v>
      </c>
      <c r="I629" s="773" t="str">
        <f t="shared" si="117"/>
        <v>Richtig!</v>
      </c>
      <c r="J629" s="718" t="str">
        <f t="shared" si="118"/>
        <v>-</v>
      </c>
      <c r="K629" s="711" t="str">
        <f t="shared" si="109"/>
        <v/>
      </c>
      <c r="L629" s="712" t="str">
        <f t="shared" si="112"/>
        <v/>
      </c>
      <c r="M629" s="1"/>
      <c r="N629" s="719"/>
      <c r="P629" s="775">
        <f t="shared" si="111"/>
        <v>518.24095</v>
      </c>
      <c r="Q629" s="771"/>
      <c r="R629" s="776">
        <f t="shared" si="111"/>
        <v>518.24095</v>
      </c>
      <c r="T629" s="777">
        <f t="shared" si="111"/>
        <v>518.24095</v>
      </c>
    </row>
    <row r="630" spans="1:20" s="8" customFormat="1" ht="15" hidden="1" customHeight="1" x14ac:dyDescent="0.2">
      <c r="A630" s="765"/>
      <c r="B630" s="774" t="str">
        <f>IF(Jog!B45="","-",Jog!B45&amp;" "&amp;Jog!$H$19)</f>
        <v>Vollkosten pro Stk.</v>
      </c>
      <c r="C630" s="765"/>
      <c r="D630" s="775">
        <f>IF('[1]E-Jog'!$H45="","",'[1]E-Jog'!$H45)</f>
        <v>0.71292405587301588</v>
      </c>
      <c r="E630" s="771"/>
      <c r="F630" s="776">
        <f>IF(OR(H629="",$H$590=""),"-",H629/$H$590)</f>
        <v>0.71292405587301588</v>
      </c>
      <c r="H630" s="777">
        <f>IF(Jog!$H45="","",Jog!$H45)</f>
        <v>0.71292405587301588</v>
      </c>
      <c r="I630" s="773" t="str">
        <f t="shared" si="117"/>
        <v>Richtig!</v>
      </c>
      <c r="J630" s="718" t="str">
        <f t="shared" si="118"/>
        <v>-</v>
      </c>
      <c r="K630" s="711" t="str">
        <f t="shared" ref="K630:K693" si="119">IF(L630="","","│")</f>
        <v/>
      </c>
      <c r="L630" s="712" t="str">
        <f t="shared" si="112"/>
        <v/>
      </c>
      <c r="M630" s="1"/>
      <c r="N630" s="719"/>
      <c r="P630" s="775">
        <f t="shared" si="111"/>
        <v>0.71292</v>
      </c>
      <c r="Q630" s="771"/>
      <c r="R630" s="776">
        <f t="shared" si="111"/>
        <v>0.71292</v>
      </c>
      <c r="T630" s="777">
        <f t="shared" si="111"/>
        <v>0.71292</v>
      </c>
    </row>
    <row r="631" spans="1:20" s="8" customFormat="1" ht="15" x14ac:dyDescent="0.2">
      <c r="A631" s="765"/>
      <c r="B631" s="774" t="str">
        <f>IF(Jog!B46="","-",Jog!B46&amp;" "&amp;Jog!$F$5)</f>
        <v xml:space="preserve">Gewinn- und Risikozuschlag </v>
      </c>
      <c r="D631" s="775">
        <f>IF('[1]E-Jog'!$G46="","",'[1]E-Jog'!$G46)</f>
        <v>19.174915087384615</v>
      </c>
      <c r="E631" s="771"/>
      <c r="F631" s="776">
        <f>IF(OR(H629="",Jog!E46=""),"-",H629*Jog!E46)</f>
        <v>19.174915087384615</v>
      </c>
      <c r="H631" s="777">
        <f>IF(Jog!$G46="","",Jog!$G46)</f>
        <v>19.174915087384615</v>
      </c>
      <c r="I631" s="773" t="str">
        <f t="shared" si="117"/>
        <v>Richtig!</v>
      </c>
      <c r="J631" s="718">
        <f t="shared" si="118"/>
        <v>1</v>
      </c>
      <c r="K631" s="711" t="str">
        <f t="shared" si="119"/>
        <v>│</v>
      </c>
      <c r="L631" s="712">
        <f t="shared" si="112"/>
        <v>1</v>
      </c>
      <c r="M631" s="1"/>
      <c r="N631" s="719" t="str">
        <f>IF($L$1="","",$L$1)</f>
        <v>x</v>
      </c>
      <c r="P631" s="775">
        <f t="shared" si="111"/>
        <v>19.17492</v>
      </c>
      <c r="Q631" s="771"/>
      <c r="R631" s="776">
        <f t="shared" si="111"/>
        <v>19.17492</v>
      </c>
      <c r="T631" s="777">
        <f t="shared" si="111"/>
        <v>19.17492</v>
      </c>
    </row>
    <row r="632" spans="1:20" s="8" customFormat="1" ht="15" hidden="1" customHeight="1" x14ac:dyDescent="0.2">
      <c r="A632" s="765"/>
      <c r="B632" s="778" t="str">
        <f>IF(Jog!B47="","-",Jog!B47&amp;" "&amp;Jog!$F$5)</f>
        <v xml:space="preserve">Preisuntergrenze </v>
      </c>
      <c r="C632" s="765"/>
      <c r="D632" s="775">
        <f>IF('[1]E-Jog'!$G47="","",'[1]E-Jog'!$G47)</f>
        <v>537.41586339507694</v>
      </c>
      <c r="E632" s="771"/>
      <c r="F632" s="776">
        <f>IF(AND(H629="",H631=""),"-",SUM(H629,H631))</f>
        <v>537.41586339507694</v>
      </c>
      <c r="H632" s="777">
        <f>IF(Jog!$G47="","",Jog!$G47)</f>
        <v>537.41586339507694</v>
      </c>
      <c r="I632" s="773" t="str">
        <f t="shared" si="117"/>
        <v>Richtig!</v>
      </c>
      <c r="J632" s="718" t="str">
        <f t="shared" si="118"/>
        <v>-</v>
      </c>
      <c r="K632" s="711" t="str">
        <f t="shared" si="119"/>
        <v/>
      </c>
      <c r="L632" s="712" t="str">
        <f t="shared" si="112"/>
        <v/>
      </c>
      <c r="M632" s="1"/>
      <c r="N632" s="719"/>
      <c r="P632" s="775">
        <f t="shared" si="111"/>
        <v>537.41585999999995</v>
      </c>
      <c r="Q632" s="771"/>
      <c r="R632" s="776">
        <f t="shared" si="111"/>
        <v>537.41585999999995</v>
      </c>
      <c r="T632" s="777">
        <f t="shared" si="111"/>
        <v>537.41585999999995</v>
      </c>
    </row>
    <row r="633" spans="1:20" s="8" customFormat="1" ht="15" x14ac:dyDescent="0.2">
      <c r="A633" s="765"/>
      <c r="B633" s="778" t="str">
        <f>IF(Jog!B47="","-",Jog!B47&amp;" "&amp;Jog!$H$19)</f>
        <v>Preisuntergrenze pro Stk.</v>
      </c>
      <c r="C633" s="765"/>
      <c r="D633" s="775">
        <f>IF('[1]E-Jog'!$H47="","",'[1]E-Jog'!$H47)</f>
        <v>0.73930224594031746</v>
      </c>
      <c r="E633" s="771"/>
      <c r="F633" s="776">
        <f>IF(OR(H632="",$H$590=""),"-",H632/$H$590)</f>
        <v>0.73930224594031746</v>
      </c>
      <c r="H633" s="777">
        <f>IF(Jog!$H47="","",Jog!$H47)</f>
        <v>0.73930224594031746</v>
      </c>
      <c r="I633" s="773" t="str">
        <f t="shared" si="117"/>
        <v>Richtig!</v>
      </c>
      <c r="J633" s="718">
        <f t="shared" si="118"/>
        <v>1</v>
      </c>
      <c r="K633" s="711" t="str">
        <f t="shared" si="119"/>
        <v>│</v>
      </c>
      <c r="L633" s="712">
        <f t="shared" si="112"/>
        <v>1</v>
      </c>
      <c r="M633" s="1"/>
      <c r="N633" s="719" t="str">
        <f t="shared" ref="N633:N638" si="120">IF($L$1="","",$L$1)</f>
        <v>x</v>
      </c>
      <c r="P633" s="775">
        <f t="shared" si="111"/>
        <v>0.73929999999999996</v>
      </c>
      <c r="Q633" s="771"/>
      <c r="R633" s="776">
        <f t="shared" si="111"/>
        <v>0.73929999999999996</v>
      </c>
      <c r="T633" s="777">
        <f t="shared" si="111"/>
        <v>0.73929999999999996</v>
      </c>
    </row>
    <row r="634" spans="1:20" s="8" customFormat="1" ht="15" x14ac:dyDescent="0.2">
      <c r="A634" s="765"/>
      <c r="C634" s="765"/>
      <c r="D634" s="766"/>
      <c r="H634" s="767"/>
      <c r="I634" s="768"/>
      <c r="J634" s="768"/>
      <c r="K634" s="711" t="str">
        <f t="shared" si="119"/>
        <v/>
      </c>
      <c r="L634" s="712" t="str">
        <f t="shared" si="112"/>
        <v/>
      </c>
      <c r="M634" s="1"/>
      <c r="N634" s="725" t="str">
        <f t="shared" si="120"/>
        <v>x</v>
      </c>
      <c r="P634" s="766" t="str">
        <f t="shared" si="111"/>
        <v/>
      </c>
      <c r="R634" s="8" t="str">
        <f t="shared" si="111"/>
        <v/>
      </c>
      <c r="T634" s="767" t="str">
        <f t="shared" si="111"/>
        <v/>
      </c>
    </row>
    <row r="635" spans="1:20" ht="22.5" x14ac:dyDescent="0.2">
      <c r="A635" s="698" t="s">
        <v>8</v>
      </c>
      <c r="B635" s="699"/>
      <c r="C635" s="700"/>
      <c r="D635" s="701" t="s">
        <v>0</v>
      </c>
      <c r="E635" s="701"/>
      <c r="F635" s="702" t="s">
        <v>363</v>
      </c>
      <c r="G635" s="700"/>
      <c r="H635" s="702" t="s">
        <v>364</v>
      </c>
      <c r="I635" s="703" t="str">
        <f>"Fehler"</f>
        <v>Fehler</v>
      </c>
      <c r="J635" s="704" t="s">
        <v>365</v>
      </c>
      <c r="K635" s="704"/>
      <c r="L635" s="704"/>
      <c r="N635" s="705" t="str">
        <f t="shared" si="120"/>
        <v>x</v>
      </c>
      <c r="P635" s="701" t="str">
        <f t="shared" si="111"/>
        <v>Ergebnis</v>
      </c>
      <c r="Q635" s="701"/>
      <c r="R635" s="702" t="str">
        <f t="shared" si="111"/>
        <v>Formel-
prüfung</v>
      </c>
      <c r="S635" s="700"/>
      <c r="T635" s="702" t="str">
        <f t="shared" si="111"/>
        <v>Deine Be-rechnung</v>
      </c>
    </row>
    <row r="636" spans="1:20" ht="12.75" customHeight="1" x14ac:dyDescent="0.2">
      <c r="B636" s="779" t="str">
        <f>IF(FK!B18="","-",FK!B18)</f>
        <v>Summe Fixkosten</v>
      </c>
      <c r="C636" s="780"/>
      <c r="D636" s="714">
        <f>IF('[1]E-FK'!D18="","",'[1]E-FK'!D18)</f>
        <v>-10555.20919158361</v>
      </c>
      <c r="E636" s="715"/>
      <c r="F636" s="721">
        <f>IF(AND(FK!D4="",FK!D5="",FK!D6="",FK!D7="",FK!D8="",FK!D9="",FK!D10="",FK!D11="",FK!D12="",FK!D13="",FK!D14="",FK!D15="",FK!D16="",FK!D17=""),"",SUM(FK!D4:D17))</f>
        <v>-10555.20919158361</v>
      </c>
      <c r="H636" s="781">
        <f>IF(FK!D18="","",FK!D18)</f>
        <v>-10555.20919158361</v>
      </c>
      <c r="I636" s="717" t="str">
        <f>IF(B636="","",IF(T636=P636,"Richtig!",IF(AND(P636&lt;&gt;T636,R636=T636),"Formel: OK",IF(T636="","Fehlt","Falsch"))))</f>
        <v>Richtig!</v>
      </c>
      <c r="J636" s="718">
        <f>IF(OR(B636="-",N636="",AND(P636="",T636="")),"-",IF(I636="Richtig!",1,IF(I636="Formel: OK",0.5,IF(OR(I636="Falsch",I636="Fehlt"),0,""))))</f>
        <v>1</v>
      </c>
      <c r="K636" s="711" t="str">
        <f t="shared" si="119"/>
        <v>│</v>
      </c>
      <c r="L636" s="712">
        <f>IF(OR(B636="-",N636="",AND(P636="",T636="")),"",1)</f>
        <v>1</v>
      </c>
      <c r="N636" s="719" t="str">
        <f t="shared" si="120"/>
        <v>x</v>
      </c>
      <c r="P636" s="714">
        <f t="shared" si="111"/>
        <v>-10555.20919</v>
      </c>
      <c r="Q636" s="715"/>
      <c r="R636" s="721">
        <f t="shared" si="111"/>
        <v>-10555.20919</v>
      </c>
      <c r="T636" s="781">
        <f t="shared" si="111"/>
        <v>-10555.20919</v>
      </c>
    </row>
    <row r="637" spans="1:20" ht="12.75" customHeight="1" x14ac:dyDescent="0.2">
      <c r="A637" s="707"/>
      <c r="B637" s="707"/>
      <c r="C637" s="707"/>
      <c r="D637" s="708"/>
      <c r="H637" s="709"/>
      <c r="I637" s="710"/>
      <c r="J637" s="710"/>
      <c r="K637" s="711" t="str">
        <f t="shared" si="119"/>
        <v/>
      </c>
      <c r="L637" s="712" t="str">
        <f>IF(OR(B637="-",N637="",AND(P637="",T637="")),"",1)</f>
        <v/>
      </c>
      <c r="N637" s="725" t="str">
        <f t="shared" si="120"/>
        <v>x</v>
      </c>
      <c r="P637" s="708" t="str">
        <f t="shared" si="111"/>
        <v/>
      </c>
      <c r="R637" s="1" t="str">
        <f t="shared" si="111"/>
        <v/>
      </c>
      <c r="T637" s="709" t="str">
        <f t="shared" si="111"/>
        <v/>
      </c>
    </row>
    <row r="638" spans="1:20" ht="22.5" x14ac:dyDescent="0.2">
      <c r="A638" s="698" t="s">
        <v>432</v>
      </c>
      <c r="B638" s="699"/>
      <c r="C638" s="700"/>
      <c r="D638" s="701" t="s">
        <v>0</v>
      </c>
      <c r="E638" s="701"/>
      <c r="F638" s="702" t="s">
        <v>363</v>
      </c>
      <c r="G638" s="700"/>
      <c r="H638" s="702" t="s">
        <v>364</v>
      </c>
      <c r="I638" s="703" t="str">
        <f>"Fehler"</f>
        <v>Fehler</v>
      </c>
      <c r="J638" s="704" t="s">
        <v>365</v>
      </c>
      <c r="K638" s="704"/>
      <c r="L638" s="704"/>
      <c r="N638" s="705" t="str">
        <f t="shared" si="120"/>
        <v>x</v>
      </c>
      <c r="P638" s="701" t="str">
        <f t="shared" si="111"/>
        <v>Ergebnis</v>
      </c>
      <c r="Q638" s="701"/>
      <c r="R638" s="702" t="str">
        <f t="shared" si="111"/>
        <v>Formel-
prüfung</v>
      </c>
      <c r="S638" s="700"/>
      <c r="T638" s="702" t="str">
        <f t="shared" si="111"/>
        <v>Deine Be-rechnung</v>
      </c>
    </row>
    <row r="639" spans="1:20" ht="12.75" hidden="1" customHeight="1" x14ac:dyDescent="0.2">
      <c r="A639" s="706" t="s">
        <v>366</v>
      </c>
      <c r="B639" s="706" t="s">
        <v>433</v>
      </c>
      <c r="C639" s="707"/>
      <c r="D639" s="708"/>
      <c r="H639" s="691"/>
      <c r="I639" s="710"/>
      <c r="J639" s="710"/>
      <c r="K639" s="711" t="str">
        <f t="shared" si="119"/>
        <v/>
      </c>
      <c r="L639" s="712" t="str">
        <f t="shared" ref="L639:L670" si="121">IF(OR(B639="-",N639="",AND(P639="",T639="")),"",1)</f>
        <v/>
      </c>
      <c r="P639" s="708" t="str">
        <f t="shared" si="111"/>
        <v/>
      </c>
      <c r="R639" s="1" t="str">
        <f t="shared" si="111"/>
        <v/>
      </c>
      <c r="T639" s="691" t="str">
        <f t="shared" si="111"/>
        <v/>
      </c>
    </row>
    <row r="640" spans="1:20" ht="12.75" hidden="1" customHeight="1" x14ac:dyDescent="0.2">
      <c r="B640" s="782" t="str">
        <f>IF('[1]E-AV'!B6="","-",'[1]E-AV'!B6)</f>
        <v>Grundverbesserungen</v>
      </c>
      <c r="C640" s="731"/>
      <c r="D640" s="708" t="str">
        <f>IF('[1]E-2NGeb'!Q91="","",'[1]E-2NGeb'!Q91)</f>
        <v/>
      </c>
      <c r="H640" s="691" t="str">
        <f>IF('2NGeb'!Q91="","",'2NGeb'!Q91)</f>
        <v/>
      </c>
      <c r="I640" s="717" t="str">
        <f>IF(OR(B640="-",AND(P640="",T640="")),"",IF(T640=P640,"Richtig!",IF(T640="","Fehlt","Falsch")))</f>
        <v/>
      </c>
      <c r="J640" s="717"/>
      <c r="K640" s="711" t="str">
        <f t="shared" si="119"/>
        <v/>
      </c>
      <c r="L640" s="712" t="str">
        <f t="shared" si="121"/>
        <v/>
      </c>
      <c r="P640" s="708" t="str">
        <f t="shared" si="111"/>
        <v/>
      </c>
      <c r="R640" s="1" t="str">
        <f t="shared" si="111"/>
        <v/>
      </c>
      <c r="T640" s="691" t="str">
        <f t="shared" si="111"/>
        <v/>
      </c>
    </row>
    <row r="641" spans="1:20" ht="12.75" hidden="1" customHeight="1" x14ac:dyDescent="0.2">
      <c r="B641" s="2" t="str">
        <f>IF('[1]E-AV'!B7="","-",'[1]E-AV'!B7)</f>
        <v>Rohrdrainage</v>
      </c>
      <c r="C641" s="780" t="str">
        <f>MID($B$639,1,4)&amp;". "&amp;MID($B$639,11,9)&amp;"."</f>
        <v>Bish. Nutzungsd.</v>
      </c>
      <c r="D641" s="714">
        <f>IF('[1]E-AV'!$G7="","",'[1]E-AV'!$G7)</f>
        <v>23</v>
      </c>
      <c r="E641" s="715"/>
      <c r="F641" s="715"/>
      <c r="H641" s="783">
        <f>IF(AV!$G7="","",AV!$G7)</f>
        <v>23</v>
      </c>
      <c r="I641" s="717" t="str">
        <f>IF(OR(B641="-",AND(P641="",T641="")),"",IF(T641=P641,"Richtig!",IF(T641="","Fehlt","Falsch")))</f>
        <v>Richtig!</v>
      </c>
      <c r="J641" s="718" t="str">
        <f>IF(OR(B641="-",N641="",AND(P641="",T641="")),"-",IF(I641="Richtig!",1,IF(I641="Formel: OK",0.5,IF(OR(I641="Falsch",I641="Fehlt"),0,""))))</f>
        <v>-</v>
      </c>
      <c r="K641" s="711" t="str">
        <f t="shared" si="119"/>
        <v/>
      </c>
      <c r="L641" s="712" t="str">
        <f t="shared" si="121"/>
        <v/>
      </c>
      <c r="N641" s="719"/>
      <c r="P641" s="714">
        <f t="shared" si="111"/>
        <v>23</v>
      </c>
      <c r="Q641" s="715"/>
      <c r="R641" s="715" t="str">
        <f t="shared" si="111"/>
        <v/>
      </c>
      <c r="T641" s="783">
        <f t="shared" si="111"/>
        <v>23</v>
      </c>
    </row>
    <row r="642" spans="1:20" ht="12.75" hidden="1" customHeight="1" x14ac:dyDescent="0.2">
      <c r="A642" s="707"/>
      <c r="B642" s="2" t="str">
        <f>IF('[1]E-AV'!B8="","-",'[1]E-AV'!B8)</f>
        <v>-</v>
      </c>
      <c r="C642" s="780" t="str">
        <f>MID($B$639,1,4)&amp;". "&amp;MID($B$639,11,9)&amp;"."</f>
        <v>Bish. Nutzungsd.</v>
      </c>
      <c r="D642" s="714" t="str">
        <f>IF('[1]E-AV'!$G8="","",'[1]E-AV'!$G8)</f>
        <v/>
      </c>
      <c r="E642" s="715"/>
      <c r="F642" s="715"/>
      <c r="H642" s="783" t="str">
        <f>IF(AV!$G8="","",AV!$G8)</f>
        <v/>
      </c>
      <c r="I642" s="717" t="str">
        <f>IF(OR(B642="-",AND(P642="",T642="")),"",IF(T642=P642,"Richtig!",IF(T642="","Fehlt","Falsch")))</f>
        <v/>
      </c>
      <c r="J642" s="718" t="str">
        <f>IF(OR(B642="-",N642="",AND(P642="",T642="")),"-",IF(I642="Richtig!",1,IF(I642="Formel: OK",0.5,IF(OR(I642="Falsch",I642="Fehlt"),0,""))))</f>
        <v>-</v>
      </c>
      <c r="K642" s="711" t="str">
        <f t="shared" si="119"/>
        <v/>
      </c>
      <c r="L642" s="712" t="str">
        <f t="shared" si="121"/>
        <v/>
      </c>
      <c r="N642" s="719"/>
      <c r="P642" s="714" t="str">
        <f t="shared" si="111"/>
        <v/>
      </c>
      <c r="Q642" s="715"/>
      <c r="R642" s="715" t="str">
        <f t="shared" si="111"/>
        <v/>
      </c>
      <c r="T642" s="783" t="str">
        <f t="shared" si="111"/>
        <v/>
      </c>
    </row>
    <row r="643" spans="1:20" ht="12.75" hidden="1" customHeight="1" x14ac:dyDescent="0.2">
      <c r="A643" s="707"/>
      <c r="B643" s="782" t="str">
        <f>IF('[1]E-AV'!B10="","-",'[1]E-AV'!B10)</f>
        <v>Gebäude und bauliche Anlagen</v>
      </c>
      <c r="C643" s="780"/>
      <c r="D643" s="708"/>
      <c r="H643" s="691"/>
      <c r="I643" s="717"/>
      <c r="J643" s="717"/>
      <c r="K643" s="711" t="str">
        <f t="shared" si="119"/>
        <v/>
      </c>
      <c r="L643" s="712" t="str">
        <f t="shared" si="121"/>
        <v/>
      </c>
      <c r="P643" s="708" t="str">
        <f t="shared" si="111"/>
        <v/>
      </c>
      <c r="R643" s="1" t="str">
        <f t="shared" si="111"/>
        <v/>
      </c>
      <c r="T643" s="691" t="str">
        <f t="shared" si="111"/>
        <v/>
      </c>
    </row>
    <row r="644" spans="1:20" ht="12.75" hidden="1" customHeight="1" x14ac:dyDescent="0.2">
      <c r="A644" s="707"/>
      <c r="B644" s="2" t="str">
        <f>IF('[1]E-AV'!B11="","-",'[1]E-AV'!B11)</f>
        <v>Stadel</v>
      </c>
      <c r="C644" s="780" t="str">
        <f t="shared" ref="C644:C651" si="122">MID($B$639,1,4)&amp;". "&amp;MID($B$639,11,9)&amp;"."</f>
        <v>Bish. Nutzungsd.</v>
      </c>
      <c r="D644" s="714">
        <f>IF('[1]E-AV'!$G11="","",'[1]E-AV'!$G11)</f>
        <v>27</v>
      </c>
      <c r="E644" s="715"/>
      <c r="F644" s="715"/>
      <c r="H644" s="783">
        <f>IF(AV!$G11="","",AV!$G11)</f>
        <v>27</v>
      </c>
      <c r="I644" s="717" t="str">
        <f t="shared" ref="I644:I651" si="123">IF(OR(B644="-",AND(P644="",T644="")),"",IF(T644=P644,"Richtig!",IF(T644="","Fehlt","Falsch")))</f>
        <v>Richtig!</v>
      </c>
      <c r="J644" s="718" t="str">
        <f t="shared" ref="J644:J651" si="124">IF(OR(B644="-",N644="",AND(P644="",T644="")),"-",IF(I644="Richtig!",1,IF(I644="Formel: OK",0.5,IF(OR(I644="Falsch",I644="Fehlt"),0,""))))</f>
        <v>-</v>
      </c>
      <c r="K644" s="711" t="str">
        <f t="shared" si="119"/>
        <v/>
      </c>
      <c r="L644" s="712" t="str">
        <f t="shared" si="121"/>
        <v/>
      </c>
      <c r="N644" s="719"/>
      <c r="P644" s="714">
        <f t="shared" si="111"/>
        <v>27</v>
      </c>
      <c r="Q644" s="715"/>
      <c r="R644" s="715" t="str">
        <f t="shared" si="111"/>
        <v/>
      </c>
      <c r="T644" s="783">
        <f t="shared" si="111"/>
        <v>27</v>
      </c>
    </row>
    <row r="645" spans="1:20" ht="12.75" hidden="1" customHeight="1" x14ac:dyDescent="0.2">
      <c r="A645" s="707"/>
      <c r="B645" s="2" t="str">
        <f>IF('[1]E-AV'!B12="","-",'[1]E-AV'!B12)</f>
        <v>Rinderstall (Warmstall)</v>
      </c>
      <c r="C645" s="780" t="str">
        <f t="shared" si="122"/>
        <v>Bish. Nutzungsd.</v>
      </c>
      <c r="D645" s="714">
        <f>IF('[1]E-AV'!$G12="","",'[1]E-AV'!$G12)</f>
        <v>16</v>
      </c>
      <c r="E645" s="715"/>
      <c r="F645" s="715"/>
      <c r="H645" s="783">
        <f>IF(AV!$G12="","",AV!$G12)</f>
        <v>16</v>
      </c>
      <c r="I645" s="717" t="str">
        <f t="shared" si="123"/>
        <v>Richtig!</v>
      </c>
      <c r="J645" s="718" t="str">
        <f t="shared" si="124"/>
        <v>-</v>
      </c>
      <c r="K645" s="711" t="str">
        <f t="shared" si="119"/>
        <v/>
      </c>
      <c r="L645" s="712" t="str">
        <f t="shared" si="121"/>
        <v/>
      </c>
      <c r="N645" s="719"/>
      <c r="P645" s="714">
        <f t="shared" si="111"/>
        <v>16</v>
      </c>
      <c r="Q645" s="715"/>
      <c r="R645" s="715" t="str">
        <f t="shared" si="111"/>
        <v/>
      </c>
      <c r="T645" s="783">
        <f t="shared" si="111"/>
        <v>16</v>
      </c>
    </row>
    <row r="646" spans="1:20" ht="12.75" hidden="1" customHeight="1" x14ac:dyDescent="0.2">
      <c r="A646" s="707"/>
      <c r="B646" s="2" t="str">
        <f>IF('[1]E-AV'!B13="","-",'[1]E-AV'!B13)</f>
        <v>Verarbeitungsraum</v>
      </c>
      <c r="C646" s="780" t="str">
        <f t="shared" si="122"/>
        <v>Bish. Nutzungsd.</v>
      </c>
      <c r="D646" s="714">
        <f>IF('[1]E-AV'!$G13="","",'[1]E-AV'!$G13)</f>
        <v>15</v>
      </c>
      <c r="E646" s="715"/>
      <c r="F646" s="715"/>
      <c r="H646" s="783">
        <f>IF(AV!$G13="","",AV!$G13)</f>
        <v>15</v>
      </c>
      <c r="I646" s="717" t="str">
        <f t="shared" si="123"/>
        <v>Richtig!</v>
      </c>
      <c r="J646" s="718" t="str">
        <f t="shared" si="124"/>
        <v>-</v>
      </c>
      <c r="K646" s="711" t="str">
        <f t="shared" si="119"/>
        <v/>
      </c>
      <c r="L646" s="712" t="str">
        <f t="shared" si="121"/>
        <v/>
      </c>
      <c r="N646" s="719"/>
      <c r="P646" s="714">
        <f t="shared" si="111"/>
        <v>15</v>
      </c>
      <c r="Q646" s="715"/>
      <c r="R646" s="715" t="str">
        <f t="shared" si="111"/>
        <v/>
      </c>
      <c r="T646" s="783">
        <f t="shared" si="111"/>
        <v>15</v>
      </c>
    </row>
    <row r="647" spans="1:20" ht="12.75" hidden="1" customHeight="1" x14ac:dyDescent="0.2">
      <c r="A647" s="707"/>
      <c r="B647" s="2" t="str">
        <f>IF('[1]E-AV'!B14="","-",'[1]E-AV'!B14)</f>
        <v>Maschinenschuppen</v>
      </c>
      <c r="C647" s="780" t="str">
        <f t="shared" si="122"/>
        <v>Bish. Nutzungsd.</v>
      </c>
      <c r="D647" s="714">
        <f>IF('[1]E-AV'!$G14="","",'[1]E-AV'!$G14)</f>
        <v>18</v>
      </c>
      <c r="E647" s="715"/>
      <c r="F647" s="715"/>
      <c r="H647" s="783">
        <f>IF(AV!$G14="","",AV!$G14)</f>
        <v>18</v>
      </c>
      <c r="I647" s="717" t="str">
        <f t="shared" si="123"/>
        <v>Richtig!</v>
      </c>
      <c r="J647" s="718" t="str">
        <f t="shared" si="124"/>
        <v>-</v>
      </c>
      <c r="K647" s="711" t="str">
        <f t="shared" si="119"/>
        <v/>
      </c>
      <c r="L647" s="712" t="str">
        <f t="shared" si="121"/>
        <v/>
      </c>
      <c r="N647" s="719"/>
      <c r="P647" s="714">
        <f t="shared" si="111"/>
        <v>18</v>
      </c>
      <c r="Q647" s="715"/>
      <c r="R647" s="715" t="str">
        <f t="shared" si="111"/>
        <v/>
      </c>
      <c r="T647" s="783">
        <f t="shared" si="111"/>
        <v>18</v>
      </c>
    </row>
    <row r="648" spans="1:20" ht="12.75" hidden="1" customHeight="1" x14ac:dyDescent="0.2">
      <c r="A648" s="707"/>
      <c r="B648" s="2" t="str">
        <f>IF('[1]E-AV'!B15="","-",'[1]E-AV'!B15)</f>
        <v>Garage mit Lagerraum</v>
      </c>
      <c r="C648" s="780" t="str">
        <f t="shared" si="122"/>
        <v>Bish. Nutzungsd.</v>
      </c>
      <c r="D648" s="714">
        <f>IF('[1]E-AV'!$G15="","",'[1]E-AV'!$G15)</f>
        <v>25</v>
      </c>
      <c r="E648" s="715"/>
      <c r="F648" s="715"/>
      <c r="H648" s="783">
        <f>IF(AV!$G15="","",AV!$G15)</f>
        <v>25</v>
      </c>
      <c r="I648" s="717" t="str">
        <f t="shared" si="123"/>
        <v>Richtig!</v>
      </c>
      <c r="J648" s="718" t="str">
        <f t="shared" si="124"/>
        <v>-</v>
      </c>
      <c r="K648" s="711" t="str">
        <f t="shared" si="119"/>
        <v/>
      </c>
      <c r="L648" s="712" t="str">
        <f t="shared" si="121"/>
        <v/>
      </c>
      <c r="N648" s="719"/>
      <c r="P648" s="714">
        <f t="shared" si="111"/>
        <v>25</v>
      </c>
      <c r="Q648" s="715"/>
      <c r="R648" s="715" t="str">
        <f t="shared" si="111"/>
        <v/>
      </c>
      <c r="T648" s="783">
        <f t="shared" si="111"/>
        <v>25</v>
      </c>
    </row>
    <row r="649" spans="1:20" ht="12.75" hidden="1" customHeight="1" x14ac:dyDescent="0.2">
      <c r="A649" s="707"/>
      <c r="B649" s="2" t="str">
        <f>IF('[1]E-AV'!B16="","-",'[1]E-AV'!B16)</f>
        <v>-</v>
      </c>
      <c r="C649" s="780" t="str">
        <f t="shared" si="122"/>
        <v>Bish. Nutzungsd.</v>
      </c>
      <c r="D649" s="714" t="str">
        <f>IF('[1]E-AV'!$G16="","",'[1]E-AV'!$G16)</f>
        <v/>
      </c>
      <c r="E649" s="715"/>
      <c r="F649" s="715"/>
      <c r="H649" s="783" t="str">
        <f>IF(AV!$G16="","",AV!$G16)</f>
        <v/>
      </c>
      <c r="I649" s="717" t="str">
        <f t="shared" si="123"/>
        <v/>
      </c>
      <c r="J649" s="718" t="str">
        <f t="shared" si="124"/>
        <v>-</v>
      </c>
      <c r="K649" s="711" t="str">
        <f t="shared" si="119"/>
        <v/>
      </c>
      <c r="L649" s="712" t="str">
        <f t="shared" si="121"/>
        <v/>
      </c>
      <c r="N649" s="719"/>
      <c r="P649" s="714" t="str">
        <f t="shared" si="111"/>
        <v/>
      </c>
      <c r="Q649" s="715"/>
      <c r="R649" s="715" t="str">
        <f t="shared" si="111"/>
        <v/>
      </c>
      <c r="T649" s="783" t="str">
        <f t="shared" si="111"/>
        <v/>
      </c>
    </row>
    <row r="650" spans="1:20" ht="12.75" hidden="1" customHeight="1" x14ac:dyDescent="0.2">
      <c r="A650" s="707"/>
      <c r="B650" s="2" t="str">
        <f>IF('[1]E-AV'!B17="","-",'[1]E-AV'!B17)</f>
        <v>-</v>
      </c>
      <c r="C650" s="780" t="str">
        <f t="shared" si="122"/>
        <v>Bish. Nutzungsd.</v>
      </c>
      <c r="D650" s="714" t="str">
        <f>IF('[1]E-AV'!$G17="","",'[1]E-AV'!$G17)</f>
        <v/>
      </c>
      <c r="E650" s="715"/>
      <c r="F650" s="715"/>
      <c r="H650" s="783" t="str">
        <f>IF(AV!$G17="","",AV!$G17)</f>
        <v/>
      </c>
      <c r="I650" s="717" t="str">
        <f t="shared" si="123"/>
        <v/>
      </c>
      <c r="J650" s="718" t="str">
        <f t="shared" si="124"/>
        <v>-</v>
      </c>
      <c r="K650" s="711" t="str">
        <f t="shared" si="119"/>
        <v/>
      </c>
      <c r="L650" s="712" t="str">
        <f t="shared" si="121"/>
        <v/>
      </c>
      <c r="N650" s="719"/>
      <c r="P650" s="714" t="str">
        <f t="shared" si="111"/>
        <v/>
      </c>
      <c r="Q650" s="715"/>
      <c r="R650" s="715" t="str">
        <f t="shared" si="111"/>
        <v/>
      </c>
      <c r="T650" s="783" t="str">
        <f t="shared" si="111"/>
        <v/>
      </c>
    </row>
    <row r="651" spans="1:20" ht="12.75" hidden="1" customHeight="1" x14ac:dyDescent="0.2">
      <c r="A651" s="707"/>
      <c r="B651" s="2" t="str">
        <f>IF('[1]E-AV'!B18="","-",'[1]E-AV'!B18)</f>
        <v>-</v>
      </c>
      <c r="C651" s="780" t="str">
        <f t="shared" si="122"/>
        <v>Bish. Nutzungsd.</v>
      </c>
      <c r="D651" s="714" t="str">
        <f>IF('[1]E-AV'!$G18="","",'[1]E-AV'!$G18)</f>
        <v/>
      </c>
      <c r="E651" s="715"/>
      <c r="F651" s="715"/>
      <c r="H651" s="783" t="str">
        <f>IF(AV!$G18="","",AV!$G18)</f>
        <v/>
      </c>
      <c r="I651" s="717" t="str">
        <f t="shared" si="123"/>
        <v/>
      </c>
      <c r="J651" s="718" t="str">
        <f t="shared" si="124"/>
        <v>-</v>
      </c>
      <c r="K651" s="711" t="str">
        <f t="shared" si="119"/>
        <v/>
      </c>
      <c r="L651" s="712" t="str">
        <f t="shared" si="121"/>
        <v/>
      </c>
      <c r="N651" s="719"/>
      <c r="P651" s="714" t="str">
        <f t="shared" ref="P651:T714" si="125">IF(ISTEXT(D651),D651,IF(D651="","",ROUND(D651,$R$1)))</f>
        <v/>
      </c>
      <c r="Q651" s="715"/>
      <c r="R651" s="715" t="str">
        <f t="shared" si="125"/>
        <v/>
      </c>
      <c r="T651" s="783" t="str">
        <f t="shared" si="125"/>
        <v/>
      </c>
    </row>
    <row r="652" spans="1:20" ht="12.75" hidden="1" customHeight="1" x14ac:dyDescent="0.2">
      <c r="A652" s="707"/>
      <c r="B652" s="782" t="str">
        <f>IF('[1]E-AV'!B20="","-",'[1]E-AV'!B20)</f>
        <v>Maschinen und Geräte</v>
      </c>
      <c r="C652" s="780"/>
      <c r="D652" s="708" t="str">
        <f>IF('[1]E-AV'!$G20="","",'[1]E-AV'!$G20)</f>
        <v/>
      </c>
      <c r="H652" s="691" t="str">
        <f>IF(AV!$G20="","",AV!$G20)</f>
        <v/>
      </c>
      <c r="I652" s="717"/>
      <c r="J652" s="717"/>
      <c r="K652" s="711" t="str">
        <f t="shared" si="119"/>
        <v/>
      </c>
      <c r="L652" s="712" t="str">
        <f t="shared" si="121"/>
        <v/>
      </c>
      <c r="P652" s="708" t="str">
        <f t="shared" si="125"/>
        <v/>
      </c>
      <c r="R652" s="1" t="str">
        <f t="shared" si="125"/>
        <v/>
      </c>
      <c r="T652" s="691" t="str">
        <f t="shared" si="125"/>
        <v/>
      </c>
    </row>
    <row r="653" spans="1:20" ht="12.75" hidden="1" customHeight="1" x14ac:dyDescent="0.2">
      <c r="A653" s="707"/>
      <c r="B653" s="2" t="str">
        <f>IF('[1]E-AV'!B21="","-",'[1]E-AV'!B21)</f>
        <v>Allradtraktor</v>
      </c>
      <c r="C653" s="780" t="str">
        <f t="shared" ref="C653:C672" si="126">MID($B$639,1,4)&amp;". "&amp;MID($B$639,11,9)&amp;"."</f>
        <v>Bish. Nutzungsd.</v>
      </c>
      <c r="D653" s="714">
        <f>IF('[1]E-AV'!$G21="","",'[1]E-AV'!$G21)</f>
        <v>13</v>
      </c>
      <c r="E653" s="715"/>
      <c r="F653" s="715"/>
      <c r="H653" s="783">
        <f>IF(AV!$G21="","",AV!$G21)</f>
        <v>13</v>
      </c>
      <c r="I653" s="717" t="str">
        <f t="shared" ref="I653:I672" si="127">IF(OR(B653="-",AND(P653="",T653="")),"",IF(T653=P653,"Richtig!",IF(T653="","Fehlt","Falsch")))</f>
        <v>Richtig!</v>
      </c>
      <c r="J653" s="718" t="str">
        <f t="shared" ref="J653:J672" si="128">IF(OR(B653="-",N653="",AND(P653="",T653="")),"-",IF(I653="Richtig!",1,IF(I653="Formel: OK",0.5,IF(OR(I653="Falsch",I653="Fehlt"),0,""))))</f>
        <v>-</v>
      </c>
      <c r="K653" s="711" t="str">
        <f t="shared" si="119"/>
        <v/>
      </c>
      <c r="L653" s="712" t="str">
        <f t="shared" si="121"/>
        <v/>
      </c>
      <c r="N653" s="719"/>
      <c r="P653" s="714">
        <f t="shared" si="125"/>
        <v>13</v>
      </c>
      <c r="Q653" s="715"/>
      <c r="R653" s="715" t="str">
        <f t="shared" si="125"/>
        <v/>
      </c>
      <c r="T653" s="783">
        <f t="shared" si="125"/>
        <v>13</v>
      </c>
    </row>
    <row r="654" spans="1:20" ht="12.75" hidden="1" customHeight="1" x14ac:dyDescent="0.2">
      <c r="A654" s="707"/>
      <c r="B654" s="2" t="str">
        <f>IF('[1]E-AV'!B22="","-",'[1]E-AV'!B22)</f>
        <v>-</v>
      </c>
      <c r="C654" s="780" t="str">
        <f t="shared" si="126"/>
        <v>Bish. Nutzungsd.</v>
      </c>
      <c r="D654" s="714" t="str">
        <f>IF('[1]E-AV'!$G22="","",'[1]E-AV'!$G22)</f>
        <v/>
      </c>
      <c r="E654" s="715"/>
      <c r="F654" s="715"/>
      <c r="H654" s="783" t="str">
        <f>IF(AV!$G22="","",AV!$G22)</f>
        <v/>
      </c>
      <c r="I654" s="717" t="str">
        <f t="shared" si="127"/>
        <v/>
      </c>
      <c r="J654" s="718" t="str">
        <f t="shared" si="128"/>
        <v>-</v>
      </c>
      <c r="K654" s="711" t="str">
        <f t="shared" si="119"/>
        <v/>
      </c>
      <c r="L654" s="712" t="str">
        <f t="shared" si="121"/>
        <v/>
      </c>
      <c r="N654" s="719"/>
      <c r="P654" s="714" t="str">
        <f t="shared" si="125"/>
        <v/>
      </c>
      <c r="Q654" s="715"/>
      <c r="R654" s="715" t="str">
        <f t="shared" si="125"/>
        <v/>
      </c>
      <c r="T654" s="783" t="str">
        <f t="shared" si="125"/>
        <v/>
      </c>
    </row>
    <row r="655" spans="1:20" ht="12.75" hidden="1" customHeight="1" x14ac:dyDescent="0.2">
      <c r="A655" s="707"/>
      <c r="B655" s="2" t="str">
        <f>IF('[1]E-AV'!B23="","-",'[1]E-AV'!B23)</f>
        <v>-</v>
      </c>
      <c r="C655" s="780" t="str">
        <f t="shared" si="126"/>
        <v>Bish. Nutzungsd.</v>
      </c>
      <c r="D655" s="714" t="str">
        <f>IF('[1]E-AV'!$G23="","",'[1]E-AV'!$G23)</f>
        <v/>
      </c>
      <c r="E655" s="715"/>
      <c r="F655" s="715"/>
      <c r="H655" s="783" t="str">
        <f>IF(AV!$G23="","",AV!$G23)</f>
        <v/>
      </c>
      <c r="I655" s="717" t="str">
        <f t="shared" si="127"/>
        <v/>
      </c>
      <c r="J655" s="718" t="str">
        <f t="shared" si="128"/>
        <v>-</v>
      </c>
      <c r="K655" s="711" t="str">
        <f t="shared" si="119"/>
        <v/>
      </c>
      <c r="L655" s="712" t="str">
        <f t="shared" si="121"/>
        <v/>
      </c>
      <c r="N655" s="719"/>
      <c r="P655" s="714" t="str">
        <f t="shared" si="125"/>
        <v/>
      </c>
      <c r="Q655" s="715"/>
      <c r="R655" s="715" t="str">
        <f t="shared" si="125"/>
        <v/>
      </c>
      <c r="T655" s="783" t="str">
        <f t="shared" si="125"/>
        <v/>
      </c>
    </row>
    <row r="656" spans="1:20" ht="12.75" hidden="1" customHeight="1" x14ac:dyDescent="0.2">
      <c r="A656" s="707"/>
      <c r="B656" s="2" t="str">
        <f>IF('[1]E-AV'!B24="","-",'[1]E-AV'!B24)</f>
        <v>Motorsäge</v>
      </c>
      <c r="C656" s="780" t="str">
        <f t="shared" si="126"/>
        <v>Bish. Nutzungsd.</v>
      </c>
      <c r="D656" s="714">
        <f>IF('[1]E-AV'!$G24="","",'[1]E-AV'!$G24)</f>
        <v>25</v>
      </c>
      <c r="E656" s="715"/>
      <c r="F656" s="715"/>
      <c r="H656" s="783">
        <f>IF(AV!$G24="","",AV!$G24)</f>
        <v>25</v>
      </c>
      <c r="I656" s="717" t="str">
        <f t="shared" si="127"/>
        <v>Richtig!</v>
      </c>
      <c r="J656" s="718" t="str">
        <f t="shared" si="128"/>
        <v>-</v>
      </c>
      <c r="K656" s="711" t="str">
        <f t="shared" si="119"/>
        <v/>
      </c>
      <c r="L656" s="712" t="str">
        <f t="shared" si="121"/>
        <v/>
      </c>
      <c r="N656" s="719"/>
      <c r="P656" s="714">
        <f t="shared" si="125"/>
        <v>25</v>
      </c>
      <c r="Q656" s="715"/>
      <c r="R656" s="715" t="str">
        <f t="shared" si="125"/>
        <v/>
      </c>
      <c r="T656" s="783">
        <f t="shared" si="125"/>
        <v>25</v>
      </c>
    </row>
    <row r="657" spans="1:20" ht="12.75" hidden="1" customHeight="1" x14ac:dyDescent="0.2">
      <c r="A657" s="707"/>
      <c r="B657" s="2" t="str">
        <f>IF('[1]E-AV'!B25="","-",'[1]E-AV'!B25)</f>
        <v>Pflug</v>
      </c>
      <c r="C657" s="780" t="str">
        <f t="shared" si="126"/>
        <v>Bish. Nutzungsd.</v>
      </c>
      <c r="D657" s="714">
        <f>IF('[1]E-AV'!$G25="","",'[1]E-AV'!$G25)</f>
        <v>5</v>
      </c>
      <c r="E657" s="715"/>
      <c r="F657" s="715"/>
      <c r="H657" s="783">
        <f>IF(AV!$G25="","",AV!$G25)</f>
        <v>5</v>
      </c>
      <c r="I657" s="717" t="str">
        <f t="shared" si="127"/>
        <v>Richtig!</v>
      </c>
      <c r="J657" s="718" t="str">
        <f t="shared" si="128"/>
        <v>-</v>
      </c>
      <c r="K657" s="711" t="str">
        <f t="shared" si="119"/>
        <v/>
      </c>
      <c r="L657" s="712" t="str">
        <f t="shared" si="121"/>
        <v/>
      </c>
      <c r="N657" s="719"/>
      <c r="P657" s="714">
        <f t="shared" si="125"/>
        <v>5</v>
      </c>
      <c r="Q657" s="715"/>
      <c r="R657" s="715" t="str">
        <f t="shared" si="125"/>
        <v/>
      </c>
      <c r="T657" s="783">
        <f t="shared" si="125"/>
        <v>5</v>
      </c>
    </row>
    <row r="658" spans="1:20" ht="12.75" hidden="1" customHeight="1" x14ac:dyDescent="0.2">
      <c r="A658" s="707"/>
      <c r="B658" s="2" t="str">
        <f>IF('[1]E-AV'!B26="","-",'[1]E-AV'!B26)</f>
        <v>Ladewagen</v>
      </c>
      <c r="C658" s="780" t="str">
        <f t="shared" si="126"/>
        <v>Bish. Nutzungsd.</v>
      </c>
      <c r="D658" s="714">
        <f>IF('[1]E-AV'!$G26="","",'[1]E-AV'!$G26)</f>
        <v>9</v>
      </c>
      <c r="E658" s="715"/>
      <c r="F658" s="715"/>
      <c r="H658" s="783">
        <f>IF(AV!$G26="","",AV!$G26)</f>
        <v>9</v>
      </c>
      <c r="I658" s="717" t="str">
        <f t="shared" si="127"/>
        <v>Richtig!</v>
      </c>
      <c r="J658" s="718" t="str">
        <f t="shared" si="128"/>
        <v>-</v>
      </c>
      <c r="K658" s="711" t="str">
        <f t="shared" si="119"/>
        <v/>
      </c>
      <c r="L658" s="712" t="str">
        <f t="shared" si="121"/>
        <v/>
      </c>
      <c r="N658" s="719"/>
      <c r="P658" s="714">
        <f t="shared" si="125"/>
        <v>9</v>
      </c>
      <c r="Q658" s="715"/>
      <c r="R658" s="715" t="str">
        <f t="shared" si="125"/>
        <v/>
      </c>
      <c r="T658" s="783">
        <f t="shared" si="125"/>
        <v>9</v>
      </c>
    </row>
    <row r="659" spans="1:20" ht="12.75" hidden="1" customHeight="1" x14ac:dyDescent="0.2">
      <c r="A659" s="707"/>
      <c r="B659" s="2" t="str">
        <f>IF('[1]E-AV'!B27="","-",'[1]E-AV'!B27)</f>
        <v>Heuraupe</v>
      </c>
      <c r="C659" s="780" t="str">
        <f t="shared" si="126"/>
        <v>Bish. Nutzungsd.</v>
      </c>
      <c r="D659" s="714">
        <f>IF('[1]E-AV'!$G27="","",'[1]E-AV'!$G27)</f>
        <v>11</v>
      </c>
      <c r="E659" s="715"/>
      <c r="F659" s="715"/>
      <c r="H659" s="783">
        <f>IF(AV!$G27="","",AV!$G27)</f>
        <v>11</v>
      </c>
      <c r="I659" s="717" t="str">
        <f t="shared" si="127"/>
        <v>Richtig!</v>
      </c>
      <c r="J659" s="718" t="str">
        <f t="shared" si="128"/>
        <v>-</v>
      </c>
      <c r="K659" s="711" t="str">
        <f t="shared" si="119"/>
        <v/>
      </c>
      <c r="L659" s="712" t="str">
        <f t="shared" si="121"/>
        <v/>
      </c>
      <c r="N659" s="719"/>
      <c r="P659" s="714">
        <f t="shared" si="125"/>
        <v>11</v>
      </c>
      <c r="Q659" s="715"/>
      <c r="R659" s="715" t="str">
        <f t="shared" si="125"/>
        <v/>
      </c>
      <c r="T659" s="783">
        <f t="shared" si="125"/>
        <v>11</v>
      </c>
    </row>
    <row r="660" spans="1:20" ht="12.75" hidden="1" customHeight="1" x14ac:dyDescent="0.2">
      <c r="A660" s="707"/>
      <c r="B660" s="2" t="str">
        <f>IF('[1]E-AV'!B28="","-",'[1]E-AV'!B28)</f>
        <v>Melkmaschine</v>
      </c>
      <c r="C660" s="780" t="str">
        <f t="shared" si="126"/>
        <v>Bish. Nutzungsd.</v>
      </c>
      <c r="D660" s="714">
        <f>IF('[1]E-AV'!$G28="","",'[1]E-AV'!$G28)</f>
        <v>3</v>
      </c>
      <c r="E660" s="715"/>
      <c r="F660" s="715"/>
      <c r="H660" s="783">
        <f>IF(AV!$G28="","",AV!$G28)</f>
        <v>3</v>
      </c>
      <c r="I660" s="717" t="str">
        <f t="shared" si="127"/>
        <v>Richtig!</v>
      </c>
      <c r="J660" s="718" t="str">
        <f t="shared" si="128"/>
        <v>-</v>
      </c>
      <c r="K660" s="711" t="str">
        <f t="shared" si="119"/>
        <v/>
      </c>
      <c r="L660" s="712" t="str">
        <f t="shared" si="121"/>
        <v/>
      </c>
      <c r="N660" s="719"/>
      <c r="P660" s="714">
        <f t="shared" si="125"/>
        <v>3</v>
      </c>
      <c r="Q660" s="715"/>
      <c r="R660" s="715" t="str">
        <f t="shared" si="125"/>
        <v/>
      </c>
      <c r="T660" s="783">
        <f t="shared" si="125"/>
        <v>3</v>
      </c>
    </row>
    <row r="661" spans="1:20" ht="12.75" hidden="1" customHeight="1" x14ac:dyDescent="0.2">
      <c r="A661" s="707"/>
      <c r="B661" s="2" t="str">
        <f>IF('[1]E-AV'!B29="","-",'[1]E-AV'!B29)</f>
        <v>Zentrifuge</v>
      </c>
      <c r="C661" s="780" t="str">
        <f t="shared" si="126"/>
        <v>Bish. Nutzungsd.</v>
      </c>
      <c r="D661" s="714">
        <f>IF('[1]E-AV'!$G29="","",'[1]E-AV'!$G29)</f>
        <v>8</v>
      </c>
      <c r="E661" s="715"/>
      <c r="F661" s="715"/>
      <c r="H661" s="783">
        <f>IF(AV!$G29="","",AV!$G29)</f>
        <v>8</v>
      </c>
      <c r="I661" s="717" t="str">
        <f t="shared" si="127"/>
        <v>Richtig!</v>
      </c>
      <c r="J661" s="718" t="str">
        <f t="shared" si="128"/>
        <v>-</v>
      </c>
      <c r="K661" s="711" t="str">
        <f t="shared" si="119"/>
        <v/>
      </c>
      <c r="L661" s="712" t="str">
        <f t="shared" si="121"/>
        <v/>
      </c>
      <c r="N661" s="719"/>
      <c r="P661" s="714">
        <f t="shared" si="125"/>
        <v>8</v>
      </c>
      <c r="Q661" s="715"/>
      <c r="R661" s="715" t="str">
        <f t="shared" si="125"/>
        <v/>
      </c>
      <c r="T661" s="783">
        <f t="shared" si="125"/>
        <v>8</v>
      </c>
    </row>
    <row r="662" spans="1:20" ht="12.75" hidden="1" customHeight="1" x14ac:dyDescent="0.2">
      <c r="A662" s="707"/>
      <c r="B662" s="2" t="str">
        <f>IF('[1]E-AV'!B30="","-",'[1]E-AV'!B30)</f>
        <v>Gebläse</v>
      </c>
      <c r="C662" s="780" t="str">
        <f t="shared" si="126"/>
        <v>Bish. Nutzungsd.</v>
      </c>
      <c r="D662" s="714">
        <f>IF('[1]E-AV'!$G30="","",'[1]E-AV'!$G30)</f>
        <v>2</v>
      </c>
      <c r="E662" s="715"/>
      <c r="F662" s="715"/>
      <c r="H662" s="783">
        <f>IF(AV!$G30="","",AV!$G30)</f>
        <v>2</v>
      </c>
      <c r="I662" s="717" t="str">
        <f t="shared" si="127"/>
        <v>Richtig!</v>
      </c>
      <c r="J662" s="718" t="str">
        <f t="shared" si="128"/>
        <v>-</v>
      </c>
      <c r="K662" s="711" t="str">
        <f t="shared" si="119"/>
        <v/>
      </c>
      <c r="L662" s="712" t="str">
        <f t="shared" si="121"/>
        <v/>
      </c>
      <c r="N662" s="719"/>
      <c r="P662" s="714">
        <f t="shared" si="125"/>
        <v>2</v>
      </c>
      <c r="Q662" s="715"/>
      <c r="R662" s="715" t="str">
        <f t="shared" si="125"/>
        <v/>
      </c>
      <c r="T662" s="783">
        <f t="shared" si="125"/>
        <v>2</v>
      </c>
    </row>
    <row r="663" spans="1:20" ht="12.75" hidden="1" customHeight="1" x14ac:dyDescent="0.2">
      <c r="A663" s="707"/>
      <c r="B663" s="2" t="str">
        <f>IF('[1]E-AV'!B31="","-",'[1]E-AV'!B31)</f>
        <v>Vakuumfass</v>
      </c>
      <c r="C663" s="780" t="str">
        <f t="shared" si="126"/>
        <v>Bish. Nutzungsd.</v>
      </c>
      <c r="D663" s="714">
        <f>IF('[1]E-AV'!$G31="","",'[1]E-AV'!$G31)</f>
        <v>16</v>
      </c>
      <c r="E663" s="715"/>
      <c r="F663" s="715"/>
      <c r="H663" s="783">
        <f>IF(AV!$G31="","",AV!$G31)</f>
        <v>16</v>
      </c>
      <c r="I663" s="717" t="str">
        <f t="shared" si="127"/>
        <v>Richtig!</v>
      </c>
      <c r="J663" s="718" t="str">
        <f t="shared" si="128"/>
        <v>-</v>
      </c>
      <c r="K663" s="711" t="str">
        <f t="shared" si="119"/>
        <v/>
      </c>
      <c r="L663" s="712" t="str">
        <f t="shared" si="121"/>
        <v/>
      </c>
      <c r="N663" s="719"/>
      <c r="P663" s="714">
        <f t="shared" si="125"/>
        <v>16</v>
      </c>
      <c r="Q663" s="715"/>
      <c r="R663" s="715" t="str">
        <f t="shared" si="125"/>
        <v/>
      </c>
      <c r="T663" s="783">
        <f t="shared" si="125"/>
        <v>16</v>
      </c>
    </row>
    <row r="664" spans="1:20" ht="12.75" hidden="1" customHeight="1" x14ac:dyDescent="0.2">
      <c r="A664" s="707"/>
      <c r="B664" s="2" t="str">
        <f>IF('[1]E-AV'!B32="","-",'[1]E-AV'!B32)</f>
        <v>Butterfass</v>
      </c>
      <c r="C664" s="780" t="str">
        <f t="shared" si="126"/>
        <v>Bish. Nutzungsd.</v>
      </c>
      <c r="D664" s="714">
        <f>IF('[1]E-AV'!$G32="","",'[1]E-AV'!$G32)</f>
        <v>16</v>
      </c>
      <c r="E664" s="715"/>
      <c r="F664" s="715"/>
      <c r="H664" s="783">
        <f>IF(AV!$G32="","",AV!$G32)</f>
        <v>16</v>
      </c>
      <c r="I664" s="717" t="str">
        <f t="shared" si="127"/>
        <v>Richtig!</v>
      </c>
      <c r="J664" s="718" t="str">
        <f t="shared" si="128"/>
        <v>-</v>
      </c>
      <c r="K664" s="711" t="str">
        <f t="shared" si="119"/>
        <v/>
      </c>
      <c r="L664" s="712" t="str">
        <f t="shared" si="121"/>
        <v/>
      </c>
      <c r="N664" s="719"/>
      <c r="P664" s="714">
        <f t="shared" si="125"/>
        <v>16</v>
      </c>
      <c r="Q664" s="715"/>
      <c r="R664" s="715" t="str">
        <f t="shared" si="125"/>
        <v/>
      </c>
      <c r="T664" s="783">
        <f t="shared" si="125"/>
        <v>16</v>
      </c>
    </row>
    <row r="665" spans="1:20" ht="12.75" hidden="1" customHeight="1" x14ac:dyDescent="0.2">
      <c r="A665" s="707"/>
      <c r="B665" s="2" t="str">
        <f>IF('[1]E-AV'!B33="","-",'[1]E-AV'!B33)</f>
        <v>Miststreuer</v>
      </c>
      <c r="C665" s="780" t="str">
        <f t="shared" si="126"/>
        <v>Bish. Nutzungsd.</v>
      </c>
      <c r="D665" s="714">
        <f>IF('[1]E-AV'!$G33="","",'[1]E-AV'!$G33)</f>
        <v>4</v>
      </c>
      <c r="E665" s="715"/>
      <c r="F665" s="715"/>
      <c r="H665" s="783">
        <f>IF(AV!$G33="","",AV!$G33)</f>
        <v>4</v>
      </c>
      <c r="I665" s="717" t="str">
        <f t="shared" si="127"/>
        <v>Richtig!</v>
      </c>
      <c r="J665" s="718" t="str">
        <f t="shared" si="128"/>
        <v>-</v>
      </c>
      <c r="K665" s="711" t="str">
        <f t="shared" si="119"/>
        <v/>
      </c>
      <c r="L665" s="712" t="str">
        <f t="shared" si="121"/>
        <v/>
      </c>
      <c r="N665" s="719"/>
      <c r="P665" s="714">
        <f t="shared" si="125"/>
        <v>4</v>
      </c>
      <c r="Q665" s="715"/>
      <c r="R665" s="715" t="str">
        <f t="shared" si="125"/>
        <v/>
      </c>
      <c r="T665" s="783">
        <f t="shared" si="125"/>
        <v>4</v>
      </c>
    </row>
    <row r="666" spans="1:20" ht="12.75" hidden="1" customHeight="1" x14ac:dyDescent="0.2">
      <c r="A666" s="707"/>
      <c r="B666" s="2" t="str">
        <f>IF('[1]E-AV'!B34="","-",'[1]E-AV'!B34)</f>
        <v>Kreiselzetter</v>
      </c>
      <c r="C666" s="780" t="str">
        <f t="shared" si="126"/>
        <v>Bish. Nutzungsd.</v>
      </c>
      <c r="D666" s="714">
        <f>IF('[1]E-AV'!$G34="","",'[1]E-AV'!$G34)</f>
        <v>12</v>
      </c>
      <c r="E666" s="715"/>
      <c r="F666" s="715"/>
      <c r="H666" s="783">
        <f>IF(AV!$G34="","",AV!$G34)</f>
        <v>12</v>
      </c>
      <c r="I666" s="717" t="str">
        <f t="shared" si="127"/>
        <v>Richtig!</v>
      </c>
      <c r="J666" s="718" t="str">
        <f t="shared" si="128"/>
        <v>-</v>
      </c>
      <c r="K666" s="711" t="str">
        <f t="shared" si="119"/>
        <v/>
      </c>
      <c r="L666" s="712" t="str">
        <f t="shared" si="121"/>
        <v/>
      </c>
      <c r="N666" s="719"/>
      <c r="P666" s="714">
        <f t="shared" si="125"/>
        <v>12</v>
      </c>
      <c r="Q666" s="715"/>
      <c r="R666" s="715" t="str">
        <f t="shared" si="125"/>
        <v/>
      </c>
      <c r="T666" s="783">
        <f t="shared" si="125"/>
        <v>12</v>
      </c>
    </row>
    <row r="667" spans="1:20" ht="12.75" hidden="1" customHeight="1" x14ac:dyDescent="0.2">
      <c r="A667" s="707"/>
      <c r="B667" s="2" t="str">
        <f>IF('[1]E-AV'!B35="","-",'[1]E-AV'!B35)</f>
        <v>PKW-Anhänger</v>
      </c>
      <c r="C667" s="780" t="str">
        <f t="shared" si="126"/>
        <v>Bish. Nutzungsd.</v>
      </c>
      <c r="D667" s="714">
        <f>IF('[1]E-AV'!$G35="","",'[1]E-AV'!$G35)</f>
        <v>13</v>
      </c>
      <c r="E667" s="715"/>
      <c r="F667" s="715"/>
      <c r="H667" s="783">
        <f>IF(AV!$G35="","",AV!$G35)</f>
        <v>13</v>
      </c>
      <c r="I667" s="717" t="str">
        <f t="shared" si="127"/>
        <v>Richtig!</v>
      </c>
      <c r="J667" s="718" t="str">
        <f t="shared" si="128"/>
        <v>-</v>
      </c>
      <c r="K667" s="711" t="str">
        <f t="shared" si="119"/>
        <v/>
      </c>
      <c r="L667" s="712" t="str">
        <f t="shared" si="121"/>
        <v/>
      </c>
      <c r="N667" s="719"/>
      <c r="P667" s="714">
        <f t="shared" si="125"/>
        <v>13</v>
      </c>
      <c r="Q667" s="715"/>
      <c r="R667" s="715" t="str">
        <f t="shared" si="125"/>
        <v/>
      </c>
      <c r="T667" s="783">
        <f t="shared" si="125"/>
        <v>13</v>
      </c>
    </row>
    <row r="668" spans="1:20" ht="12.75" hidden="1" customHeight="1" x14ac:dyDescent="0.2">
      <c r="A668" s="707"/>
      <c r="B668" s="2" t="str">
        <f>IF('[1]E-AV'!B36="","-",'[1]E-AV'!B36)</f>
        <v>Mähwerk</v>
      </c>
      <c r="C668" s="780" t="str">
        <f t="shared" si="126"/>
        <v>Bish. Nutzungsd.</v>
      </c>
      <c r="D668" s="714">
        <f>IF('[1]E-AV'!$G36="","",'[1]E-AV'!$G36)</f>
        <v>9</v>
      </c>
      <c r="E668" s="715"/>
      <c r="F668" s="715"/>
      <c r="H668" s="783">
        <f>IF(AV!$G36="","",AV!$G36)</f>
        <v>9</v>
      </c>
      <c r="I668" s="717" t="str">
        <f t="shared" si="127"/>
        <v>Richtig!</v>
      </c>
      <c r="J668" s="718" t="str">
        <f t="shared" si="128"/>
        <v>-</v>
      </c>
      <c r="K668" s="711" t="str">
        <f t="shared" si="119"/>
        <v/>
      </c>
      <c r="L668" s="712" t="str">
        <f t="shared" si="121"/>
        <v/>
      </c>
      <c r="N668" s="719"/>
      <c r="P668" s="714">
        <f t="shared" si="125"/>
        <v>9</v>
      </c>
      <c r="Q668" s="715"/>
      <c r="R668" s="715" t="str">
        <f t="shared" si="125"/>
        <v/>
      </c>
      <c r="T668" s="783">
        <f t="shared" si="125"/>
        <v>9</v>
      </c>
    </row>
    <row r="669" spans="1:20" ht="12.75" hidden="1" customHeight="1" x14ac:dyDescent="0.2">
      <c r="A669" s="707"/>
      <c r="B669" s="2" t="str">
        <f>IF('[1]E-AV'!B37="","-",'[1]E-AV'!B37)</f>
        <v>Motormäher</v>
      </c>
      <c r="C669" s="780" t="str">
        <f t="shared" si="126"/>
        <v>Bish. Nutzungsd.</v>
      </c>
      <c r="D669" s="714">
        <f>IF('[1]E-AV'!$G37="","",'[1]E-AV'!$G37)</f>
        <v>3</v>
      </c>
      <c r="E669" s="715"/>
      <c r="F669" s="715"/>
      <c r="H669" s="783">
        <f>IF(AV!$G37="","",AV!$G37)</f>
        <v>3</v>
      </c>
      <c r="I669" s="717" t="str">
        <f t="shared" si="127"/>
        <v>Richtig!</v>
      </c>
      <c r="J669" s="718" t="str">
        <f t="shared" si="128"/>
        <v>-</v>
      </c>
      <c r="K669" s="711" t="str">
        <f t="shared" si="119"/>
        <v/>
      </c>
      <c r="L669" s="712" t="str">
        <f t="shared" si="121"/>
        <v/>
      </c>
      <c r="N669" s="719"/>
      <c r="P669" s="714">
        <f t="shared" si="125"/>
        <v>3</v>
      </c>
      <c r="Q669" s="715"/>
      <c r="R669" s="715" t="str">
        <f t="shared" si="125"/>
        <v/>
      </c>
      <c r="T669" s="783">
        <f t="shared" si="125"/>
        <v>3</v>
      </c>
    </row>
    <row r="670" spans="1:20" ht="12.75" hidden="1" customHeight="1" x14ac:dyDescent="0.2">
      <c r="A670" s="707"/>
      <c r="B670" s="2" t="str">
        <f>IF('[1]E-AV'!B38="","-",'[1]E-AV'!B38)</f>
        <v>Frontlader</v>
      </c>
      <c r="C670" s="780" t="str">
        <f t="shared" si="126"/>
        <v>Bish. Nutzungsd.</v>
      </c>
      <c r="D670" s="714">
        <f>IF('[1]E-AV'!$G38="","",'[1]E-AV'!$G38)</f>
        <v>4</v>
      </c>
      <c r="E670" s="715"/>
      <c r="F670" s="715"/>
      <c r="H670" s="783">
        <f>IF(AV!$G38="","",AV!$G38)</f>
        <v>4</v>
      </c>
      <c r="I670" s="717" t="str">
        <f t="shared" si="127"/>
        <v>Richtig!</v>
      </c>
      <c r="J670" s="718" t="str">
        <f t="shared" si="128"/>
        <v>-</v>
      </c>
      <c r="K670" s="711" t="str">
        <f t="shared" si="119"/>
        <v/>
      </c>
      <c r="L670" s="712" t="str">
        <f t="shared" si="121"/>
        <v/>
      </c>
      <c r="N670" s="719"/>
      <c r="P670" s="714">
        <f t="shared" si="125"/>
        <v>4</v>
      </c>
      <c r="Q670" s="715"/>
      <c r="R670" s="715" t="str">
        <f t="shared" si="125"/>
        <v/>
      </c>
      <c r="T670" s="783">
        <f t="shared" si="125"/>
        <v>4</v>
      </c>
    </row>
    <row r="671" spans="1:20" ht="12.75" hidden="1" customHeight="1" x14ac:dyDescent="0.2">
      <c r="A671" s="707"/>
      <c r="B671" s="2" t="str">
        <f>IF('[1]E-AV'!B39="","-",'[1]E-AV'!B39)</f>
        <v>Ackerschleppe</v>
      </c>
      <c r="C671" s="780" t="str">
        <f t="shared" si="126"/>
        <v>Bish. Nutzungsd.</v>
      </c>
      <c r="D671" s="714">
        <f>IF('[1]E-AV'!$G39="","",'[1]E-AV'!$G39)</f>
        <v>8</v>
      </c>
      <c r="E671" s="715"/>
      <c r="F671" s="715"/>
      <c r="H671" s="783">
        <f>IF(AV!$G39="","",AV!$G39)</f>
        <v>8</v>
      </c>
      <c r="I671" s="717" t="str">
        <f t="shared" si="127"/>
        <v>Richtig!</v>
      </c>
      <c r="J671" s="718" t="str">
        <f t="shared" si="128"/>
        <v>-</v>
      </c>
      <c r="K671" s="711" t="str">
        <f t="shared" si="119"/>
        <v/>
      </c>
      <c r="L671" s="712" t="str">
        <f t="shared" ref="L671:L702" si="129">IF(OR(B671="-",N671="",AND(P671="",T671="")),"",1)</f>
        <v/>
      </c>
      <c r="N671" s="719"/>
      <c r="P671" s="714">
        <f t="shared" si="125"/>
        <v>8</v>
      </c>
      <c r="Q671" s="715"/>
      <c r="R671" s="715" t="str">
        <f t="shared" si="125"/>
        <v/>
      </c>
      <c r="T671" s="783">
        <f t="shared" si="125"/>
        <v>8</v>
      </c>
    </row>
    <row r="672" spans="1:20" ht="12.75" hidden="1" customHeight="1" x14ac:dyDescent="0.2">
      <c r="A672" s="707"/>
      <c r="B672" s="2" t="str">
        <f>IF('[1]E-AV'!B40="","-",'[1]E-AV'!B40)</f>
        <v>-</v>
      </c>
      <c r="C672" s="780" t="str">
        <f t="shared" si="126"/>
        <v>Bish. Nutzungsd.</v>
      </c>
      <c r="D672" s="714" t="str">
        <f>IF('[1]E-AV'!$G40="","",'[1]E-AV'!$G40)</f>
        <v/>
      </c>
      <c r="E672" s="715"/>
      <c r="F672" s="715"/>
      <c r="H672" s="783" t="str">
        <f>IF(AV!$G40="","",AV!$G40)</f>
        <v/>
      </c>
      <c r="I672" s="717" t="str">
        <f t="shared" si="127"/>
        <v/>
      </c>
      <c r="J672" s="718" t="str">
        <f t="shared" si="128"/>
        <v>-</v>
      </c>
      <c r="K672" s="711" t="str">
        <f t="shared" si="119"/>
        <v/>
      </c>
      <c r="L672" s="712" t="str">
        <f t="shared" si="129"/>
        <v/>
      </c>
      <c r="N672" s="719"/>
      <c r="P672" s="714" t="str">
        <f t="shared" si="125"/>
        <v/>
      </c>
      <c r="Q672" s="715"/>
      <c r="R672" s="715" t="str">
        <f t="shared" si="125"/>
        <v/>
      </c>
      <c r="T672" s="783" t="str">
        <f t="shared" si="125"/>
        <v/>
      </c>
    </row>
    <row r="673" spans="1:20" ht="12.75" x14ac:dyDescent="0.2">
      <c r="A673" s="707"/>
      <c r="B673" s="707"/>
      <c r="C673" s="707"/>
      <c r="D673" s="708"/>
      <c r="H673" s="706"/>
      <c r="I673" s="710"/>
      <c r="J673" s="710"/>
      <c r="K673" s="711"/>
      <c r="L673" s="712" t="str">
        <f t="shared" si="129"/>
        <v/>
      </c>
      <c r="N673" s="725" t="str">
        <f>IF($L$1="","",$L$1)</f>
        <v>x</v>
      </c>
      <c r="P673" s="708" t="str">
        <f t="shared" si="125"/>
        <v/>
      </c>
      <c r="R673" s="1" t="str">
        <f t="shared" si="125"/>
        <v/>
      </c>
      <c r="T673" s="706" t="str">
        <f t="shared" si="125"/>
        <v/>
      </c>
    </row>
    <row r="674" spans="1:20" ht="12.75" x14ac:dyDescent="0.2">
      <c r="A674" s="706" t="s">
        <v>368</v>
      </c>
      <c r="B674" s="706" t="s">
        <v>434</v>
      </c>
      <c r="C674" s="707"/>
      <c r="D674" s="708" t="str">
        <f>IF('[1]E-AV'!$G42="","",'[1]E-AV'!$G42)</f>
        <v/>
      </c>
      <c r="H674" s="706" t="str">
        <f>IF(AV!$G42="","",AV!$G42)</f>
        <v/>
      </c>
      <c r="I674" s="710" t="str">
        <f>IF(OR(B674="-",AND(P674="",T674="")),"",IF(T674=P674,"Richtig!",IF(T674="","Fehlt","Falsch")))</f>
        <v/>
      </c>
      <c r="J674" s="710"/>
      <c r="K674" s="711" t="str">
        <f t="shared" si="119"/>
        <v/>
      </c>
      <c r="L674" s="712" t="str">
        <f t="shared" si="129"/>
        <v/>
      </c>
      <c r="N674" s="695" t="str">
        <f>IF($L$1="","",$L$1)</f>
        <v>x</v>
      </c>
      <c r="P674" s="708" t="str">
        <f t="shared" si="125"/>
        <v/>
      </c>
      <c r="R674" s="1" t="str">
        <f t="shared" si="125"/>
        <v/>
      </c>
      <c r="T674" s="706" t="str">
        <f t="shared" si="125"/>
        <v/>
      </c>
    </row>
    <row r="675" spans="1:20" ht="12.75" customHeight="1" x14ac:dyDescent="0.2">
      <c r="B675" s="782" t="str">
        <f>IF('[1]E-AV'!B6="","-",'[1]E-AV'!B6)</f>
        <v>Grundverbesserungen</v>
      </c>
      <c r="C675" s="731"/>
      <c r="D675" s="708"/>
      <c r="H675" s="706"/>
      <c r="I675" s="717"/>
      <c r="J675" s="717"/>
      <c r="K675" s="711" t="str">
        <f t="shared" si="119"/>
        <v/>
      </c>
      <c r="L675" s="712" t="str">
        <f t="shared" si="129"/>
        <v/>
      </c>
      <c r="N675" s="695" t="str">
        <f>IF($L$1="","",$L$1)</f>
        <v>x</v>
      </c>
      <c r="P675" s="708" t="str">
        <f t="shared" si="125"/>
        <v/>
      </c>
      <c r="R675" s="1" t="str">
        <f t="shared" si="125"/>
        <v/>
      </c>
      <c r="T675" s="706" t="str">
        <f t="shared" si="125"/>
        <v/>
      </c>
    </row>
    <row r="676" spans="1:20" ht="12.75" hidden="1" customHeight="1" x14ac:dyDescent="0.2">
      <c r="A676" s="707"/>
      <c r="B676" s="2" t="str">
        <f>IF('[1]E-AV'!B7="","-",'[1]E-AV'!B7)</f>
        <v>Rohrdrainage</v>
      </c>
      <c r="C676" s="780" t="str">
        <f>MID($B$674,1,5)&amp;". "&amp;MID($B$674,9,7)&amp;"."</f>
        <v>Zeitw.  1. Jän.</v>
      </c>
      <c r="D676" s="720">
        <f>IF('[1]E-AV'!$H7="","",'[1]E-AV'!$H7)</f>
        <v>1</v>
      </c>
      <c r="E676" s="715"/>
      <c r="F676" s="721">
        <f>IF(OR(AV!I7="",AV!I7="noch leer",AV!G7="",AV!G7="noch leer"),"-",IF(AV!I7=0,1,AV!E7-AV!I7*AV!G7))</f>
        <v>1</v>
      </c>
      <c r="H676" s="784">
        <f>IF(AV!$H7="","",AV!$H7)</f>
        <v>1</v>
      </c>
      <c r="I676" s="717" t="str">
        <f>IF(B676="","",IF(T676=P676,"Richtig!",IF(AND(P676&lt;&gt;T676,R676=T676),"Formel: OK",IF(T676="","Fehlt","Falsch"))))</f>
        <v>Richtig!</v>
      </c>
      <c r="J676" s="718" t="str">
        <f>IF(OR(B676="-",N676="",AND(P676="",T676="")),"-",IF(I676="Richtig!",1,IF(I676="Formel: OK",0.5,IF(OR(I676="Falsch",I676="Fehlt"),0,""))))</f>
        <v>-</v>
      </c>
      <c r="K676" s="711" t="str">
        <f t="shared" si="119"/>
        <v/>
      </c>
      <c r="L676" s="712" t="str">
        <f t="shared" si="129"/>
        <v/>
      </c>
      <c r="N676" s="719"/>
      <c r="P676" s="720">
        <f t="shared" si="125"/>
        <v>1</v>
      </c>
      <c r="Q676" s="715"/>
      <c r="R676" s="721">
        <f t="shared" si="125"/>
        <v>1</v>
      </c>
      <c r="T676" s="784">
        <f t="shared" si="125"/>
        <v>1</v>
      </c>
    </row>
    <row r="677" spans="1:20" ht="12.75" hidden="1" customHeight="1" x14ac:dyDescent="0.2">
      <c r="A677" s="707"/>
      <c r="B677" s="2" t="str">
        <f>IF('[1]E-AV'!B8="","-",'[1]E-AV'!B8)</f>
        <v>-</v>
      </c>
      <c r="C677" s="780" t="str">
        <f>MID($B$674,1,5)&amp;". "&amp;MID($B$674,9,7)&amp;"."</f>
        <v>Zeitw.  1. Jän.</v>
      </c>
      <c r="D677" s="720" t="str">
        <f>IF('[1]E-AV'!$H8="","",'[1]E-AV'!$H8)</f>
        <v/>
      </c>
      <c r="E677" s="715"/>
      <c r="F677" s="721" t="str">
        <f>IF(OR(AV!I8="",AV!I8="noch leer",AV!G8="",AV!G8="noch leer"),"-",IF(AV!I8=0,1,AV!E8-AV!I8*AV!G8))</f>
        <v>-</v>
      </c>
      <c r="H677" s="784" t="str">
        <f>IF(AV!$H8="","",AV!$H8)</f>
        <v/>
      </c>
      <c r="I677" s="717" t="str">
        <f>IF(B677="","",IF(T677=P677,"Richtig!",IF(AND(P677&lt;&gt;T677,R677=T677),"Formel: OK",IF(T677="","Fehlt","Falsch"))))</f>
        <v>Richtig!</v>
      </c>
      <c r="J677" s="718" t="str">
        <f>IF(OR(B677="-",N677="",AND(P677="",T677="")),"-",IF(I677="Richtig!",1,IF(I677="Formel: OK",0.5,IF(OR(I677="Falsch",I677="Fehlt"),0,""))))</f>
        <v>-</v>
      </c>
      <c r="K677" s="711" t="str">
        <f t="shared" si="119"/>
        <v/>
      </c>
      <c r="L677" s="712" t="str">
        <f t="shared" si="129"/>
        <v/>
      </c>
      <c r="N677" s="719"/>
      <c r="P677" s="720" t="str">
        <f t="shared" si="125"/>
        <v/>
      </c>
      <c r="Q677" s="715"/>
      <c r="R677" s="721" t="str">
        <f t="shared" si="125"/>
        <v>-</v>
      </c>
      <c r="T677" s="784" t="str">
        <f t="shared" si="125"/>
        <v/>
      </c>
    </row>
    <row r="678" spans="1:20" ht="12.75" x14ac:dyDescent="0.2">
      <c r="A678" s="707"/>
      <c r="B678" s="779" t="str">
        <f>IF('[1]E-AV'!B9="","-",'[1]E-AV'!B9)</f>
        <v>Summe Grundverbesserungen</v>
      </c>
      <c r="C678" s="780" t="str">
        <f>MID($B$674,1,5)&amp;". "&amp;MID($B$674,9,7)&amp;"."</f>
        <v>Zeitw.  1. Jän.</v>
      </c>
      <c r="D678" s="720">
        <f>IF('[1]E-AV'!$H9="","",'[1]E-AV'!$H9)</f>
        <v>1</v>
      </c>
      <c r="E678" s="715"/>
      <c r="F678" s="721">
        <f>IF(AND(H676="",H677=""),"-",SUM(H676:H677))</f>
        <v>1</v>
      </c>
      <c r="H678" s="784">
        <f>IF(AV!$H9="","",AV!$H9)</f>
        <v>1</v>
      </c>
      <c r="I678" s="717" t="str">
        <f>IF(B678="","",IF(T678=P678,"Richtig!",IF(AND(P678&lt;&gt;T678,R678=T678),"Formel: OK",IF(T678="","Fehlt","Falsch"))))</f>
        <v>Richtig!</v>
      </c>
      <c r="J678" s="718">
        <f>IF(OR(B678="-",N678="",AND(P678="",T678="")),"-",IF(I678="Richtig!",1,IF(I678="Formel: OK",0.5,IF(OR(I678="Falsch",I678="Fehlt"),0,""))))</f>
        <v>1</v>
      </c>
      <c r="K678" s="711" t="str">
        <f t="shared" si="119"/>
        <v>│</v>
      </c>
      <c r="L678" s="712">
        <f t="shared" si="129"/>
        <v>1</v>
      </c>
      <c r="N678" s="719" t="str">
        <f>IF($L$1="","",$L$1)</f>
        <v>x</v>
      </c>
      <c r="P678" s="720">
        <f t="shared" si="125"/>
        <v>1</v>
      </c>
      <c r="Q678" s="715"/>
      <c r="R678" s="721">
        <f t="shared" si="125"/>
        <v>1</v>
      </c>
      <c r="T678" s="784">
        <f t="shared" si="125"/>
        <v>1</v>
      </c>
    </row>
    <row r="679" spans="1:20" ht="12.75" customHeight="1" x14ac:dyDescent="0.2">
      <c r="B679" s="782" t="str">
        <f>IF('[1]E-AV'!B10="","-",'[1]E-AV'!B10)</f>
        <v>Gebäude und bauliche Anlagen</v>
      </c>
      <c r="C679" s="780"/>
      <c r="D679" s="708"/>
      <c r="H679" s="706"/>
      <c r="I679" s="717"/>
      <c r="J679" s="717"/>
      <c r="K679" s="711" t="str">
        <f t="shared" si="119"/>
        <v/>
      </c>
      <c r="L679" s="712" t="str">
        <f t="shared" si="129"/>
        <v/>
      </c>
      <c r="N679" s="695" t="str">
        <f>IF($L$1="","",$L$1)</f>
        <v>x</v>
      </c>
      <c r="P679" s="708" t="str">
        <f t="shared" si="125"/>
        <v/>
      </c>
      <c r="R679" s="1" t="str">
        <f t="shared" si="125"/>
        <v/>
      </c>
      <c r="T679" s="706" t="str">
        <f t="shared" si="125"/>
        <v/>
      </c>
    </row>
    <row r="680" spans="1:20" ht="12.75" x14ac:dyDescent="0.2">
      <c r="A680" s="707"/>
      <c r="B680" s="2" t="str">
        <f>IF('[1]E-AV'!B11="","-",'[1]E-AV'!B11)</f>
        <v>Stadel</v>
      </c>
      <c r="C680" s="780" t="str">
        <f t="shared" ref="C680:C688" si="130">MID($B$674,1,5)&amp;". "&amp;MID($B$674,9,7)&amp;"."</f>
        <v>Zeitw.  1. Jän.</v>
      </c>
      <c r="D680" s="720">
        <f>IF('[1]E-AV'!$H11="","",'[1]E-AV'!$H11)</f>
        <v>7538.9023255813972</v>
      </c>
      <c r="E680" s="715"/>
      <c r="F680" s="721">
        <f>IF(OR(AV!I11="",AV!I11="noch leer",AV!G11="",AV!G11="noch leer"),"-",IF(AV!I11=0,1,AV!E11-AV!I11*AV!G11))</f>
        <v>7538.9023255813972</v>
      </c>
      <c r="H680" s="784">
        <f>IF(AV!$H11="","",AV!$H11)</f>
        <v>7538.9023255813972</v>
      </c>
      <c r="I680" s="717" t="str">
        <f t="shared" ref="I680:I688" si="131">IF(B680="","",IF(T680=P680,"Richtig!",IF(AND(P680&lt;&gt;T680,R680=T680),"Formel: OK",IF(T680="","Fehlt","Falsch"))))</f>
        <v>Richtig!</v>
      </c>
      <c r="J680" s="718">
        <f t="shared" ref="J680:J688" si="132">IF(OR(B680="-",N680="",AND(P680="",T680="")),"-",IF(I680="Richtig!",1,IF(I680="Formel: OK",0.5,IF(OR(I680="Falsch",I680="Fehlt"),0,""))))</f>
        <v>1</v>
      </c>
      <c r="K680" s="711" t="str">
        <f t="shared" si="119"/>
        <v>│</v>
      </c>
      <c r="L680" s="712">
        <f t="shared" si="129"/>
        <v>1</v>
      </c>
      <c r="N680" s="719" t="str">
        <f>IF($L$1="","",$L$1)</f>
        <v>x</v>
      </c>
      <c r="P680" s="720">
        <f t="shared" si="125"/>
        <v>7538.9023299999999</v>
      </c>
      <c r="Q680" s="715"/>
      <c r="R680" s="721">
        <f t="shared" si="125"/>
        <v>7538.9023299999999</v>
      </c>
      <c r="T680" s="784">
        <f t="shared" si="125"/>
        <v>7538.9023299999999</v>
      </c>
    </row>
    <row r="681" spans="1:20" ht="12.75" x14ac:dyDescent="0.2">
      <c r="A681" s="707"/>
      <c r="B681" s="2" t="str">
        <f>IF('[1]E-AV'!B12="","-",'[1]E-AV'!B12)</f>
        <v>Rinderstall (Warmstall)</v>
      </c>
      <c r="C681" s="780" t="str">
        <f t="shared" si="130"/>
        <v>Zeitw.  1. Jän.</v>
      </c>
      <c r="D681" s="720">
        <f>IF('[1]E-AV'!$H12="","",'[1]E-AV'!$H12)</f>
        <v>58639.479069767447</v>
      </c>
      <c r="E681" s="715"/>
      <c r="F681" s="721">
        <f>IF(OR(AV!I12="",AV!I12="noch leer",AV!G12="",AV!G12="noch leer"),"-",IF(AV!I12=0,1,AV!E12-AV!I12*AV!G12))</f>
        <v>58639.479069767447</v>
      </c>
      <c r="H681" s="784">
        <f>IF(AV!$H12="","",AV!$H12)</f>
        <v>58639.479069767447</v>
      </c>
      <c r="I681" s="717" t="str">
        <f t="shared" si="131"/>
        <v>Richtig!</v>
      </c>
      <c r="J681" s="718">
        <f t="shared" si="132"/>
        <v>1</v>
      </c>
      <c r="K681" s="711" t="str">
        <f t="shared" si="119"/>
        <v>│</v>
      </c>
      <c r="L681" s="712">
        <f t="shared" si="129"/>
        <v>1</v>
      </c>
      <c r="N681" s="719" t="str">
        <f>IF($L$1="","",$L$1)</f>
        <v>x</v>
      </c>
      <c r="P681" s="720">
        <f t="shared" si="125"/>
        <v>58639.479070000001</v>
      </c>
      <c r="Q681" s="715"/>
      <c r="R681" s="721">
        <f t="shared" si="125"/>
        <v>58639.479070000001</v>
      </c>
      <c r="T681" s="784">
        <f t="shared" si="125"/>
        <v>58639.479070000001</v>
      </c>
    </row>
    <row r="682" spans="1:20" ht="12.75" hidden="1" customHeight="1" x14ac:dyDescent="0.2">
      <c r="A682" s="707"/>
      <c r="B682" s="2" t="str">
        <f>IF('[1]E-AV'!B13="","-",'[1]E-AV'!B13)</f>
        <v>Verarbeitungsraum</v>
      </c>
      <c r="C682" s="780" t="str">
        <f t="shared" si="130"/>
        <v>Zeitw.  1. Jän.</v>
      </c>
      <c r="D682" s="720">
        <f>IF('[1]E-AV'!$H13="","",'[1]E-AV'!$H13)</f>
        <v>2945</v>
      </c>
      <c r="E682" s="715"/>
      <c r="F682" s="721">
        <f>IF(OR(AV!I13="",AV!I13="noch leer",AV!G13="",AV!G13="noch leer"),"-",IF(AV!I13=0,1,AV!E13-AV!I13*AV!G13))</f>
        <v>2945</v>
      </c>
      <c r="H682" s="784">
        <f>IF(AV!$H13="","",AV!$H13)</f>
        <v>2945</v>
      </c>
      <c r="I682" s="717" t="str">
        <f t="shared" si="131"/>
        <v>Richtig!</v>
      </c>
      <c r="J682" s="718" t="str">
        <f t="shared" si="132"/>
        <v>-</v>
      </c>
      <c r="K682" s="711" t="str">
        <f t="shared" si="119"/>
        <v/>
      </c>
      <c r="L682" s="712" t="str">
        <f t="shared" si="129"/>
        <v/>
      </c>
      <c r="N682" s="719"/>
      <c r="P682" s="720">
        <f t="shared" si="125"/>
        <v>2945</v>
      </c>
      <c r="Q682" s="715"/>
      <c r="R682" s="721">
        <f t="shared" si="125"/>
        <v>2945</v>
      </c>
      <c r="T682" s="784">
        <f t="shared" si="125"/>
        <v>2945</v>
      </c>
    </row>
    <row r="683" spans="1:20" ht="12.75" hidden="1" customHeight="1" x14ac:dyDescent="0.2">
      <c r="A683" s="707"/>
      <c r="B683" s="2" t="str">
        <f>IF('[1]E-AV'!B14="","-",'[1]E-AV'!B14)</f>
        <v>Maschinenschuppen</v>
      </c>
      <c r="C683" s="780" t="str">
        <f t="shared" si="130"/>
        <v>Zeitw.  1. Jän.</v>
      </c>
      <c r="D683" s="720">
        <f>IF('[1]E-AV'!$H14="","",'[1]E-AV'!$H14)</f>
        <v>2591.6</v>
      </c>
      <c r="E683" s="715"/>
      <c r="F683" s="721">
        <f>IF(OR(AV!I14="",AV!I14="noch leer",AV!G14="",AV!G14="noch leer"),"-",IF(AV!I14=0,1,AV!E14-AV!I14*AV!G14))</f>
        <v>2591.6</v>
      </c>
      <c r="H683" s="784">
        <f>IF(AV!$H14="","",AV!$H14)</f>
        <v>2591.6</v>
      </c>
      <c r="I683" s="717" t="str">
        <f t="shared" si="131"/>
        <v>Richtig!</v>
      </c>
      <c r="J683" s="718" t="str">
        <f t="shared" si="132"/>
        <v>-</v>
      </c>
      <c r="K683" s="711" t="str">
        <f t="shared" si="119"/>
        <v/>
      </c>
      <c r="L683" s="712" t="str">
        <f t="shared" si="129"/>
        <v/>
      </c>
      <c r="N683" s="719"/>
      <c r="P683" s="720">
        <f t="shared" si="125"/>
        <v>2591.6</v>
      </c>
      <c r="Q683" s="715"/>
      <c r="R683" s="721">
        <f t="shared" si="125"/>
        <v>2591.6</v>
      </c>
      <c r="T683" s="784">
        <f t="shared" si="125"/>
        <v>2591.6</v>
      </c>
    </row>
    <row r="684" spans="1:20" ht="12.75" hidden="1" customHeight="1" x14ac:dyDescent="0.2">
      <c r="A684" s="707"/>
      <c r="B684" s="2" t="str">
        <f>IF('[1]E-AV'!B15="","-",'[1]E-AV'!B15)</f>
        <v>Garage mit Lagerraum</v>
      </c>
      <c r="C684" s="780" t="str">
        <f t="shared" si="130"/>
        <v>Zeitw.  1. Jän.</v>
      </c>
      <c r="D684" s="720">
        <f>IF('[1]E-AV'!$H15="","",'[1]E-AV'!$H15)</f>
        <v>2343.3333333333321</v>
      </c>
      <c r="E684" s="715"/>
      <c r="F684" s="721">
        <f>IF(OR(AV!I15="",AV!I15="noch leer",AV!G15="",AV!G15="noch leer"),"-",IF(AV!I15=0,1,AV!E15-AV!I15*AV!G15))</f>
        <v>2343.3333333333321</v>
      </c>
      <c r="H684" s="784">
        <f>IF(AV!$H15="","",AV!$H15)</f>
        <v>2343.3333333333321</v>
      </c>
      <c r="I684" s="717" t="str">
        <f t="shared" si="131"/>
        <v>Richtig!</v>
      </c>
      <c r="J684" s="718" t="str">
        <f t="shared" si="132"/>
        <v>-</v>
      </c>
      <c r="K684" s="711" t="str">
        <f t="shared" si="119"/>
        <v/>
      </c>
      <c r="L684" s="712" t="str">
        <f t="shared" si="129"/>
        <v/>
      </c>
      <c r="N684" s="719"/>
      <c r="P684" s="720">
        <f t="shared" si="125"/>
        <v>2343.3333299999999</v>
      </c>
      <c r="Q684" s="715"/>
      <c r="R684" s="721">
        <f t="shared" si="125"/>
        <v>2343.3333299999999</v>
      </c>
      <c r="T684" s="784">
        <f t="shared" si="125"/>
        <v>2343.3333299999999</v>
      </c>
    </row>
    <row r="685" spans="1:20" ht="12.75" hidden="1" customHeight="1" x14ac:dyDescent="0.2">
      <c r="A685" s="707"/>
      <c r="B685" s="2" t="str">
        <f>IF('[1]E-AV'!B16="","-",'[1]E-AV'!B16)</f>
        <v>-</v>
      </c>
      <c r="C685" s="780" t="str">
        <f t="shared" si="130"/>
        <v>Zeitw.  1. Jän.</v>
      </c>
      <c r="D685" s="720" t="str">
        <f>IF('[1]E-AV'!$H16="","",'[1]E-AV'!$H16)</f>
        <v/>
      </c>
      <c r="E685" s="715"/>
      <c r="F685" s="721" t="str">
        <f>IF(OR(AV!I16="",AV!I16="noch leer",AV!G16="",AV!G16="noch leer"),"-",IF(AV!I16=0,1,AV!E16-AV!I16*AV!G16))</f>
        <v>-</v>
      </c>
      <c r="H685" s="784" t="str">
        <f>IF(AV!$H16="","",AV!$H16)</f>
        <v/>
      </c>
      <c r="I685" s="717" t="str">
        <f t="shared" si="131"/>
        <v>Richtig!</v>
      </c>
      <c r="J685" s="718" t="str">
        <f t="shared" si="132"/>
        <v>-</v>
      </c>
      <c r="K685" s="711" t="str">
        <f t="shared" si="119"/>
        <v/>
      </c>
      <c r="L685" s="712" t="str">
        <f t="shared" si="129"/>
        <v/>
      </c>
      <c r="N685" s="719"/>
      <c r="P685" s="720" t="str">
        <f t="shared" si="125"/>
        <v/>
      </c>
      <c r="Q685" s="715"/>
      <c r="R685" s="721" t="str">
        <f t="shared" si="125"/>
        <v>-</v>
      </c>
      <c r="T685" s="784" t="str">
        <f t="shared" si="125"/>
        <v/>
      </c>
    </row>
    <row r="686" spans="1:20" ht="12.75" hidden="1" customHeight="1" x14ac:dyDescent="0.2">
      <c r="A686" s="707"/>
      <c r="B686" s="2" t="str">
        <f>IF('[1]E-AV'!B17="","-",'[1]E-AV'!B17)</f>
        <v>-</v>
      </c>
      <c r="C686" s="780" t="str">
        <f t="shared" si="130"/>
        <v>Zeitw.  1. Jän.</v>
      </c>
      <c r="D686" s="720" t="str">
        <f>IF('[1]E-AV'!$H17="","",'[1]E-AV'!$H17)</f>
        <v/>
      </c>
      <c r="E686" s="715"/>
      <c r="F686" s="721" t="str">
        <f>IF(OR(AV!I17="",AV!I17="noch leer",AV!G17="",AV!G17="noch leer"),"-",IF(AV!I17=0,1,AV!E17-AV!I17*AV!G17))</f>
        <v>-</v>
      </c>
      <c r="H686" s="784" t="str">
        <f>IF(AV!$H17="","",AV!$H17)</f>
        <v/>
      </c>
      <c r="I686" s="717" t="str">
        <f t="shared" si="131"/>
        <v>Richtig!</v>
      </c>
      <c r="J686" s="718" t="str">
        <f t="shared" si="132"/>
        <v>-</v>
      </c>
      <c r="K686" s="711" t="str">
        <f t="shared" si="119"/>
        <v/>
      </c>
      <c r="L686" s="712" t="str">
        <f t="shared" si="129"/>
        <v/>
      </c>
      <c r="N686" s="719"/>
      <c r="P686" s="720" t="str">
        <f t="shared" si="125"/>
        <v/>
      </c>
      <c r="Q686" s="715"/>
      <c r="R686" s="721" t="str">
        <f t="shared" si="125"/>
        <v>-</v>
      </c>
      <c r="T686" s="784" t="str">
        <f t="shared" si="125"/>
        <v/>
      </c>
    </row>
    <row r="687" spans="1:20" ht="12.75" hidden="1" customHeight="1" x14ac:dyDescent="0.2">
      <c r="A687" s="707"/>
      <c r="B687" s="2" t="str">
        <f>IF('[1]E-AV'!B18="","-",'[1]E-AV'!B18)</f>
        <v>-</v>
      </c>
      <c r="C687" s="780" t="str">
        <f t="shared" si="130"/>
        <v>Zeitw.  1. Jän.</v>
      </c>
      <c r="D687" s="720" t="str">
        <f>IF('[1]E-AV'!$H18="","",'[1]E-AV'!$H18)</f>
        <v/>
      </c>
      <c r="E687" s="715"/>
      <c r="F687" s="721" t="str">
        <f>IF(OR(AV!I18="",AV!I18="noch leer",AV!G18="",AV!G18="noch leer"),"-",IF(AV!I18=0,1,AV!E18-AV!I18*AV!G18))</f>
        <v>-</v>
      </c>
      <c r="H687" s="784" t="str">
        <f>IF(AV!$H18="","",AV!$H18)</f>
        <v/>
      </c>
      <c r="I687" s="717" t="str">
        <f t="shared" si="131"/>
        <v>Richtig!</v>
      </c>
      <c r="J687" s="718" t="str">
        <f t="shared" si="132"/>
        <v>-</v>
      </c>
      <c r="K687" s="711" t="str">
        <f t="shared" si="119"/>
        <v/>
      </c>
      <c r="L687" s="712" t="str">
        <f t="shared" si="129"/>
        <v/>
      </c>
      <c r="N687" s="719"/>
      <c r="P687" s="720" t="str">
        <f t="shared" si="125"/>
        <v/>
      </c>
      <c r="Q687" s="715"/>
      <c r="R687" s="721" t="str">
        <f t="shared" si="125"/>
        <v>-</v>
      </c>
      <c r="T687" s="784" t="str">
        <f t="shared" si="125"/>
        <v/>
      </c>
    </row>
    <row r="688" spans="1:20" ht="12.75" x14ac:dyDescent="0.2">
      <c r="A688" s="707"/>
      <c r="B688" s="779" t="str">
        <f>IF('[1]E-AV'!B19="","-",'[1]E-AV'!B19)</f>
        <v>Summe Gebäude und bauliche Anlagen</v>
      </c>
      <c r="C688" s="780" t="str">
        <f t="shared" si="130"/>
        <v>Zeitw.  1. Jän.</v>
      </c>
      <c r="D688" s="720">
        <f>IF('[1]E-AV'!$H19="","",'[1]E-AV'!$H19)</f>
        <v>74058.314728682177</v>
      </c>
      <c r="E688" s="715"/>
      <c r="F688" s="721">
        <f>IF(AND(H680="",H681="",H682="",H683="",H684="",H685="",H686="",H687=""),"-",SUM(H680:H687))</f>
        <v>74058.314728682177</v>
      </c>
      <c r="H688" s="784">
        <f>IF(AV!$H19="","",AV!$H19)</f>
        <v>74058.314728682177</v>
      </c>
      <c r="I688" s="717" t="str">
        <f t="shared" si="131"/>
        <v>Richtig!</v>
      </c>
      <c r="J688" s="718">
        <f t="shared" si="132"/>
        <v>1</v>
      </c>
      <c r="K688" s="711" t="str">
        <f t="shared" si="119"/>
        <v>│</v>
      </c>
      <c r="L688" s="712">
        <f t="shared" si="129"/>
        <v>1</v>
      </c>
      <c r="N688" s="719" t="str">
        <f>IF($L$1="","",$L$1)</f>
        <v>x</v>
      </c>
      <c r="P688" s="720">
        <f t="shared" si="125"/>
        <v>74058.314729999998</v>
      </c>
      <c r="Q688" s="715"/>
      <c r="R688" s="721">
        <f t="shared" si="125"/>
        <v>74058.314729999998</v>
      </c>
      <c r="T688" s="784">
        <f t="shared" si="125"/>
        <v>74058.314729999998</v>
      </c>
    </row>
    <row r="689" spans="1:20" ht="12.75" customHeight="1" x14ac:dyDescent="0.2">
      <c r="B689" s="782" t="str">
        <f>IF('[1]E-AV'!B20="","-",'[1]E-AV'!B20)</f>
        <v>Maschinen und Geräte</v>
      </c>
      <c r="C689" s="780"/>
      <c r="D689" s="708"/>
      <c r="H689" s="706"/>
      <c r="I689" s="717"/>
      <c r="J689" s="717"/>
      <c r="K689" s="711" t="str">
        <f t="shared" si="119"/>
        <v/>
      </c>
      <c r="L689" s="712" t="str">
        <f t="shared" si="129"/>
        <v/>
      </c>
      <c r="N689" s="695" t="str">
        <f>IF($L$1="","",$L$1)</f>
        <v>x</v>
      </c>
      <c r="P689" s="708" t="str">
        <f t="shared" si="125"/>
        <v/>
      </c>
      <c r="R689" s="1" t="str">
        <f t="shared" si="125"/>
        <v/>
      </c>
      <c r="T689" s="706" t="str">
        <f t="shared" si="125"/>
        <v/>
      </c>
    </row>
    <row r="690" spans="1:20" ht="12.75" hidden="1" customHeight="1" x14ac:dyDescent="0.2">
      <c r="A690" s="707"/>
      <c r="B690" s="2" t="str">
        <f>IF('[1]E-AV'!B21="","-",'[1]E-AV'!B21)</f>
        <v>Allradtraktor</v>
      </c>
      <c r="C690" s="780" t="str">
        <f t="shared" ref="C690:C710" si="133">MID($B$674,1,5)&amp;". "&amp;MID($B$674,9,7)&amp;"."</f>
        <v>Zeitw.  1. Jän.</v>
      </c>
      <c r="D690" s="720">
        <f>IF('[1]E-AV'!$H21="","",'[1]E-AV'!$H21)</f>
        <v>6639.375</v>
      </c>
      <c r="E690" s="715"/>
      <c r="F690" s="721">
        <f>IF(OR(AV!I21="",AV!I21="noch leer",AV!G21="",AV!G21="noch leer"),"-",IF(AV!I21=0,1,AV!E21-AV!I21*AV!G21))</f>
        <v>6639.375</v>
      </c>
      <c r="H690" s="784">
        <f>IF(AV!$H21="","",AV!$H21)</f>
        <v>6639.375</v>
      </c>
      <c r="I690" s="717" t="str">
        <f t="shared" ref="I690:I710" si="134">IF(B690="","",IF(T690=P690,"Richtig!",IF(AND(P690&lt;&gt;T690,R690=T690),"Formel: OK",IF(T690="","Fehlt","Falsch"))))</f>
        <v>Richtig!</v>
      </c>
      <c r="J690" s="718" t="str">
        <f t="shared" ref="J690:J710" si="135">IF(OR(B690="-",N690="",AND(P690="",T690="")),"-",IF(I690="Richtig!",1,IF(I690="Formel: OK",0.5,IF(OR(I690="Falsch",I690="Fehlt"),0,""))))</f>
        <v>-</v>
      </c>
      <c r="K690" s="711" t="str">
        <f t="shared" si="119"/>
        <v/>
      </c>
      <c r="L690" s="712" t="str">
        <f t="shared" si="129"/>
        <v/>
      </c>
      <c r="N690" s="719"/>
      <c r="P690" s="720">
        <f t="shared" si="125"/>
        <v>6639.375</v>
      </c>
      <c r="Q690" s="715"/>
      <c r="R690" s="721">
        <f t="shared" si="125"/>
        <v>6639.375</v>
      </c>
      <c r="T690" s="784">
        <f t="shared" si="125"/>
        <v>6639.375</v>
      </c>
    </row>
    <row r="691" spans="1:20" ht="12.75" hidden="1" customHeight="1" x14ac:dyDescent="0.2">
      <c r="A691" s="707"/>
      <c r="B691" s="2" t="str">
        <f>IF('[1]E-AV'!B22="","-",'[1]E-AV'!B22)</f>
        <v>-</v>
      </c>
      <c r="C691" s="780" t="str">
        <f t="shared" si="133"/>
        <v>Zeitw.  1. Jän.</v>
      </c>
      <c r="D691" s="720" t="str">
        <f>IF('[1]E-AV'!$H22="","",'[1]E-AV'!$H22)</f>
        <v/>
      </c>
      <c r="E691" s="715"/>
      <c r="F691" s="721" t="str">
        <f>IF(OR(AV!I22="",AV!I22="noch leer",AV!G22="",AV!G22="noch leer"),"-",IF(AV!I22=0,1,AV!E22-AV!I22*AV!G22))</f>
        <v>-</v>
      </c>
      <c r="H691" s="784" t="str">
        <f>IF(AV!$H22="","",AV!$H22)</f>
        <v/>
      </c>
      <c r="I691" s="717" t="str">
        <f t="shared" si="134"/>
        <v>Richtig!</v>
      </c>
      <c r="J691" s="718" t="str">
        <f t="shared" si="135"/>
        <v>-</v>
      </c>
      <c r="K691" s="711" t="str">
        <f t="shared" si="119"/>
        <v/>
      </c>
      <c r="L691" s="712" t="str">
        <f t="shared" si="129"/>
        <v/>
      </c>
      <c r="N691" s="719"/>
      <c r="P691" s="720" t="str">
        <f t="shared" si="125"/>
        <v/>
      </c>
      <c r="Q691" s="715"/>
      <c r="R691" s="721" t="str">
        <f t="shared" si="125"/>
        <v>-</v>
      </c>
      <c r="T691" s="784" t="str">
        <f t="shared" si="125"/>
        <v/>
      </c>
    </row>
    <row r="692" spans="1:20" ht="12.75" hidden="1" customHeight="1" x14ac:dyDescent="0.2">
      <c r="A692" s="707"/>
      <c r="B692" s="2" t="str">
        <f>IF('[1]E-AV'!B23="","-",'[1]E-AV'!B23)</f>
        <v>-</v>
      </c>
      <c r="C692" s="780" t="str">
        <f t="shared" si="133"/>
        <v>Zeitw.  1. Jän.</v>
      </c>
      <c r="D692" s="720" t="str">
        <f>IF('[1]E-AV'!$H23="","",'[1]E-AV'!$H23)</f>
        <v/>
      </c>
      <c r="E692" s="715"/>
      <c r="F692" s="721" t="str">
        <f>IF(OR(AV!I23="",AV!I23="noch leer",AV!G23="",AV!G23="noch leer"),"-",IF(AV!I23=0,1,AV!E23-AV!I23*AV!G23))</f>
        <v>-</v>
      </c>
      <c r="H692" s="784" t="str">
        <f>IF(AV!$H23="","",AV!$H23)</f>
        <v/>
      </c>
      <c r="I692" s="717" t="str">
        <f t="shared" si="134"/>
        <v>Richtig!</v>
      </c>
      <c r="J692" s="718" t="str">
        <f t="shared" si="135"/>
        <v>-</v>
      </c>
      <c r="K692" s="711" t="str">
        <f t="shared" si="119"/>
        <v/>
      </c>
      <c r="L692" s="712" t="str">
        <f t="shared" si="129"/>
        <v/>
      </c>
      <c r="N692" s="719"/>
      <c r="P692" s="720" t="str">
        <f t="shared" si="125"/>
        <v/>
      </c>
      <c r="Q692" s="715"/>
      <c r="R692" s="721" t="str">
        <f t="shared" si="125"/>
        <v>-</v>
      </c>
      <c r="T692" s="784" t="str">
        <f t="shared" si="125"/>
        <v/>
      </c>
    </row>
    <row r="693" spans="1:20" ht="12.75" hidden="1" customHeight="1" x14ac:dyDescent="0.2">
      <c r="A693" s="707"/>
      <c r="B693" s="2" t="str">
        <f>IF('[1]E-AV'!B24="","-",'[1]E-AV'!B24)</f>
        <v>Motorsäge</v>
      </c>
      <c r="C693" s="780" t="str">
        <f t="shared" si="133"/>
        <v>Zeitw.  1. Jän.</v>
      </c>
      <c r="D693" s="720">
        <f>IF('[1]E-AV'!$H24="","",'[1]E-AV'!$H24)</f>
        <v>1</v>
      </c>
      <c r="E693" s="715"/>
      <c r="F693" s="721">
        <f>IF(OR(AV!I24="",AV!I24="noch leer",AV!G24="",AV!G24="noch leer"),"-",IF(AV!I24=0,1,AV!E24-AV!I24*AV!G24))</f>
        <v>1</v>
      </c>
      <c r="H693" s="784">
        <f>IF(AV!$H24="","",AV!$H24)</f>
        <v>1</v>
      </c>
      <c r="I693" s="717" t="str">
        <f t="shared" si="134"/>
        <v>Richtig!</v>
      </c>
      <c r="J693" s="718" t="str">
        <f t="shared" si="135"/>
        <v>-</v>
      </c>
      <c r="K693" s="711" t="str">
        <f t="shared" si="119"/>
        <v/>
      </c>
      <c r="L693" s="712" t="str">
        <f t="shared" si="129"/>
        <v/>
      </c>
      <c r="N693" s="719"/>
      <c r="P693" s="720">
        <f t="shared" si="125"/>
        <v>1</v>
      </c>
      <c r="Q693" s="715"/>
      <c r="R693" s="721">
        <f t="shared" si="125"/>
        <v>1</v>
      </c>
      <c r="T693" s="784">
        <f t="shared" si="125"/>
        <v>1</v>
      </c>
    </row>
    <row r="694" spans="1:20" ht="12.75" hidden="1" customHeight="1" x14ac:dyDescent="0.2">
      <c r="A694" s="707"/>
      <c r="B694" s="2" t="str">
        <f>IF('[1]E-AV'!B25="","-",'[1]E-AV'!B25)</f>
        <v>Pflug</v>
      </c>
      <c r="C694" s="780" t="str">
        <f t="shared" si="133"/>
        <v>Zeitw.  1. Jän.</v>
      </c>
      <c r="D694" s="720">
        <f>IF('[1]E-AV'!$H25="","",'[1]E-AV'!$H25)</f>
        <v>1160.3571428571429</v>
      </c>
      <c r="E694" s="715"/>
      <c r="F694" s="721">
        <f>IF(OR(AV!I25="",AV!I25="noch leer",AV!G25="",AV!G25="noch leer"),"-",IF(AV!I25=0,1,AV!E25-AV!I25*AV!G25))</f>
        <v>1160.3571428571429</v>
      </c>
      <c r="H694" s="784">
        <f>IF(AV!$H25="","",AV!$H25)</f>
        <v>1160.3571428571429</v>
      </c>
      <c r="I694" s="717" t="str">
        <f t="shared" si="134"/>
        <v>Richtig!</v>
      </c>
      <c r="J694" s="718" t="str">
        <f t="shared" si="135"/>
        <v>-</v>
      </c>
      <c r="K694" s="711" t="str">
        <f t="shared" ref="K694:K758" si="136">IF(L694="","","│")</f>
        <v/>
      </c>
      <c r="L694" s="712" t="str">
        <f t="shared" si="129"/>
        <v/>
      </c>
      <c r="N694" s="719"/>
      <c r="P694" s="720">
        <f t="shared" si="125"/>
        <v>1160.3571400000001</v>
      </c>
      <c r="Q694" s="715"/>
      <c r="R694" s="721">
        <f t="shared" si="125"/>
        <v>1160.3571400000001</v>
      </c>
      <c r="T694" s="784">
        <f t="shared" si="125"/>
        <v>1160.3571400000001</v>
      </c>
    </row>
    <row r="695" spans="1:20" ht="12.75" hidden="1" customHeight="1" x14ac:dyDescent="0.2">
      <c r="A695" s="707"/>
      <c r="B695" s="2" t="str">
        <f>IF('[1]E-AV'!B26="","-",'[1]E-AV'!B26)</f>
        <v>Ladewagen</v>
      </c>
      <c r="C695" s="780" t="str">
        <f t="shared" si="133"/>
        <v>Zeitw.  1. Jän.</v>
      </c>
      <c r="D695" s="720">
        <f>IF('[1]E-AV'!$H26="","",'[1]E-AV'!$H26)</f>
        <v>2674.4375</v>
      </c>
      <c r="E695" s="715"/>
      <c r="F695" s="721">
        <f>IF(OR(AV!I26="",AV!I26="noch leer",AV!G26="",AV!G26="noch leer"),"-",IF(AV!I26=0,1,AV!E26-AV!I26*AV!G26))</f>
        <v>2674.4375</v>
      </c>
      <c r="H695" s="784">
        <f>IF(AV!$H26="","",AV!$H26)</f>
        <v>2674.4375</v>
      </c>
      <c r="I695" s="717" t="str">
        <f t="shared" si="134"/>
        <v>Richtig!</v>
      </c>
      <c r="J695" s="718" t="str">
        <f t="shared" si="135"/>
        <v>-</v>
      </c>
      <c r="K695" s="711" t="str">
        <f t="shared" si="136"/>
        <v/>
      </c>
      <c r="L695" s="712" t="str">
        <f t="shared" si="129"/>
        <v/>
      </c>
      <c r="N695" s="719"/>
      <c r="P695" s="720">
        <f t="shared" si="125"/>
        <v>2674.4375</v>
      </c>
      <c r="Q695" s="715"/>
      <c r="R695" s="721">
        <f t="shared" si="125"/>
        <v>2674.4375</v>
      </c>
      <c r="T695" s="784">
        <f t="shared" si="125"/>
        <v>2674.4375</v>
      </c>
    </row>
    <row r="696" spans="1:20" ht="12.75" hidden="1" customHeight="1" x14ac:dyDescent="0.2">
      <c r="A696" s="707"/>
      <c r="B696" s="2" t="str">
        <f>IF('[1]E-AV'!B27="","-",'[1]E-AV'!B27)</f>
        <v>Heuraupe</v>
      </c>
      <c r="C696" s="780" t="str">
        <f t="shared" si="133"/>
        <v>Zeitw.  1. Jän.</v>
      </c>
      <c r="D696" s="720">
        <f>IF('[1]E-AV'!$H27="","",'[1]E-AV'!$H27)</f>
        <v>166.25</v>
      </c>
      <c r="E696" s="715"/>
      <c r="F696" s="721">
        <f>IF(OR(AV!I27="",AV!I27="noch leer",AV!G27="",AV!G27="noch leer"),"-",IF(AV!I27=0,1,AV!E27-AV!I27*AV!G27))</f>
        <v>166.25</v>
      </c>
      <c r="H696" s="784">
        <f>IF(AV!$H27="","",AV!$H27)</f>
        <v>166.25</v>
      </c>
      <c r="I696" s="717" t="str">
        <f t="shared" si="134"/>
        <v>Richtig!</v>
      </c>
      <c r="J696" s="718" t="str">
        <f t="shared" si="135"/>
        <v>-</v>
      </c>
      <c r="K696" s="711" t="str">
        <f t="shared" si="136"/>
        <v/>
      </c>
      <c r="L696" s="712" t="str">
        <f t="shared" si="129"/>
        <v/>
      </c>
      <c r="N696" s="719"/>
      <c r="P696" s="720">
        <f t="shared" si="125"/>
        <v>166.25</v>
      </c>
      <c r="Q696" s="715"/>
      <c r="R696" s="721">
        <f t="shared" si="125"/>
        <v>166.25</v>
      </c>
      <c r="T696" s="784">
        <f t="shared" si="125"/>
        <v>166.25</v>
      </c>
    </row>
    <row r="697" spans="1:20" ht="12.75" x14ac:dyDescent="0.2">
      <c r="A697" s="707"/>
      <c r="B697" s="2" t="str">
        <f>IF('[1]E-AV'!B28="","-",'[1]E-AV'!B28)</f>
        <v>Melkmaschine</v>
      </c>
      <c r="C697" s="780" t="str">
        <f t="shared" si="133"/>
        <v>Zeitw.  1. Jän.</v>
      </c>
      <c r="D697" s="720">
        <f>IF('[1]E-AV'!$H28="","",'[1]E-AV'!$H28)</f>
        <v>3456.1</v>
      </c>
      <c r="E697" s="715"/>
      <c r="F697" s="721">
        <f>IF(OR(AV!I28="",AV!I28="noch leer",AV!G28="",AV!G28="noch leer"),"-",IF(AV!I28=0,1,AV!E28-AV!I28*AV!G28))</f>
        <v>3456.1</v>
      </c>
      <c r="H697" s="784">
        <f>IF(AV!$H28="","",AV!$H28)</f>
        <v>3456.1</v>
      </c>
      <c r="I697" s="717" t="str">
        <f t="shared" si="134"/>
        <v>Richtig!</v>
      </c>
      <c r="J697" s="718">
        <f t="shared" si="135"/>
        <v>1</v>
      </c>
      <c r="K697" s="711" t="str">
        <f t="shared" si="136"/>
        <v>│</v>
      </c>
      <c r="L697" s="712">
        <f t="shared" si="129"/>
        <v>1</v>
      </c>
      <c r="N697" s="719" t="str">
        <f>IF($L$1="","",$L$1)</f>
        <v>x</v>
      </c>
      <c r="P697" s="720">
        <f t="shared" si="125"/>
        <v>3456.1</v>
      </c>
      <c r="Q697" s="715"/>
      <c r="R697" s="721">
        <f t="shared" si="125"/>
        <v>3456.1</v>
      </c>
      <c r="T697" s="784">
        <f t="shared" si="125"/>
        <v>3456.1</v>
      </c>
    </row>
    <row r="698" spans="1:20" ht="12.75" x14ac:dyDescent="0.2">
      <c r="A698" s="707"/>
      <c r="B698" s="2" t="str">
        <f>IF('[1]E-AV'!B29="","-",'[1]E-AV'!B29)</f>
        <v>Zentrifuge</v>
      </c>
      <c r="C698" s="780" t="str">
        <f t="shared" si="133"/>
        <v>Zeitw.  1. Jän.</v>
      </c>
      <c r="D698" s="720">
        <f>IF('[1]E-AV'!$H29="","",'[1]E-AV'!$H29)</f>
        <v>444.6</v>
      </c>
      <c r="E698" s="715"/>
      <c r="F698" s="721">
        <f>IF(OR(AV!I29="",AV!I29="noch leer",AV!G29="",AV!G29="noch leer"),"-",IF(AV!I29=0,1,AV!E29-AV!I29*AV!G29))</f>
        <v>444.6</v>
      </c>
      <c r="H698" s="784">
        <f>IF(AV!$H29="","",AV!$H29)</f>
        <v>444.6</v>
      </c>
      <c r="I698" s="717" t="str">
        <f t="shared" si="134"/>
        <v>Richtig!</v>
      </c>
      <c r="J698" s="718">
        <f t="shared" si="135"/>
        <v>1</v>
      </c>
      <c r="K698" s="711" t="str">
        <f t="shared" si="136"/>
        <v>│</v>
      </c>
      <c r="L698" s="712">
        <f t="shared" si="129"/>
        <v>1</v>
      </c>
      <c r="N698" s="719" t="str">
        <f>IF($L$1="","",$L$1)</f>
        <v>x</v>
      </c>
      <c r="P698" s="720">
        <f t="shared" si="125"/>
        <v>444.6</v>
      </c>
      <c r="Q698" s="715"/>
      <c r="R698" s="721">
        <f t="shared" si="125"/>
        <v>444.6</v>
      </c>
      <c r="T698" s="784">
        <f t="shared" si="125"/>
        <v>444.6</v>
      </c>
    </row>
    <row r="699" spans="1:20" ht="12.75" hidden="1" customHeight="1" x14ac:dyDescent="0.2">
      <c r="A699" s="707"/>
      <c r="B699" s="2" t="str">
        <f>IF('[1]E-AV'!B30="","-",'[1]E-AV'!B30)</f>
        <v>Gebläse</v>
      </c>
      <c r="C699" s="780" t="str">
        <f t="shared" si="133"/>
        <v>Zeitw.  1. Jän.</v>
      </c>
      <c r="D699" s="720">
        <f>IF('[1]E-AV'!$H30="","",'[1]E-AV'!$H30)</f>
        <v>1945.125</v>
      </c>
      <c r="E699" s="715"/>
      <c r="F699" s="721">
        <f>IF(OR(AV!I30="",AV!I30="noch leer",AV!G30="",AV!G30="noch leer"),"-",IF(AV!I30=0,1,AV!E30-AV!I30*AV!G30))</f>
        <v>1945.125</v>
      </c>
      <c r="H699" s="784">
        <f>IF(AV!$H30="","",AV!$H30)</f>
        <v>1945.125</v>
      </c>
      <c r="I699" s="717" t="str">
        <f t="shared" si="134"/>
        <v>Richtig!</v>
      </c>
      <c r="J699" s="718" t="str">
        <f t="shared" si="135"/>
        <v>-</v>
      </c>
      <c r="K699" s="711" t="str">
        <f t="shared" si="136"/>
        <v/>
      </c>
      <c r="L699" s="712" t="str">
        <f t="shared" si="129"/>
        <v/>
      </c>
      <c r="N699" s="719"/>
      <c r="P699" s="720">
        <f t="shared" si="125"/>
        <v>1945.125</v>
      </c>
      <c r="Q699" s="715"/>
      <c r="R699" s="721">
        <f t="shared" si="125"/>
        <v>1945.125</v>
      </c>
      <c r="T699" s="784">
        <f t="shared" si="125"/>
        <v>1945.125</v>
      </c>
    </row>
    <row r="700" spans="1:20" ht="12.75" hidden="1" customHeight="1" x14ac:dyDescent="0.2">
      <c r="A700" s="707"/>
      <c r="B700" s="2" t="str">
        <f>IF('[1]E-AV'!B31="","-",'[1]E-AV'!B31)</f>
        <v>Vakuumfass</v>
      </c>
      <c r="C700" s="780" t="str">
        <f t="shared" si="133"/>
        <v>Zeitw.  1. Jän.</v>
      </c>
      <c r="D700" s="720">
        <f>IF('[1]E-AV'!$H31="","",'[1]E-AV'!$H31)</f>
        <v>1</v>
      </c>
      <c r="E700" s="715"/>
      <c r="F700" s="721">
        <f>IF(OR(AV!I31="",AV!I31="noch leer",AV!G31="",AV!G31="noch leer"),"-",IF(AV!I31=0,1,AV!E31-AV!I31*AV!G31))</f>
        <v>1</v>
      </c>
      <c r="H700" s="784">
        <f>IF(AV!$H31="","",AV!$H31)</f>
        <v>1</v>
      </c>
      <c r="I700" s="717" t="str">
        <f t="shared" si="134"/>
        <v>Richtig!</v>
      </c>
      <c r="J700" s="718" t="str">
        <f t="shared" si="135"/>
        <v>-</v>
      </c>
      <c r="K700" s="711" t="str">
        <f t="shared" si="136"/>
        <v/>
      </c>
      <c r="L700" s="712" t="str">
        <f t="shared" si="129"/>
        <v/>
      </c>
      <c r="N700" s="719"/>
      <c r="P700" s="720">
        <f t="shared" si="125"/>
        <v>1</v>
      </c>
      <c r="Q700" s="715"/>
      <c r="R700" s="721">
        <f t="shared" si="125"/>
        <v>1</v>
      </c>
      <c r="T700" s="784">
        <f t="shared" si="125"/>
        <v>1</v>
      </c>
    </row>
    <row r="701" spans="1:20" ht="12.75" hidden="1" customHeight="1" x14ac:dyDescent="0.2">
      <c r="A701" s="707"/>
      <c r="B701" s="2" t="str">
        <f>IF('[1]E-AV'!B32="","-",'[1]E-AV'!B32)</f>
        <v>Butterfass</v>
      </c>
      <c r="C701" s="780" t="str">
        <f t="shared" si="133"/>
        <v>Zeitw.  1. Jän.</v>
      </c>
      <c r="D701" s="720">
        <f>IF('[1]E-AV'!$H32="","",'[1]E-AV'!$H32)</f>
        <v>171</v>
      </c>
      <c r="E701" s="715"/>
      <c r="F701" s="721">
        <f>IF(OR(AV!I32="",AV!I32="noch leer",AV!G32="",AV!G32="noch leer"),"-",IF(AV!I32=0,1,AV!E32-AV!I32*AV!G32))</f>
        <v>171</v>
      </c>
      <c r="H701" s="784">
        <f>IF(AV!$H32="","",AV!$H32)</f>
        <v>171</v>
      </c>
      <c r="I701" s="717" t="str">
        <f t="shared" si="134"/>
        <v>Richtig!</v>
      </c>
      <c r="J701" s="718" t="str">
        <f t="shared" si="135"/>
        <v>-</v>
      </c>
      <c r="K701" s="711" t="str">
        <f t="shared" si="136"/>
        <v/>
      </c>
      <c r="L701" s="712" t="str">
        <f t="shared" si="129"/>
        <v/>
      </c>
      <c r="N701" s="719"/>
      <c r="P701" s="720">
        <f t="shared" si="125"/>
        <v>171</v>
      </c>
      <c r="Q701" s="715"/>
      <c r="R701" s="721">
        <f t="shared" si="125"/>
        <v>171</v>
      </c>
      <c r="T701" s="784">
        <f t="shared" si="125"/>
        <v>171</v>
      </c>
    </row>
    <row r="702" spans="1:20" ht="12.75" hidden="1" customHeight="1" x14ac:dyDescent="0.2">
      <c r="A702" s="707"/>
      <c r="B702" s="2" t="str">
        <f>IF('[1]E-AV'!B33="","-",'[1]E-AV'!B33)</f>
        <v>Miststreuer</v>
      </c>
      <c r="C702" s="780" t="str">
        <f t="shared" si="133"/>
        <v>Zeitw.  1. Jän.</v>
      </c>
      <c r="D702" s="720">
        <f>IF('[1]E-AV'!$H33="","",'[1]E-AV'!$H33)</f>
        <v>2375</v>
      </c>
      <c r="E702" s="715"/>
      <c r="F702" s="721">
        <f>IF(OR(AV!I33="",AV!I33="noch leer",AV!G33="",AV!G33="noch leer"),"-",IF(AV!I33=0,1,AV!E33-AV!I33*AV!G33))</f>
        <v>2375</v>
      </c>
      <c r="H702" s="784">
        <f>IF(AV!$H33="","",AV!$H33)</f>
        <v>2375</v>
      </c>
      <c r="I702" s="717" t="str">
        <f t="shared" si="134"/>
        <v>Richtig!</v>
      </c>
      <c r="J702" s="718" t="str">
        <f t="shared" si="135"/>
        <v>-</v>
      </c>
      <c r="K702" s="711" t="str">
        <f t="shared" si="136"/>
        <v/>
      </c>
      <c r="L702" s="712" t="str">
        <f t="shared" si="129"/>
        <v/>
      </c>
      <c r="N702" s="719"/>
      <c r="P702" s="720">
        <f t="shared" si="125"/>
        <v>2375</v>
      </c>
      <c r="Q702" s="715"/>
      <c r="R702" s="721">
        <f t="shared" si="125"/>
        <v>2375</v>
      </c>
      <c r="T702" s="784">
        <f t="shared" si="125"/>
        <v>2375</v>
      </c>
    </row>
    <row r="703" spans="1:20" ht="12.75" hidden="1" customHeight="1" x14ac:dyDescent="0.2">
      <c r="A703" s="707"/>
      <c r="B703" s="2" t="str">
        <f>IF('[1]E-AV'!B34="","-",'[1]E-AV'!B34)</f>
        <v>Kreiselzetter</v>
      </c>
      <c r="C703" s="780" t="str">
        <f t="shared" si="133"/>
        <v>Zeitw.  1. Jän.</v>
      </c>
      <c r="D703" s="720">
        <f>IF('[1]E-AV'!$H34="","",'[1]E-AV'!$H34)</f>
        <v>1</v>
      </c>
      <c r="E703" s="715"/>
      <c r="F703" s="721">
        <f>IF(OR(AV!I34="",AV!I34="noch leer",AV!G34="",AV!G34="noch leer"),"-",IF(AV!I34=0,1,AV!E34-AV!I34*AV!G34))</f>
        <v>1</v>
      </c>
      <c r="H703" s="784">
        <f>IF(AV!$H34="","",AV!$H34)</f>
        <v>1</v>
      </c>
      <c r="I703" s="717" t="str">
        <f t="shared" si="134"/>
        <v>Richtig!</v>
      </c>
      <c r="J703" s="718" t="str">
        <f t="shared" si="135"/>
        <v>-</v>
      </c>
      <c r="K703" s="711" t="str">
        <f t="shared" si="136"/>
        <v/>
      </c>
      <c r="L703" s="712" t="str">
        <f t="shared" ref="L703:L734" si="137">IF(OR(B703="-",N703="",AND(P703="",T703="")),"",1)</f>
        <v/>
      </c>
      <c r="N703" s="719"/>
      <c r="P703" s="720">
        <f t="shared" si="125"/>
        <v>1</v>
      </c>
      <c r="Q703" s="715"/>
      <c r="R703" s="721">
        <f t="shared" si="125"/>
        <v>1</v>
      </c>
      <c r="T703" s="784">
        <f t="shared" si="125"/>
        <v>1</v>
      </c>
    </row>
    <row r="704" spans="1:20" ht="12.75" hidden="1" customHeight="1" x14ac:dyDescent="0.2">
      <c r="A704" s="707"/>
      <c r="B704" s="2" t="str">
        <f>IF('[1]E-AV'!B35="","-",'[1]E-AV'!B35)</f>
        <v>PKW-Anhänger</v>
      </c>
      <c r="C704" s="780" t="str">
        <f t="shared" si="133"/>
        <v>Zeitw.  1. Jän.</v>
      </c>
      <c r="D704" s="720">
        <f>IF('[1]E-AV'!$H35="","",'[1]E-AV'!$H35)</f>
        <v>112.3125</v>
      </c>
      <c r="E704" s="715"/>
      <c r="F704" s="721">
        <f>IF(OR(AV!I35="",AV!I35="noch leer",AV!G35="",AV!G35="noch leer"),"-",IF(AV!I35=0,1,AV!E35-AV!I35*AV!G35))</f>
        <v>112.3125</v>
      </c>
      <c r="H704" s="784">
        <f>IF(AV!$H35="","",AV!$H35)</f>
        <v>112.3125</v>
      </c>
      <c r="I704" s="717" t="str">
        <f t="shared" si="134"/>
        <v>Richtig!</v>
      </c>
      <c r="J704" s="718" t="str">
        <f t="shared" si="135"/>
        <v>-</v>
      </c>
      <c r="K704" s="711" t="str">
        <f t="shared" si="136"/>
        <v/>
      </c>
      <c r="L704" s="712" t="str">
        <f t="shared" si="137"/>
        <v/>
      </c>
      <c r="N704" s="719"/>
      <c r="P704" s="720">
        <f t="shared" si="125"/>
        <v>112.3125</v>
      </c>
      <c r="Q704" s="715"/>
      <c r="R704" s="721">
        <f t="shared" si="125"/>
        <v>112.3125</v>
      </c>
      <c r="T704" s="784">
        <f t="shared" si="125"/>
        <v>112.3125</v>
      </c>
    </row>
    <row r="705" spans="1:20" ht="12.75" x14ac:dyDescent="0.2">
      <c r="A705" s="707"/>
      <c r="B705" s="2" t="str">
        <f>IF('[1]E-AV'!B36="","-",'[1]E-AV'!B36)</f>
        <v>Mähwerk</v>
      </c>
      <c r="C705" s="780" t="str">
        <f t="shared" si="133"/>
        <v>Zeitw.  1. Jän.</v>
      </c>
      <c r="D705" s="720">
        <f>IF('[1]E-AV'!$H36="","",'[1]E-AV'!$H36)</f>
        <v>1083.2</v>
      </c>
      <c r="E705" s="715"/>
      <c r="F705" s="721">
        <f>IF(OR(AV!I36="",AV!I36="noch leer",AV!G36="",AV!G36="noch leer"),"-",IF(AV!I36=0,1,AV!E36-AV!I36*AV!G36))</f>
        <v>1083.2</v>
      </c>
      <c r="H705" s="784">
        <f>IF(AV!$H36="","",AV!$H36)</f>
        <v>1083.2</v>
      </c>
      <c r="I705" s="717" t="str">
        <f t="shared" si="134"/>
        <v>Richtig!</v>
      </c>
      <c r="J705" s="718">
        <f t="shared" si="135"/>
        <v>1</v>
      </c>
      <c r="K705" s="711" t="str">
        <f t="shared" si="136"/>
        <v>│</v>
      </c>
      <c r="L705" s="712">
        <f t="shared" si="137"/>
        <v>1</v>
      </c>
      <c r="N705" s="719" t="str">
        <f>IF($L$1="","",$L$1)</f>
        <v>x</v>
      </c>
      <c r="P705" s="720">
        <f t="shared" si="125"/>
        <v>1083.2</v>
      </c>
      <c r="Q705" s="715"/>
      <c r="R705" s="721">
        <f t="shared" si="125"/>
        <v>1083.2</v>
      </c>
      <c r="T705" s="784">
        <f t="shared" si="125"/>
        <v>1083.2</v>
      </c>
    </row>
    <row r="706" spans="1:20" ht="12.75" hidden="1" customHeight="1" x14ac:dyDescent="0.2">
      <c r="A706" s="707"/>
      <c r="B706" s="2" t="str">
        <f>IF('[1]E-AV'!B37="","-",'[1]E-AV'!B37)</f>
        <v>Motormäher</v>
      </c>
      <c r="C706" s="780" t="str">
        <f t="shared" si="133"/>
        <v>Zeitw.  1. Jän.</v>
      </c>
      <c r="D706" s="720">
        <f>IF('[1]E-AV'!$H37="","",'[1]E-AV'!$H37)</f>
        <v>969.3125</v>
      </c>
      <c r="E706" s="715"/>
      <c r="F706" s="721">
        <f>IF(OR(AV!I37="",AV!I37="noch leer",AV!G37="",AV!G37="noch leer"),"-",IF(AV!I37=0,1,AV!E37-AV!I37*AV!G37))</f>
        <v>969.3125</v>
      </c>
      <c r="H706" s="784">
        <f>IF(AV!$H37="","",AV!$H37)</f>
        <v>969.3125</v>
      </c>
      <c r="I706" s="717" t="str">
        <f t="shared" si="134"/>
        <v>Richtig!</v>
      </c>
      <c r="J706" s="718" t="str">
        <f t="shared" si="135"/>
        <v>-</v>
      </c>
      <c r="K706" s="711" t="str">
        <f t="shared" si="136"/>
        <v/>
      </c>
      <c r="L706" s="712" t="str">
        <f t="shared" si="137"/>
        <v/>
      </c>
      <c r="N706" s="719"/>
      <c r="P706" s="720">
        <f t="shared" si="125"/>
        <v>969.3125</v>
      </c>
      <c r="Q706" s="715"/>
      <c r="R706" s="721">
        <f t="shared" si="125"/>
        <v>969.3125</v>
      </c>
      <c r="T706" s="784">
        <f t="shared" si="125"/>
        <v>969.3125</v>
      </c>
    </row>
    <row r="707" spans="1:20" ht="12.75" hidden="1" customHeight="1" x14ac:dyDescent="0.2">
      <c r="A707" s="707"/>
      <c r="B707" s="2" t="str">
        <f>IF('[1]E-AV'!B38="","-",'[1]E-AV'!B38)</f>
        <v>Frontlader</v>
      </c>
      <c r="C707" s="780" t="str">
        <f t="shared" si="133"/>
        <v>Zeitw.  1. Jän.</v>
      </c>
      <c r="D707" s="720">
        <f>IF('[1]E-AV'!$H38="","",'[1]E-AV'!$H38)</f>
        <v>886.66666666666663</v>
      </c>
      <c r="E707" s="715"/>
      <c r="F707" s="721">
        <f>IF(OR(AV!I38="",AV!I38="noch leer",AV!G38="",AV!G38="noch leer"),"-",IF(AV!I38=0,1,AV!E38-AV!I38*AV!G38))</f>
        <v>886.66666666666663</v>
      </c>
      <c r="H707" s="784">
        <f>IF(AV!$H38="","",AV!$H38)</f>
        <v>886.66666666666663</v>
      </c>
      <c r="I707" s="717" t="str">
        <f t="shared" si="134"/>
        <v>Richtig!</v>
      </c>
      <c r="J707" s="718" t="str">
        <f t="shared" si="135"/>
        <v>-</v>
      </c>
      <c r="K707" s="711" t="str">
        <f t="shared" si="136"/>
        <v/>
      </c>
      <c r="L707" s="712" t="str">
        <f t="shared" si="137"/>
        <v/>
      </c>
      <c r="N707" s="719"/>
      <c r="P707" s="720">
        <f t="shared" si="125"/>
        <v>886.66666999999995</v>
      </c>
      <c r="Q707" s="715"/>
      <c r="R707" s="721">
        <f t="shared" si="125"/>
        <v>886.66666999999995</v>
      </c>
      <c r="T707" s="784">
        <f t="shared" si="125"/>
        <v>886.66666999999995</v>
      </c>
    </row>
    <row r="708" spans="1:20" ht="12.75" hidden="1" customHeight="1" x14ac:dyDescent="0.2">
      <c r="A708" s="707"/>
      <c r="B708" s="2" t="str">
        <f>IF('[1]E-AV'!B39="","-",'[1]E-AV'!B39)</f>
        <v>Ackerschleppe</v>
      </c>
      <c r="C708" s="780" t="str">
        <f t="shared" si="133"/>
        <v>Zeitw.  1. Jän.</v>
      </c>
      <c r="D708" s="720">
        <f>IF('[1]E-AV'!$H39="","",'[1]E-AV'!$H39)</f>
        <v>309</v>
      </c>
      <c r="E708" s="715"/>
      <c r="F708" s="721">
        <f>IF(OR(AV!I39="",AV!I39="noch leer",AV!G39="",AV!G39="noch leer"),"-",IF(AV!I39=0,1,AV!E39-AV!I39*AV!G39))</f>
        <v>309</v>
      </c>
      <c r="H708" s="784">
        <f>IF(AV!$H39="","",AV!$H39)</f>
        <v>309</v>
      </c>
      <c r="I708" s="717" t="str">
        <f t="shared" si="134"/>
        <v>Richtig!</v>
      </c>
      <c r="J708" s="718" t="str">
        <f t="shared" si="135"/>
        <v>-</v>
      </c>
      <c r="K708" s="711" t="str">
        <f t="shared" si="136"/>
        <v/>
      </c>
      <c r="L708" s="712" t="str">
        <f t="shared" si="137"/>
        <v/>
      </c>
      <c r="N708" s="719"/>
      <c r="P708" s="720">
        <f t="shared" si="125"/>
        <v>309</v>
      </c>
      <c r="Q708" s="715"/>
      <c r="R708" s="721">
        <f t="shared" si="125"/>
        <v>309</v>
      </c>
      <c r="T708" s="784">
        <f t="shared" si="125"/>
        <v>309</v>
      </c>
    </row>
    <row r="709" spans="1:20" ht="12.75" hidden="1" customHeight="1" x14ac:dyDescent="0.2">
      <c r="A709" s="707"/>
      <c r="B709" s="2" t="str">
        <f>IF('[1]E-AV'!B40="","-",'[1]E-AV'!B40)</f>
        <v>-</v>
      </c>
      <c r="C709" s="780" t="str">
        <f t="shared" si="133"/>
        <v>Zeitw.  1. Jän.</v>
      </c>
      <c r="D709" s="720" t="str">
        <f>IF('[1]E-AV'!$H40="","",'[1]E-AV'!$H40)</f>
        <v/>
      </c>
      <c r="E709" s="715"/>
      <c r="F709" s="721" t="str">
        <f>IF(OR(AV!I40="",AV!I40="noch leer",AV!G40="",AV!G40="noch leer"),"-",IF(AV!I40=0,1,AV!E40-AV!I40*AV!G40))</f>
        <v>-</v>
      </c>
      <c r="H709" s="784" t="str">
        <f>IF(AV!$H40="","",AV!$H40)</f>
        <v/>
      </c>
      <c r="I709" s="717" t="str">
        <f t="shared" si="134"/>
        <v>Richtig!</v>
      </c>
      <c r="J709" s="718" t="str">
        <f t="shared" si="135"/>
        <v>-</v>
      </c>
      <c r="K709" s="711" t="str">
        <f t="shared" si="136"/>
        <v/>
      </c>
      <c r="L709" s="712" t="str">
        <f t="shared" si="137"/>
        <v/>
      </c>
      <c r="N709" s="719"/>
      <c r="P709" s="720" t="str">
        <f t="shared" si="125"/>
        <v/>
      </c>
      <c r="Q709" s="715"/>
      <c r="R709" s="721" t="str">
        <f t="shared" si="125"/>
        <v>-</v>
      </c>
      <c r="T709" s="784" t="str">
        <f t="shared" si="125"/>
        <v/>
      </c>
    </row>
    <row r="710" spans="1:20" ht="12.75" x14ac:dyDescent="0.2">
      <c r="A710" s="707"/>
      <c r="B710" s="779" t="str">
        <f>IF('[1]E-AV'!B41="","-",'[1]E-AV'!B41)</f>
        <v>Summe Maschinen und Geräte</v>
      </c>
      <c r="C710" s="780" t="str">
        <f t="shared" si="133"/>
        <v>Zeitw.  1. Jän.</v>
      </c>
      <c r="D710" s="720">
        <f>IF('[1]E-AV'!$H41="","",'[1]E-AV'!$H41)</f>
        <v>22395.736309523811</v>
      </c>
      <c r="E710" s="715"/>
      <c r="F710" s="721">
        <f>IF(AND(H690="",H691="",H692="",H693="",H694="",H695="",H696="",H697="",H698="",H699="",H700="",H701="",H702="",H703="",H704="",H705="",H706="",H707="",H708="",H709=""),"-",SUM(H690:H709))</f>
        <v>22395.736309523811</v>
      </c>
      <c r="H710" s="784">
        <f>IF(AV!$H41="","",AV!$H41)</f>
        <v>22395.736309523811</v>
      </c>
      <c r="I710" s="717" t="str">
        <f t="shared" si="134"/>
        <v>Richtig!</v>
      </c>
      <c r="J710" s="718">
        <f t="shared" si="135"/>
        <v>1</v>
      </c>
      <c r="K710" s="711" t="str">
        <f t="shared" si="136"/>
        <v>│</v>
      </c>
      <c r="L710" s="712">
        <f t="shared" si="137"/>
        <v>1</v>
      </c>
      <c r="N710" s="719" t="str">
        <f>IF($L$1="","",$L$1)</f>
        <v>x</v>
      </c>
      <c r="P710" s="720">
        <f t="shared" si="125"/>
        <v>22395.73631</v>
      </c>
      <c r="Q710" s="715"/>
      <c r="R710" s="721">
        <f t="shared" si="125"/>
        <v>22395.73631</v>
      </c>
      <c r="T710" s="784">
        <f t="shared" si="125"/>
        <v>22395.73631</v>
      </c>
    </row>
    <row r="711" spans="1:20" ht="12.75" x14ac:dyDescent="0.2">
      <c r="A711" s="707"/>
      <c r="B711" s="707"/>
      <c r="C711" s="707"/>
      <c r="D711" s="708"/>
      <c r="H711" s="706"/>
      <c r="I711" s="710"/>
      <c r="J711" s="710"/>
      <c r="K711" s="711"/>
      <c r="L711" s="712" t="str">
        <f t="shared" si="137"/>
        <v/>
      </c>
      <c r="N711" s="725" t="str">
        <f>IF($L$1="","",$L$1)</f>
        <v>x</v>
      </c>
      <c r="P711" s="708" t="str">
        <f t="shared" si="125"/>
        <v/>
      </c>
      <c r="R711" s="1" t="str">
        <f t="shared" si="125"/>
        <v/>
      </c>
      <c r="T711" s="706" t="str">
        <f t="shared" si="125"/>
        <v/>
      </c>
    </row>
    <row r="712" spans="1:20" ht="12.75" x14ac:dyDescent="0.2">
      <c r="A712" s="706" t="s">
        <v>370</v>
      </c>
      <c r="B712" s="706" t="s">
        <v>419</v>
      </c>
      <c r="C712" s="707"/>
      <c r="D712" s="708" t="str">
        <f>IF('[1]E-AV'!$G42="","",'[1]E-AV'!$G42)</f>
        <v/>
      </c>
      <c r="H712" s="706" t="str">
        <f>IF(AV!$G42="","",AV!$G42)</f>
        <v/>
      </c>
      <c r="I712" s="710"/>
      <c r="J712" s="710"/>
      <c r="K712" s="711" t="str">
        <f t="shared" si="136"/>
        <v/>
      </c>
      <c r="L712" s="712" t="str">
        <f t="shared" si="137"/>
        <v/>
      </c>
      <c r="N712" s="695" t="str">
        <f>IF($L$1="","",$L$1)</f>
        <v>x</v>
      </c>
      <c r="P712" s="708" t="str">
        <f t="shared" si="125"/>
        <v/>
      </c>
      <c r="R712" s="1" t="str">
        <f t="shared" si="125"/>
        <v/>
      </c>
      <c r="T712" s="706" t="str">
        <f t="shared" si="125"/>
        <v/>
      </c>
    </row>
    <row r="713" spans="1:20" ht="12.75" x14ac:dyDescent="0.2">
      <c r="B713" s="782" t="str">
        <f>IF('[1]E-AV'!B6="","-",'[1]E-AV'!B6)</f>
        <v>Grundverbesserungen</v>
      </c>
      <c r="C713" s="731"/>
      <c r="D713" s="708"/>
      <c r="H713" s="706"/>
      <c r="I713" s="717"/>
      <c r="J713" s="717"/>
      <c r="K713" s="711" t="str">
        <f t="shared" si="136"/>
        <v/>
      </c>
      <c r="L713" s="712" t="str">
        <f t="shared" si="137"/>
        <v/>
      </c>
      <c r="N713" s="695" t="str">
        <f>IF($L$1="","",$L$1)</f>
        <v>x</v>
      </c>
      <c r="P713" s="708" t="str">
        <f t="shared" si="125"/>
        <v/>
      </c>
      <c r="R713" s="1" t="str">
        <f t="shared" si="125"/>
        <v/>
      </c>
      <c r="T713" s="706" t="str">
        <f t="shared" si="125"/>
        <v/>
      </c>
    </row>
    <row r="714" spans="1:20" ht="12.75" hidden="1" customHeight="1" x14ac:dyDescent="0.2">
      <c r="A714" s="707"/>
      <c r="B714" s="2" t="str">
        <f>IF('[1]E-AV'!B7="","-",'[1]E-AV'!B7)</f>
        <v>Rohrdrainage</v>
      </c>
      <c r="C714" s="780" t="str">
        <f>MID($B$712,1,5)&amp;". "&amp;MID($B$712,10,7)</f>
        <v>Jährl.  Afa</v>
      </c>
      <c r="D714" s="714">
        <f>IF('[1]E-AV'!$I7="","",'[1]E-AV'!$I7)</f>
        <v>0</v>
      </c>
      <c r="E714" s="715"/>
      <c r="F714" s="715"/>
      <c r="H714" s="781">
        <f>IF(AV!$I7="","",AV!$I7)</f>
        <v>0</v>
      </c>
      <c r="I714" s="717" t="str">
        <f>IF(OR(B713="-",AND(P714="",T714="")),"",IF(T714=P714,"Richtig!",IF(T714="","Fehlt","Falsch")))</f>
        <v>Richtig!</v>
      </c>
      <c r="J714" s="718" t="str">
        <f>IF(OR(B714="-",N714="",AND(P714="",T714="")),"-",IF(I714="Richtig!",1,IF(I714="Formel: OK",0.5,IF(OR(I714="Falsch",I714="Fehlt"),0,""))))</f>
        <v>-</v>
      </c>
      <c r="K714" s="711" t="str">
        <f t="shared" si="136"/>
        <v/>
      </c>
      <c r="L714" s="712" t="str">
        <f t="shared" si="137"/>
        <v/>
      </c>
      <c r="N714" s="719"/>
      <c r="P714" s="714">
        <f t="shared" si="125"/>
        <v>0</v>
      </c>
      <c r="Q714" s="715"/>
      <c r="R714" s="715" t="str">
        <f t="shared" si="125"/>
        <v/>
      </c>
      <c r="T714" s="781">
        <f t="shared" si="125"/>
        <v>0</v>
      </c>
    </row>
    <row r="715" spans="1:20" ht="12.75" hidden="1" customHeight="1" x14ac:dyDescent="0.2">
      <c r="A715" s="707"/>
      <c r="B715" s="2" t="str">
        <f>IF('[1]E-AV'!B8="","-",'[1]E-AV'!B8)</f>
        <v>-</v>
      </c>
      <c r="C715" s="780" t="str">
        <f>MID($B$712,1,5)&amp;". "&amp;MID($B$712,10,7)</f>
        <v>Jährl.  Afa</v>
      </c>
      <c r="D715" s="714" t="str">
        <f>IF('[1]E-AV'!$I8="","",'[1]E-AV'!$I8)</f>
        <v/>
      </c>
      <c r="E715" s="715"/>
      <c r="F715" s="715"/>
      <c r="H715" s="781" t="str">
        <f>IF(AV!$I8="","",AV!$I8)</f>
        <v/>
      </c>
      <c r="I715" s="717" t="str">
        <f>IF(OR(B714="-",AND(P715="",T715="")),"",IF(T715=P715,"Richtig!",IF(T715="","Fehlt","Falsch")))</f>
        <v/>
      </c>
      <c r="J715" s="718" t="str">
        <f>IF(OR(B715="-",N715="",AND(P715="",T715="")),"-",IF(I715="Richtig!",1,IF(I715="Formel: OK",0.5,IF(OR(I715="Falsch",I715="Fehlt"),0,""))))</f>
        <v>-</v>
      </c>
      <c r="K715" s="711" t="str">
        <f t="shared" si="136"/>
        <v/>
      </c>
      <c r="L715" s="712" t="str">
        <f t="shared" si="137"/>
        <v/>
      </c>
      <c r="N715" s="719"/>
      <c r="P715" s="714" t="str">
        <f t="shared" ref="P715:T778" si="138">IF(ISTEXT(D715),D715,IF(D715="","",ROUND(D715,$R$1)))</f>
        <v/>
      </c>
      <c r="Q715" s="715"/>
      <c r="R715" s="715" t="str">
        <f t="shared" si="138"/>
        <v/>
      </c>
      <c r="T715" s="781" t="str">
        <f t="shared" si="138"/>
        <v/>
      </c>
    </row>
    <row r="716" spans="1:20" ht="12.75" x14ac:dyDescent="0.2">
      <c r="A716" s="707"/>
      <c r="B716" s="779" t="str">
        <f>IF('[1]E-AV'!B9="","-",'[1]E-AV'!B9)</f>
        <v>Summe Grundverbesserungen</v>
      </c>
      <c r="C716" s="780" t="str">
        <f>MID($B$712,1,5)&amp;". "&amp;MID($B$712,10,7)</f>
        <v>Jährl.  Afa</v>
      </c>
      <c r="D716" s="720">
        <f>IF('[1]E-AV'!$I9="","",'[1]E-AV'!$I9)</f>
        <v>0</v>
      </c>
      <c r="E716" s="715"/>
      <c r="F716" s="721">
        <f>IF(AND(H714="",H715=""),"-",SUM(H714:H715))</f>
        <v>0</v>
      </c>
      <c r="H716" s="784">
        <f>IF(AV!$I9="","",AV!$I9)</f>
        <v>0</v>
      </c>
      <c r="I716" s="717" t="str">
        <f>IF(B716="","",IF(T716=P716,"Richtig!",IF(AND(P716&lt;&gt;T716,R716=T716),"Formel: OK",IF(T716="","Fehlt","Falsch"))))</f>
        <v>Richtig!</v>
      </c>
      <c r="J716" s="718">
        <f>IF(OR(B716="-",N716="",AND(P716="",T716="")),"-",IF(I716="Richtig!",1,IF(I716="Formel: OK",0.5,IF(OR(I716="Falsch",I716="Fehlt"),0,""))))</f>
        <v>1</v>
      </c>
      <c r="K716" s="711" t="str">
        <f t="shared" si="136"/>
        <v>│</v>
      </c>
      <c r="L716" s="712">
        <f t="shared" si="137"/>
        <v>1</v>
      </c>
      <c r="N716" s="719" t="str">
        <f>IF($L$1="","",$L$1)</f>
        <v>x</v>
      </c>
      <c r="P716" s="720">
        <f t="shared" si="138"/>
        <v>0</v>
      </c>
      <c r="Q716" s="715"/>
      <c r="R716" s="721">
        <f t="shared" si="138"/>
        <v>0</v>
      </c>
      <c r="T716" s="784">
        <f t="shared" si="138"/>
        <v>0</v>
      </c>
    </row>
    <row r="717" spans="1:20" ht="12.75" x14ac:dyDescent="0.2">
      <c r="B717" s="782" t="str">
        <f>IF('[1]E-AV'!B10="","-",'[1]E-AV'!B10)</f>
        <v>Gebäude und bauliche Anlagen</v>
      </c>
      <c r="C717" s="780"/>
      <c r="D717" s="708"/>
      <c r="H717" s="706"/>
      <c r="I717" s="717"/>
      <c r="J717" s="717"/>
      <c r="K717" s="711" t="str">
        <f t="shared" si="136"/>
        <v/>
      </c>
      <c r="L717" s="712" t="str">
        <f t="shared" si="137"/>
        <v/>
      </c>
      <c r="N717" s="695" t="str">
        <f>IF($L$1="","",$L$1)</f>
        <v>x</v>
      </c>
      <c r="P717" s="708" t="str">
        <f t="shared" si="138"/>
        <v/>
      </c>
      <c r="R717" s="1" t="str">
        <f t="shared" si="138"/>
        <v/>
      </c>
      <c r="T717" s="706" t="str">
        <f t="shared" si="138"/>
        <v/>
      </c>
    </row>
    <row r="718" spans="1:20" ht="12.75" x14ac:dyDescent="0.2">
      <c r="A718" s="707"/>
      <c r="B718" s="2" t="str">
        <f>IF('[1]E-AV'!B11="","-",'[1]E-AV'!B11)</f>
        <v>Stadel</v>
      </c>
      <c r="C718" s="780" t="str">
        <f t="shared" ref="C718:C726" si="139">MID($B$712,1,5)&amp;". "&amp;MID($B$712,10,7)</f>
        <v>Jährl.  Afa</v>
      </c>
      <c r="D718" s="714">
        <f>IF('[1]E-AV'!$I11="","",'[1]E-AV'!$I11)</f>
        <v>471.18139534883727</v>
      </c>
      <c r="E718" s="715"/>
      <c r="F718" s="715"/>
      <c r="H718" s="781">
        <f>IF(AV!$I11="","",AV!$I11)</f>
        <v>471.18139534883727</v>
      </c>
      <c r="I718" s="717" t="str">
        <f t="shared" ref="I718:I725" si="140">IF(OR(B717="-",AND(P718="",T718="")),"",IF(T718=P718,"Richtig!",IF(T718="","Fehlt","Falsch")))</f>
        <v>Richtig!</v>
      </c>
      <c r="J718" s="718">
        <f t="shared" ref="J718:J726" si="141">IF(OR(B718="-",N718="",AND(P718="",T718="")),"-",IF(I718="Richtig!",1,IF(I718="Formel: OK",0.5,IF(OR(I718="Falsch",I718="Fehlt"),0,""))))</f>
        <v>1</v>
      </c>
      <c r="K718" s="711" t="str">
        <f t="shared" si="136"/>
        <v>│</v>
      </c>
      <c r="L718" s="712">
        <f t="shared" si="137"/>
        <v>1</v>
      </c>
      <c r="N718" s="719" t="str">
        <f>IF($L$1="","",$L$1)</f>
        <v>x</v>
      </c>
      <c r="P718" s="714">
        <f t="shared" si="138"/>
        <v>471.1814</v>
      </c>
      <c r="Q718" s="715"/>
      <c r="R718" s="715" t="str">
        <f t="shared" si="138"/>
        <v/>
      </c>
      <c r="T718" s="781">
        <f t="shared" si="138"/>
        <v>471.1814</v>
      </c>
    </row>
    <row r="719" spans="1:20" ht="12.75" x14ac:dyDescent="0.2">
      <c r="A719" s="707"/>
      <c r="B719" s="2" t="str">
        <f>IF('[1]E-AV'!B12="","-",'[1]E-AV'!B12)</f>
        <v>Rinderstall (Warmstall)</v>
      </c>
      <c r="C719" s="780" t="str">
        <f t="shared" si="139"/>
        <v>Jährl.  Afa</v>
      </c>
      <c r="D719" s="714">
        <f>IF('[1]E-AV'!$I12="","",'[1]E-AV'!$I12)</f>
        <v>2171.8325581395347</v>
      </c>
      <c r="E719" s="715"/>
      <c r="F719" s="715"/>
      <c r="H719" s="781">
        <f>IF(AV!$I12="","",AV!$I12)</f>
        <v>2171.8325581395347</v>
      </c>
      <c r="I719" s="717" t="str">
        <f t="shared" si="140"/>
        <v>Richtig!</v>
      </c>
      <c r="J719" s="718">
        <f t="shared" si="141"/>
        <v>1</v>
      </c>
      <c r="K719" s="711" t="str">
        <f t="shared" si="136"/>
        <v>│</v>
      </c>
      <c r="L719" s="712">
        <f t="shared" si="137"/>
        <v>1</v>
      </c>
      <c r="N719" s="719" t="str">
        <f>IF($L$1="","",$L$1)</f>
        <v>x</v>
      </c>
      <c r="P719" s="714">
        <f t="shared" si="138"/>
        <v>2171.8325599999998</v>
      </c>
      <c r="Q719" s="715"/>
      <c r="R719" s="715" t="str">
        <f t="shared" si="138"/>
        <v/>
      </c>
      <c r="T719" s="781">
        <f t="shared" si="138"/>
        <v>2171.8325599999998</v>
      </c>
    </row>
    <row r="720" spans="1:20" ht="12.75" hidden="1" customHeight="1" x14ac:dyDescent="0.2">
      <c r="A720" s="707"/>
      <c r="B720" s="2" t="str">
        <f>IF('[1]E-AV'!B13="","-",'[1]E-AV'!B13)</f>
        <v>Verarbeitungsraum</v>
      </c>
      <c r="C720" s="780" t="str">
        <f t="shared" si="139"/>
        <v>Jährl.  Afa</v>
      </c>
      <c r="D720" s="714">
        <f>IF('[1]E-AV'!$I13="","",'[1]E-AV'!$I13)</f>
        <v>196.33333333333334</v>
      </c>
      <c r="E720" s="715"/>
      <c r="F720" s="715"/>
      <c r="H720" s="781">
        <f>IF(AV!$I13="","",AV!$I13)</f>
        <v>196.33333333333334</v>
      </c>
      <c r="I720" s="717" t="str">
        <f t="shared" si="140"/>
        <v>Richtig!</v>
      </c>
      <c r="J720" s="718" t="str">
        <f t="shared" si="141"/>
        <v>-</v>
      </c>
      <c r="K720" s="711" t="str">
        <f t="shared" si="136"/>
        <v/>
      </c>
      <c r="L720" s="712" t="str">
        <f t="shared" si="137"/>
        <v/>
      </c>
      <c r="N720" s="719"/>
      <c r="P720" s="714">
        <f t="shared" si="138"/>
        <v>196.33332999999999</v>
      </c>
      <c r="Q720" s="715"/>
      <c r="R720" s="715" t="str">
        <f t="shared" si="138"/>
        <v/>
      </c>
      <c r="T720" s="781">
        <f t="shared" si="138"/>
        <v>196.33332999999999</v>
      </c>
    </row>
    <row r="721" spans="1:20" ht="12.75" hidden="1" customHeight="1" x14ac:dyDescent="0.2">
      <c r="A721" s="707"/>
      <c r="B721" s="2" t="str">
        <f>IF('[1]E-AV'!B14="","-",'[1]E-AV'!B14)</f>
        <v>Maschinenschuppen</v>
      </c>
      <c r="C721" s="780" t="str">
        <f t="shared" si="139"/>
        <v>Jährl.  Afa</v>
      </c>
      <c r="D721" s="714">
        <f>IF('[1]E-AV'!$I14="","",'[1]E-AV'!$I14)</f>
        <v>117.8</v>
      </c>
      <c r="E721" s="715"/>
      <c r="F721" s="715"/>
      <c r="H721" s="781">
        <f>IF(AV!$I14="","",AV!$I14)</f>
        <v>117.8</v>
      </c>
      <c r="I721" s="717" t="str">
        <f t="shared" si="140"/>
        <v>Richtig!</v>
      </c>
      <c r="J721" s="718" t="str">
        <f t="shared" si="141"/>
        <v>-</v>
      </c>
      <c r="K721" s="711" t="str">
        <f t="shared" si="136"/>
        <v/>
      </c>
      <c r="L721" s="712" t="str">
        <f t="shared" si="137"/>
        <v/>
      </c>
      <c r="N721" s="719"/>
      <c r="P721" s="714">
        <f t="shared" si="138"/>
        <v>117.8</v>
      </c>
      <c r="Q721" s="715"/>
      <c r="R721" s="715" t="str">
        <f t="shared" si="138"/>
        <v/>
      </c>
      <c r="T721" s="781">
        <f t="shared" si="138"/>
        <v>117.8</v>
      </c>
    </row>
    <row r="722" spans="1:20" ht="12.75" hidden="1" customHeight="1" x14ac:dyDescent="0.2">
      <c r="A722" s="707"/>
      <c r="B722" s="2" t="str">
        <f>IF('[1]E-AV'!B15="","-",'[1]E-AV'!B15)</f>
        <v>Garage mit Lagerraum</v>
      </c>
      <c r="C722" s="780" t="str">
        <f t="shared" si="139"/>
        <v>Jährl.  Afa</v>
      </c>
      <c r="D722" s="714">
        <f>IF('[1]E-AV'!$I15="","",'[1]E-AV'!$I15)</f>
        <v>468.66666666666669</v>
      </c>
      <c r="E722" s="715"/>
      <c r="F722" s="715"/>
      <c r="H722" s="781">
        <f>IF(AV!$I15="","",AV!$I15)</f>
        <v>468.66666666666669</v>
      </c>
      <c r="I722" s="717" t="str">
        <f t="shared" si="140"/>
        <v>Richtig!</v>
      </c>
      <c r="J722" s="718" t="str">
        <f t="shared" si="141"/>
        <v>-</v>
      </c>
      <c r="K722" s="711" t="str">
        <f t="shared" si="136"/>
        <v/>
      </c>
      <c r="L722" s="712" t="str">
        <f t="shared" si="137"/>
        <v/>
      </c>
      <c r="N722" s="719"/>
      <c r="P722" s="714">
        <f t="shared" si="138"/>
        <v>468.66667000000001</v>
      </c>
      <c r="Q722" s="715"/>
      <c r="R722" s="715" t="str">
        <f t="shared" si="138"/>
        <v/>
      </c>
      <c r="T722" s="781">
        <f t="shared" si="138"/>
        <v>468.66667000000001</v>
      </c>
    </row>
    <row r="723" spans="1:20" ht="12.75" hidden="1" customHeight="1" x14ac:dyDescent="0.2">
      <c r="A723" s="707"/>
      <c r="B723" s="2" t="str">
        <f>IF('[1]E-AV'!B16="","-",'[1]E-AV'!B16)</f>
        <v>-</v>
      </c>
      <c r="C723" s="780" t="str">
        <f t="shared" si="139"/>
        <v>Jährl.  Afa</v>
      </c>
      <c r="D723" s="714" t="str">
        <f>IF('[1]E-AV'!$I16="","",'[1]E-AV'!$I16)</f>
        <v/>
      </c>
      <c r="E723" s="715"/>
      <c r="F723" s="715"/>
      <c r="H723" s="781" t="str">
        <f>IF(AV!$I16="","",AV!$I16)</f>
        <v/>
      </c>
      <c r="I723" s="717" t="str">
        <f t="shared" si="140"/>
        <v/>
      </c>
      <c r="J723" s="718" t="str">
        <f t="shared" si="141"/>
        <v>-</v>
      </c>
      <c r="K723" s="711" t="str">
        <f t="shared" si="136"/>
        <v/>
      </c>
      <c r="L723" s="712" t="str">
        <f t="shared" si="137"/>
        <v/>
      </c>
      <c r="N723" s="719"/>
      <c r="P723" s="714" t="str">
        <f t="shared" si="138"/>
        <v/>
      </c>
      <c r="Q723" s="715"/>
      <c r="R723" s="715" t="str">
        <f t="shared" si="138"/>
        <v/>
      </c>
      <c r="T723" s="781" t="str">
        <f t="shared" si="138"/>
        <v/>
      </c>
    </row>
    <row r="724" spans="1:20" ht="12.75" hidden="1" customHeight="1" x14ac:dyDescent="0.2">
      <c r="A724" s="707"/>
      <c r="B724" s="2" t="str">
        <f>IF('[1]E-AV'!B17="","-",'[1]E-AV'!B17)</f>
        <v>-</v>
      </c>
      <c r="C724" s="780" t="str">
        <f t="shared" si="139"/>
        <v>Jährl.  Afa</v>
      </c>
      <c r="D724" s="714" t="str">
        <f>IF('[1]E-AV'!$I17="","",'[1]E-AV'!$I17)</f>
        <v/>
      </c>
      <c r="E724" s="715"/>
      <c r="F724" s="715"/>
      <c r="H724" s="781" t="str">
        <f>IF(AV!$I17="","",AV!$I17)</f>
        <v/>
      </c>
      <c r="I724" s="717" t="str">
        <f t="shared" si="140"/>
        <v/>
      </c>
      <c r="J724" s="718" t="str">
        <f t="shared" si="141"/>
        <v>-</v>
      </c>
      <c r="K724" s="711" t="str">
        <f t="shared" si="136"/>
        <v/>
      </c>
      <c r="L724" s="712" t="str">
        <f t="shared" si="137"/>
        <v/>
      </c>
      <c r="N724" s="719"/>
      <c r="P724" s="714" t="str">
        <f t="shared" si="138"/>
        <v/>
      </c>
      <c r="Q724" s="715"/>
      <c r="R724" s="715" t="str">
        <f t="shared" si="138"/>
        <v/>
      </c>
      <c r="T724" s="781" t="str">
        <f t="shared" si="138"/>
        <v/>
      </c>
    </row>
    <row r="725" spans="1:20" ht="12.75" hidden="1" customHeight="1" x14ac:dyDescent="0.2">
      <c r="A725" s="707"/>
      <c r="B725" s="2" t="str">
        <f>IF('[1]E-AV'!B18="","-",'[1]E-AV'!B18)</f>
        <v>-</v>
      </c>
      <c r="C725" s="780" t="str">
        <f t="shared" si="139"/>
        <v>Jährl.  Afa</v>
      </c>
      <c r="D725" s="714" t="str">
        <f>IF('[1]E-AV'!$I18="","",'[1]E-AV'!$I18)</f>
        <v/>
      </c>
      <c r="E725" s="715"/>
      <c r="F725" s="715"/>
      <c r="H725" s="781" t="str">
        <f>IF(AV!$I18="","",AV!$I18)</f>
        <v/>
      </c>
      <c r="I725" s="717" t="str">
        <f t="shared" si="140"/>
        <v/>
      </c>
      <c r="J725" s="718" t="str">
        <f t="shared" si="141"/>
        <v>-</v>
      </c>
      <c r="K725" s="711" t="str">
        <f t="shared" si="136"/>
        <v/>
      </c>
      <c r="L725" s="712" t="str">
        <f t="shared" si="137"/>
        <v/>
      </c>
      <c r="N725" s="719"/>
      <c r="P725" s="714" t="str">
        <f t="shared" si="138"/>
        <v/>
      </c>
      <c r="Q725" s="715"/>
      <c r="R725" s="715" t="str">
        <f t="shared" si="138"/>
        <v/>
      </c>
      <c r="T725" s="781" t="str">
        <f t="shared" si="138"/>
        <v/>
      </c>
    </row>
    <row r="726" spans="1:20" ht="12.75" x14ac:dyDescent="0.2">
      <c r="A726" s="707"/>
      <c r="B726" s="779" t="str">
        <f>IF('[1]E-AV'!B19="","-",'[1]E-AV'!B19)</f>
        <v>Summe Gebäude und bauliche Anlagen</v>
      </c>
      <c r="C726" s="780" t="str">
        <f t="shared" si="139"/>
        <v>Jährl.  Afa</v>
      </c>
      <c r="D726" s="720">
        <f>IF('[1]E-AV'!$I19="","",'[1]E-AV'!$I19)</f>
        <v>3425.8139534883721</v>
      </c>
      <c r="E726" s="715"/>
      <c r="F726" s="721">
        <f>IF(AND(H718="",H719="",H720="",H721="",H722="",H723="",H724="",H725=""),"-",SUM(H718:H725))</f>
        <v>3425.8139534883721</v>
      </c>
      <c r="H726" s="784">
        <f>IF(AV!$I19="","",AV!$I19)</f>
        <v>3425.8139534883721</v>
      </c>
      <c r="I726" s="717" t="str">
        <f>IF(B726="","",IF(T726=P726,"Richtig!",IF(AND(P726&lt;&gt;T726,R726=T726),"Formel: OK",IF(T726="","Fehlt","Falsch"))))</f>
        <v>Richtig!</v>
      </c>
      <c r="J726" s="718">
        <f t="shared" si="141"/>
        <v>1</v>
      </c>
      <c r="K726" s="711" t="str">
        <f t="shared" si="136"/>
        <v>│</v>
      </c>
      <c r="L726" s="712">
        <f t="shared" si="137"/>
        <v>1</v>
      </c>
      <c r="N726" s="719" t="str">
        <f>IF($L$1="","",$L$1)</f>
        <v>x</v>
      </c>
      <c r="P726" s="720">
        <f t="shared" si="138"/>
        <v>3425.8139500000002</v>
      </c>
      <c r="Q726" s="715"/>
      <c r="R726" s="721">
        <f t="shared" si="138"/>
        <v>3425.8139500000002</v>
      </c>
      <c r="T726" s="784">
        <f t="shared" si="138"/>
        <v>3425.8139500000002</v>
      </c>
    </row>
    <row r="727" spans="1:20" ht="12.75" x14ac:dyDescent="0.2">
      <c r="B727" s="782" t="str">
        <f>IF('[1]E-AV'!B20="","-",'[1]E-AV'!B20)</f>
        <v>Maschinen und Geräte</v>
      </c>
      <c r="C727" s="780"/>
      <c r="D727" s="708"/>
      <c r="H727" s="706"/>
      <c r="I727" s="717"/>
      <c r="J727" s="717"/>
      <c r="K727" s="711" t="str">
        <f t="shared" si="136"/>
        <v/>
      </c>
      <c r="L727" s="712" t="str">
        <f t="shared" si="137"/>
        <v/>
      </c>
      <c r="N727" s="695" t="str">
        <f>IF($L$1="","",$L$1)</f>
        <v>x</v>
      </c>
      <c r="P727" s="708" t="str">
        <f t="shared" si="138"/>
        <v/>
      </c>
      <c r="R727" s="1" t="str">
        <f t="shared" si="138"/>
        <v/>
      </c>
      <c r="T727" s="706" t="str">
        <f t="shared" si="138"/>
        <v/>
      </c>
    </row>
    <row r="728" spans="1:20" ht="12.75" hidden="1" customHeight="1" x14ac:dyDescent="0.2">
      <c r="A728" s="707"/>
      <c r="B728" s="2" t="str">
        <f>IF('[1]E-AV'!B21="","-",'[1]E-AV'!B21)</f>
        <v>Allradtraktor</v>
      </c>
      <c r="C728" s="780" t="str">
        <f t="shared" ref="C728:C748" si="142">MID($B$712,1,5)&amp;". "&amp;MID($B$712,10,7)</f>
        <v>Jährl.  Afa</v>
      </c>
      <c r="D728" s="714">
        <f>IF('[1]E-AV'!$I21="","",'[1]E-AV'!$I21)</f>
        <v>2213.125</v>
      </c>
      <c r="E728" s="715"/>
      <c r="F728" s="715"/>
      <c r="H728" s="781">
        <f>IF(AV!$I21="","",AV!$I21)</f>
        <v>2213.125</v>
      </c>
      <c r="I728" s="717" t="str">
        <f t="shared" ref="I728:I747" si="143">IF(OR(B728="-",AND(P728="",T728="")),"",IF(T728=P728,"Richtig!",IF(T728="","Fehlt","Falsch")))</f>
        <v>Richtig!</v>
      </c>
      <c r="J728" s="718" t="str">
        <f t="shared" ref="J728:J748" si="144">IF(OR(B728="-",N728="",AND(P728="",T728="")),"-",IF(I728="Richtig!",1,IF(I728="Formel: OK",0.5,IF(OR(I728="Falsch",I728="Fehlt"),0,""))))</f>
        <v>-</v>
      </c>
      <c r="K728" s="711" t="str">
        <f t="shared" si="136"/>
        <v/>
      </c>
      <c r="L728" s="712" t="str">
        <f t="shared" si="137"/>
        <v/>
      </c>
      <c r="N728" s="719"/>
      <c r="P728" s="714">
        <f t="shared" si="138"/>
        <v>2213.125</v>
      </c>
      <c r="Q728" s="715"/>
      <c r="R728" s="715" t="str">
        <f t="shared" si="138"/>
        <v/>
      </c>
      <c r="T728" s="781">
        <f t="shared" si="138"/>
        <v>2213.125</v>
      </c>
    </row>
    <row r="729" spans="1:20" ht="12.75" hidden="1" customHeight="1" x14ac:dyDescent="0.2">
      <c r="A729" s="707"/>
      <c r="B729" s="2" t="str">
        <f>IF('[1]E-AV'!B22="","-",'[1]E-AV'!B22)</f>
        <v>-</v>
      </c>
      <c r="C729" s="780" t="str">
        <f t="shared" si="142"/>
        <v>Jährl.  Afa</v>
      </c>
      <c r="D729" s="714" t="str">
        <f>IF('[1]E-AV'!$I22="","",'[1]E-AV'!$I22)</f>
        <v/>
      </c>
      <c r="E729" s="715"/>
      <c r="F729" s="715"/>
      <c r="H729" s="781" t="str">
        <f>IF(AV!$I22="","",AV!$I22)</f>
        <v/>
      </c>
      <c r="I729" s="717" t="str">
        <f t="shared" si="143"/>
        <v/>
      </c>
      <c r="J729" s="718" t="str">
        <f t="shared" si="144"/>
        <v>-</v>
      </c>
      <c r="K729" s="711" t="str">
        <f t="shared" si="136"/>
        <v/>
      </c>
      <c r="L729" s="712" t="str">
        <f t="shared" si="137"/>
        <v/>
      </c>
      <c r="N729" s="719"/>
      <c r="P729" s="714" t="str">
        <f t="shared" si="138"/>
        <v/>
      </c>
      <c r="Q729" s="715"/>
      <c r="R729" s="715" t="str">
        <f t="shared" si="138"/>
        <v/>
      </c>
      <c r="T729" s="781" t="str">
        <f t="shared" si="138"/>
        <v/>
      </c>
    </row>
    <row r="730" spans="1:20" ht="12.75" hidden="1" customHeight="1" x14ac:dyDescent="0.2">
      <c r="A730" s="707"/>
      <c r="B730" s="2" t="str">
        <f>IF('[1]E-AV'!B23="","-",'[1]E-AV'!B23)</f>
        <v>-</v>
      </c>
      <c r="C730" s="780" t="str">
        <f t="shared" si="142"/>
        <v>Jährl.  Afa</v>
      </c>
      <c r="D730" s="714" t="str">
        <f>IF('[1]E-AV'!$I23="","",'[1]E-AV'!$I23)</f>
        <v/>
      </c>
      <c r="E730" s="715"/>
      <c r="F730" s="715"/>
      <c r="H730" s="781" t="str">
        <f>IF(AV!$I23="","",AV!$I23)</f>
        <v/>
      </c>
      <c r="I730" s="717" t="str">
        <f t="shared" si="143"/>
        <v/>
      </c>
      <c r="J730" s="718" t="str">
        <f t="shared" si="144"/>
        <v>-</v>
      </c>
      <c r="K730" s="711" t="str">
        <f t="shared" si="136"/>
        <v/>
      </c>
      <c r="L730" s="712" t="str">
        <f t="shared" si="137"/>
        <v/>
      </c>
      <c r="N730" s="719"/>
      <c r="P730" s="714" t="str">
        <f t="shared" si="138"/>
        <v/>
      </c>
      <c r="Q730" s="715"/>
      <c r="R730" s="715" t="str">
        <f t="shared" si="138"/>
        <v/>
      </c>
      <c r="T730" s="781" t="str">
        <f t="shared" si="138"/>
        <v/>
      </c>
    </row>
    <row r="731" spans="1:20" ht="12.75" hidden="1" customHeight="1" x14ac:dyDescent="0.2">
      <c r="A731" s="707"/>
      <c r="B731" s="2" t="str">
        <f>IF('[1]E-AV'!B24="","-",'[1]E-AV'!B24)</f>
        <v>Motorsäge</v>
      </c>
      <c r="C731" s="780" t="str">
        <f t="shared" si="142"/>
        <v>Jährl.  Afa</v>
      </c>
      <c r="D731" s="714">
        <f>IF('[1]E-AV'!$I24="","",'[1]E-AV'!$I24)</f>
        <v>0</v>
      </c>
      <c r="E731" s="715"/>
      <c r="F731" s="715"/>
      <c r="H731" s="781">
        <f>IF(AV!$I24="","",AV!$I24)</f>
        <v>0</v>
      </c>
      <c r="I731" s="717" t="str">
        <f t="shared" si="143"/>
        <v>Richtig!</v>
      </c>
      <c r="J731" s="718" t="str">
        <f t="shared" si="144"/>
        <v>-</v>
      </c>
      <c r="K731" s="711" t="str">
        <f t="shared" si="136"/>
        <v/>
      </c>
      <c r="L731" s="712" t="str">
        <f t="shared" si="137"/>
        <v/>
      </c>
      <c r="N731" s="719"/>
      <c r="P731" s="714">
        <f t="shared" si="138"/>
        <v>0</v>
      </c>
      <c r="Q731" s="715"/>
      <c r="R731" s="715" t="str">
        <f t="shared" si="138"/>
        <v/>
      </c>
      <c r="T731" s="781">
        <f t="shared" si="138"/>
        <v>0</v>
      </c>
    </row>
    <row r="732" spans="1:20" ht="12.75" hidden="1" customHeight="1" x14ac:dyDescent="0.2">
      <c r="A732" s="707"/>
      <c r="B732" s="2" t="str">
        <f>IF('[1]E-AV'!B25="","-",'[1]E-AV'!B25)</f>
        <v>Pflug</v>
      </c>
      <c r="C732" s="780" t="str">
        <f t="shared" si="142"/>
        <v>Jährl.  Afa</v>
      </c>
      <c r="D732" s="714">
        <f>IF('[1]E-AV'!$I25="","",'[1]E-AV'!$I25)</f>
        <v>128.92857142857142</v>
      </c>
      <c r="E732" s="715"/>
      <c r="F732" s="715"/>
      <c r="H732" s="781">
        <f>IF(AV!$I25="","",AV!$I25)</f>
        <v>128.92857142857142</v>
      </c>
      <c r="I732" s="717" t="str">
        <f t="shared" si="143"/>
        <v>Richtig!</v>
      </c>
      <c r="J732" s="718" t="str">
        <f t="shared" si="144"/>
        <v>-</v>
      </c>
      <c r="K732" s="711" t="str">
        <f t="shared" si="136"/>
        <v/>
      </c>
      <c r="L732" s="712" t="str">
        <f t="shared" si="137"/>
        <v/>
      </c>
      <c r="N732" s="719"/>
      <c r="P732" s="714">
        <f t="shared" si="138"/>
        <v>128.92857000000001</v>
      </c>
      <c r="Q732" s="715"/>
      <c r="R732" s="715" t="str">
        <f t="shared" si="138"/>
        <v/>
      </c>
      <c r="T732" s="781">
        <f t="shared" si="138"/>
        <v>128.92857000000001</v>
      </c>
    </row>
    <row r="733" spans="1:20" ht="12.75" hidden="1" customHeight="1" x14ac:dyDescent="0.2">
      <c r="A733" s="707"/>
      <c r="B733" s="2" t="str">
        <f>IF('[1]E-AV'!B26="","-",'[1]E-AV'!B26)</f>
        <v>Ladewagen</v>
      </c>
      <c r="C733" s="780" t="str">
        <f t="shared" si="142"/>
        <v>Jährl.  Afa</v>
      </c>
      <c r="D733" s="714">
        <f>IF('[1]E-AV'!$I26="","",'[1]E-AV'!$I26)</f>
        <v>382.0625</v>
      </c>
      <c r="E733" s="715"/>
      <c r="F733" s="715"/>
      <c r="H733" s="781">
        <f>IF(AV!$I26="","",AV!$I26)</f>
        <v>382.0625</v>
      </c>
      <c r="I733" s="717" t="str">
        <f t="shared" si="143"/>
        <v>Richtig!</v>
      </c>
      <c r="J733" s="718" t="str">
        <f t="shared" si="144"/>
        <v>-</v>
      </c>
      <c r="K733" s="711" t="str">
        <f t="shared" si="136"/>
        <v/>
      </c>
      <c r="L733" s="712" t="str">
        <f t="shared" si="137"/>
        <v/>
      </c>
      <c r="N733" s="719"/>
      <c r="P733" s="714">
        <f t="shared" si="138"/>
        <v>382.0625</v>
      </c>
      <c r="Q733" s="715"/>
      <c r="R733" s="715" t="str">
        <f t="shared" si="138"/>
        <v/>
      </c>
      <c r="T733" s="781">
        <f t="shared" si="138"/>
        <v>382.0625</v>
      </c>
    </row>
    <row r="734" spans="1:20" ht="12.75" hidden="1" customHeight="1" x14ac:dyDescent="0.2">
      <c r="A734" s="707"/>
      <c r="B734" s="2" t="str">
        <f>IF('[1]E-AV'!B27="","-",'[1]E-AV'!B27)</f>
        <v>Heuraupe</v>
      </c>
      <c r="C734" s="780" t="str">
        <f t="shared" si="142"/>
        <v>Jährl.  Afa</v>
      </c>
      <c r="D734" s="714">
        <f>IF('[1]E-AV'!$I27="","",'[1]E-AV'!$I27)</f>
        <v>166.25</v>
      </c>
      <c r="E734" s="715"/>
      <c r="F734" s="715"/>
      <c r="H734" s="781">
        <f>IF(AV!$I27="","",AV!$I27)</f>
        <v>166.25</v>
      </c>
      <c r="I734" s="717" t="str">
        <f t="shared" si="143"/>
        <v>Richtig!</v>
      </c>
      <c r="J734" s="718" t="str">
        <f t="shared" si="144"/>
        <v>-</v>
      </c>
      <c r="K734" s="711" t="str">
        <f t="shared" si="136"/>
        <v/>
      </c>
      <c r="L734" s="712" t="str">
        <f t="shared" si="137"/>
        <v/>
      </c>
      <c r="N734" s="719"/>
      <c r="P734" s="714">
        <f t="shared" si="138"/>
        <v>166.25</v>
      </c>
      <c r="Q734" s="715"/>
      <c r="R734" s="715" t="str">
        <f t="shared" si="138"/>
        <v/>
      </c>
      <c r="T734" s="781">
        <f t="shared" si="138"/>
        <v>166.25</v>
      </c>
    </row>
    <row r="735" spans="1:20" ht="12.75" x14ac:dyDescent="0.2">
      <c r="A735" s="707"/>
      <c r="B735" s="2" t="str">
        <f>IF('[1]E-AV'!B28="","-",'[1]E-AV'!B28)</f>
        <v>Melkmaschine</v>
      </c>
      <c r="C735" s="780" t="str">
        <f t="shared" si="142"/>
        <v>Jährl.  Afa</v>
      </c>
      <c r="D735" s="714">
        <f>IF('[1]E-AV'!$I28="","",'[1]E-AV'!$I28)</f>
        <v>203.3</v>
      </c>
      <c r="E735" s="715"/>
      <c r="F735" s="715"/>
      <c r="H735" s="781">
        <f>IF(AV!$I28="","",AV!$I28)</f>
        <v>203.3</v>
      </c>
      <c r="I735" s="717" t="str">
        <f t="shared" si="143"/>
        <v>Richtig!</v>
      </c>
      <c r="J735" s="718">
        <f t="shared" si="144"/>
        <v>1</v>
      </c>
      <c r="K735" s="711" t="str">
        <f t="shared" si="136"/>
        <v>│</v>
      </c>
      <c r="L735" s="712">
        <f t="shared" ref="L735:L766" si="145">IF(OR(B735="-",N735="",AND(P735="",T735="")),"",1)</f>
        <v>1</v>
      </c>
      <c r="N735" s="719" t="str">
        <f>IF($L$1="","",$L$1)</f>
        <v>x</v>
      </c>
      <c r="P735" s="714">
        <f t="shared" si="138"/>
        <v>203.3</v>
      </c>
      <c r="Q735" s="715"/>
      <c r="R735" s="715" t="str">
        <f t="shared" si="138"/>
        <v/>
      </c>
      <c r="T735" s="781">
        <f t="shared" si="138"/>
        <v>203.3</v>
      </c>
    </row>
    <row r="736" spans="1:20" ht="12.75" x14ac:dyDescent="0.2">
      <c r="A736" s="707"/>
      <c r="B736" s="2" t="str">
        <f>IF('[1]E-AV'!B29="","-",'[1]E-AV'!B29)</f>
        <v>Zentrifuge</v>
      </c>
      <c r="C736" s="780" t="str">
        <f t="shared" si="142"/>
        <v>Jährl.  Afa</v>
      </c>
      <c r="D736" s="714">
        <f>IF('[1]E-AV'!$I29="","",'[1]E-AV'!$I29)</f>
        <v>37.049999999999997</v>
      </c>
      <c r="E736" s="715"/>
      <c r="F736" s="715"/>
      <c r="H736" s="781">
        <f>IF(AV!$I29="","",AV!$I29)</f>
        <v>37.049999999999997</v>
      </c>
      <c r="I736" s="717" t="str">
        <f t="shared" si="143"/>
        <v>Richtig!</v>
      </c>
      <c r="J736" s="718">
        <f t="shared" si="144"/>
        <v>1</v>
      </c>
      <c r="K736" s="711" t="str">
        <f t="shared" si="136"/>
        <v>│</v>
      </c>
      <c r="L736" s="712">
        <f t="shared" si="145"/>
        <v>1</v>
      </c>
      <c r="N736" s="719" t="str">
        <f>IF($L$1="","",$L$1)</f>
        <v>x</v>
      </c>
      <c r="P736" s="714">
        <f t="shared" si="138"/>
        <v>37.049999999999997</v>
      </c>
      <c r="Q736" s="715"/>
      <c r="R736" s="715" t="str">
        <f t="shared" si="138"/>
        <v/>
      </c>
      <c r="T736" s="781">
        <f t="shared" si="138"/>
        <v>37.049999999999997</v>
      </c>
    </row>
    <row r="737" spans="1:20" ht="12.75" hidden="1" customHeight="1" x14ac:dyDescent="0.2">
      <c r="A737" s="707"/>
      <c r="B737" s="2" t="str">
        <f>IF('[1]E-AV'!B30="","-",'[1]E-AV'!B30)</f>
        <v>Gebläse</v>
      </c>
      <c r="C737" s="780" t="str">
        <f t="shared" si="142"/>
        <v>Jährl.  Afa</v>
      </c>
      <c r="D737" s="714">
        <f>IF('[1]E-AV'!$I30="","",'[1]E-AV'!$I30)</f>
        <v>138.9375</v>
      </c>
      <c r="E737" s="715"/>
      <c r="F737" s="715"/>
      <c r="H737" s="781">
        <f>IF(AV!$I30="","",AV!$I30)</f>
        <v>138.9375</v>
      </c>
      <c r="I737" s="717" t="str">
        <f t="shared" si="143"/>
        <v>Richtig!</v>
      </c>
      <c r="J737" s="718" t="str">
        <f t="shared" si="144"/>
        <v>-</v>
      </c>
      <c r="K737" s="711" t="str">
        <f t="shared" si="136"/>
        <v/>
      </c>
      <c r="L737" s="712" t="str">
        <f t="shared" si="145"/>
        <v/>
      </c>
      <c r="N737" s="719"/>
      <c r="P737" s="714">
        <f t="shared" si="138"/>
        <v>138.9375</v>
      </c>
      <c r="Q737" s="715"/>
      <c r="R737" s="715" t="str">
        <f t="shared" si="138"/>
        <v/>
      </c>
      <c r="T737" s="781">
        <f t="shared" si="138"/>
        <v>138.9375</v>
      </c>
    </row>
    <row r="738" spans="1:20" ht="12.75" hidden="1" customHeight="1" x14ac:dyDescent="0.2">
      <c r="A738" s="707"/>
      <c r="B738" s="2" t="str">
        <f>IF('[1]E-AV'!B31="","-",'[1]E-AV'!B31)</f>
        <v>Vakuumfass</v>
      </c>
      <c r="C738" s="780" t="str">
        <f t="shared" si="142"/>
        <v>Jährl.  Afa</v>
      </c>
      <c r="D738" s="714">
        <f>IF('[1]E-AV'!$I31="","",'[1]E-AV'!$I31)</f>
        <v>0</v>
      </c>
      <c r="E738" s="715"/>
      <c r="F738" s="715"/>
      <c r="H738" s="781">
        <f>IF(AV!$I31="","",AV!$I31)</f>
        <v>0</v>
      </c>
      <c r="I738" s="717" t="str">
        <f t="shared" si="143"/>
        <v>Richtig!</v>
      </c>
      <c r="J738" s="718" t="str">
        <f t="shared" si="144"/>
        <v>-</v>
      </c>
      <c r="K738" s="711" t="str">
        <f t="shared" si="136"/>
        <v/>
      </c>
      <c r="L738" s="712" t="str">
        <f t="shared" si="145"/>
        <v/>
      </c>
      <c r="N738" s="719"/>
      <c r="P738" s="714">
        <f t="shared" si="138"/>
        <v>0</v>
      </c>
      <c r="Q738" s="715"/>
      <c r="R738" s="715" t="str">
        <f t="shared" si="138"/>
        <v/>
      </c>
      <c r="T738" s="781">
        <f t="shared" si="138"/>
        <v>0</v>
      </c>
    </row>
    <row r="739" spans="1:20" ht="12.75" hidden="1" customHeight="1" x14ac:dyDescent="0.2">
      <c r="A739" s="707"/>
      <c r="B739" s="2" t="str">
        <f>IF('[1]E-AV'!B32="","-",'[1]E-AV'!B32)</f>
        <v>Butterfass</v>
      </c>
      <c r="C739" s="780" t="str">
        <f t="shared" si="142"/>
        <v>Jährl.  Afa</v>
      </c>
      <c r="D739" s="714">
        <f>IF('[1]E-AV'!$I32="","",'[1]E-AV'!$I32)</f>
        <v>42.75</v>
      </c>
      <c r="E739" s="715"/>
      <c r="F739" s="715"/>
      <c r="H739" s="781">
        <f>IF(AV!$I32="","",AV!$I32)</f>
        <v>42.75</v>
      </c>
      <c r="I739" s="717" t="str">
        <f t="shared" si="143"/>
        <v>Richtig!</v>
      </c>
      <c r="J739" s="718" t="str">
        <f t="shared" si="144"/>
        <v>-</v>
      </c>
      <c r="K739" s="711" t="str">
        <f t="shared" si="136"/>
        <v/>
      </c>
      <c r="L739" s="712" t="str">
        <f t="shared" si="145"/>
        <v/>
      </c>
      <c r="N739" s="719"/>
      <c r="P739" s="714">
        <f t="shared" si="138"/>
        <v>42.75</v>
      </c>
      <c r="Q739" s="715"/>
      <c r="R739" s="715" t="str">
        <f t="shared" si="138"/>
        <v/>
      </c>
      <c r="T739" s="781">
        <f t="shared" si="138"/>
        <v>42.75</v>
      </c>
    </row>
    <row r="740" spans="1:20" ht="12.75" hidden="1" customHeight="1" x14ac:dyDescent="0.2">
      <c r="A740" s="707"/>
      <c r="B740" s="2" t="str">
        <f>IF('[1]E-AV'!B33="","-",'[1]E-AV'!B33)</f>
        <v>Miststreuer</v>
      </c>
      <c r="C740" s="780" t="str">
        <f t="shared" si="142"/>
        <v>Jährl.  Afa</v>
      </c>
      <c r="D740" s="714">
        <f>IF('[1]E-AV'!$I33="","",'[1]E-AV'!$I33)</f>
        <v>237.5</v>
      </c>
      <c r="E740" s="715"/>
      <c r="F740" s="715"/>
      <c r="H740" s="781">
        <f>IF(AV!$I33="","",AV!$I33)</f>
        <v>237.5</v>
      </c>
      <c r="I740" s="717" t="str">
        <f t="shared" si="143"/>
        <v>Richtig!</v>
      </c>
      <c r="J740" s="718" t="str">
        <f t="shared" si="144"/>
        <v>-</v>
      </c>
      <c r="K740" s="711" t="str">
        <f t="shared" si="136"/>
        <v/>
      </c>
      <c r="L740" s="712" t="str">
        <f t="shared" si="145"/>
        <v/>
      </c>
      <c r="N740" s="719"/>
      <c r="P740" s="714">
        <f t="shared" si="138"/>
        <v>237.5</v>
      </c>
      <c r="Q740" s="715"/>
      <c r="R740" s="715" t="str">
        <f t="shared" si="138"/>
        <v/>
      </c>
      <c r="T740" s="781">
        <f t="shared" si="138"/>
        <v>237.5</v>
      </c>
    </row>
    <row r="741" spans="1:20" ht="12.75" hidden="1" customHeight="1" x14ac:dyDescent="0.2">
      <c r="A741" s="707"/>
      <c r="B741" s="2" t="str">
        <f>IF('[1]E-AV'!B34="","-",'[1]E-AV'!B34)</f>
        <v>Kreiselzetter</v>
      </c>
      <c r="C741" s="780" t="str">
        <f t="shared" si="142"/>
        <v>Jährl.  Afa</v>
      </c>
      <c r="D741" s="714">
        <f>IF('[1]E-AV'!$I34="","",'[1]E-AV'!$I34)</f>
        <v>0</v>
      </c>
      <c r="E741" s="715"/>
      <c r="F741" s="715"/>
      <c r="H741" s="781">
        <f>IF(AV!$I34="","",AV!$I34)</f>
        <v>0</v>
      </c>
      <c r="I741" s="717" t="str">
        <f t="shared" si="143"/>
        <v>Richtig!</v>
      </c>
      <c r="J741" s="718" t="str">
        <f t="shared" si="144"/>
        <v>-</v>
      </c>
      <c r="K741" s="711" t="str">
        <f t="shared" si="136"/>
        <v/>
      </c>
      <c r="L741" s="712" t="str">
        <f t="shared" si="145"/>
        <v/>
      </c>
      <c r="N741" s="719"/>
      <c r="P741" s="714">
        <f t="shared" si="138"/>
        <v>0</v>
      </c>
      <c r="Q741" s="715"/>
      <c r="R741" s="715" t="str">
        <f t="shared" si="138"/>
        <v/>
      </c>
      <c r="T741" s="781">
        <f t="shared" si="138"/>
        <v>0</v>
      </c>
    </row>
    <row r="742" spans="1:20" ht="12.75" hidden="1" customHeight="1" x14ac:dyDescent="0.2">
      <c r="A742" s="707"/>
      <c r="B742" s="2" t="str">
        <f>IF('[1]E-AV'!B35="","-",'[1]E-AV'!B35)</f>
        <v>PKW-Anhänger</v>
      </c>
      <c r="C742" s="780" t="str">
        <f t="shared" si="142"/>
        <v>Jährl.  Afa</v>
      </c>
      <c r="D742" s="714">
        <f>IF('[1]E-AV'!$I35="","",'[1]E-AV'!$I35)</f>
        <v>37.4375</v>
      </c>
      <c r="E742" s="715"/>
      <c r="F742" s="715"/>
      <c r="H742" s="781">
        <f>IF(AV!$I35="","",AV!$I35)</f>
        <v>37.4375</v>
      </c>
      <c r="I742" s="717" t="str">
        <f t="shared" si="143"/>
        <v>Richtig!</v>
      </c>
      <c r="J742" s="718" t="str">
        <f t="shared" si="144"/>
        <v>-</v>
      </c>
      <c r="K742" s="711" t="str">
        <f t="shared" si="136"/>
        <v/>
      </c>
      <c r="L742" s="712" t="str">
        <f t="shared" si="145"/>
        <v/>
      </c>
      <c r="N742" s="719"/>
      <c r="P742" s="714">
        <f t="shared" si="138"/>
        <v>37.4375</v>
      </c>
      <c r="Q742" s="715"/>
      <c r="R742" s="715" t="str">
        <f t="shared" si="138"/>
        <v/>
      </c>
      <c r="T742" s="781">
        <f t="shared" si="138"/>
        <v>37.4375</v>
      </c>
    </row>
    <row r="743" spans="1:20" ht="12.75" x14ac:dyDescent="0.2">
      <c r="A743" s="707"/>
      <c r="B743" s="2" t="str">
        <f>IF('[1]E-AV'!B36="","-",'[1]E-AV'!B36)</f>
        <v>Mähwerk</v>
      </c>
      <c r="C743" s="780" t="str">
        <f t="shared" si="142"/>
        <v>Jährl.  Afa</v>
      </c>
      <c r="D743" s="714">
        <f>IF('[1]E-AV'!$I36="","",'[1]E-AV'!$I36)</f>
        <v>180.53333333333333</v>
      </c>
      <c r="E743" s="715"/>
      <c r="F743" s="715"/>
      <c r="H743" s="781">
        <f>IF(AV!$I36="","",AV!$I36)</f>
        <v>180.53333333333333</v>
      </c>
      <c r="I743" s="717" t="str">
        <f t="shared" si="143"/>
        <v>Richtig!</v>
      </c>
      <c r="J743" s="718">
        <f t="shared" si="144"/>
        <v>1</v>
      </c>
      <c r="K743" s="711" t="str">
        <f t="shared" si="136"/>
        <v>│</v>
      </c>
      <c r="L743" s="712">
        <f t="shared" si="145"/>
        <v>1</v>
      </c>
      <c r="N743" s="719" t="str">
        <f>IF($L$1="","",$L$1)</f>
        <v>x</v>
      </c>
      <c r="P743" s="714">
        <f t="shared" si="138"/>
        <v>180.53333000000001</v>
      </c>
      <c r="Q743" s="715"/>
      <c r="R743" s="715" t="str">
        <f t="shared" si="138"/>
        <v/>
      </c>
      <c r="T743" s="781">
        <f t="shared" si="138"/>
        <v>180.53333000000001</v>
      </c>
    </row>
    <row r="744" spans="1:20" ht="12.75" hidden="1" customHeight="1" x14ac:dyDescent="0.2">
      <c r="A744" s="707"/>
      <c r="B744" s="2" t="str">
        <f>IF('[1]E-AV'!B37="","-",'[1]E-AV'!B37)</f>
        <v>Motormäher</v>
      </c>
      <c r="C744" s="780" t="str">
        <f t="shared" si="142"/>
        <v>Jährl.  Afa</v>
      </c>
      <c r="D744" s="714">
        <f>IF('[1]E-AV'!$I37="","",'[1]E-AV'!$I37)</f>
        <v>74.5625</v>
      </c>
      <c r="E744" s="715"/>
      <c r="F744" s="715"/>
      <c r="H744" s="781">
        <f>IF(AV!$I37="","",AV!$I37)</f>
        <v>74.5625</v>
      </c>
      <c r="I744" s="717" t="str">
        <f t="shared" si="143"/>
        <v>Richtig!</v>
      </c>
      <c r="J744" s="718" t="str">
        <f t="shared" si="144"/>
        <v>-</v>
      </c>
      <c r="K744" s="711" t="str">
        <f t="shared" si="136"/>
        <v/>
      </c>
      <c r="L744" s="712" t="str">
        <f t="shared" si="145"/>
        <v/>
      </c>
      <c r="N744" s="719"/>
      <c r="P744" s="714">
        <f t="shared" si="138"/>
        <v>74.5625</v>
      </c>
      <c r="Q744" s="715"/>
      <c r="R744" s="715" t="str">
        <f t="shared" si="138"/>
        <v/>
      </c>
      <c r="T744" s="781">
        <f t="shared" si="138"/>
        <v>74.5625</v>
      </c>
    </row>
    <row r="745" spans="1:20" ht="12.75" hidden="1" customHeight="1" x14ac:dyDescent="0.2">
      <c r="A745" s="707"/>
      <c r="B745" s="2" t="str">
        <f>IF('[1]E-AV'!B38="","-",'[1]E-AV'!B38)</f>
        <v>Frontlader</v>
      </c>
      <c r="C745" s="780" t="str">
        <f t="shared" si="142"/>
        <v>Jährl.  Afa</v>
      </c>
      <c r="D745" s="714">
        <f>IF('[1]E-AV'!$I38="","",'[1]E-AV'!$I38)</f>
        <v>63.333333333333336</v>
      </c>
      <c r="E745" s="715"/>
      <c r="F745" s="715"/>
      <c r="H745" s="781">
        <f>IF(AV!$I38="","",AV!$I38)</f>
        <v>63.333333333333336</v>
      </c>
      <c r="I745" s="717" t="str">
        <f t="shared" si="143"/>
        <v>Richtig!</v>
      </c>
      <c r="J745" s="718" t="str">
        <f t="shared" si="144"/>
        <v>-</v>
      </c>
      <c r="K745" s="711" t="str">
        <f t="shared" si="136"/>
        <v/>
      </c>
      <c r="L745" s="712" t="str">
        <f t="shared" si="145"/>
        <v/>
      </c>
      <c r="N745" s="719"/>
      <c r="P745" s="714">
        <f t="shared" si="138"/>
        <v>63.333329999999997</v>
      </c>
      <c r="Q745" s="715"/>
      <c r="R745" s="715" t="str">
        <f t="shared" si="138"/>
        <v/>
      </c>
      <c r="T745" s="781">
        <f t="shared" si="138"/>
        <v>63.333329999999997</v>
      </c>
    </row>
    <row r="746" spans="1:20" ht="12.75" hidden="1" customHeight="1" x14ac:dyDescent="0.2">
      <c r="A746" s="707"/>
      <c r="B746" s="2" t="str">
        <f>IF('[1]E-AV'!B39="","-",'[1]E-AV'!B39)</f>
        <v>Ackerschleppe</v>
      </c>
      <c r="C746" s="780" t="str">
        <f t="shared" si="142"/>
        <v>Jährl.  Afa</v>
      </c>
      <c r="D746" s="714">
        <f>IF('[1]E-AV'!$I39="","",'[1]E-AV'!$I39)</f>
        <v>38.625</v>
      </c>
      <c r="E746" s="715"/>
      <c r="F746" s="715"/>
      <c r="H746" s="781">
        <f>IF(AV!$I39="","",AV!$I39)</f>
        <v>38.625</v>
      </c>
      <c r="I746" s="717" t="str">
        <f t="shared" si="143"/>
        <v>Richtig!</v>
      </c>
      <c r="J746" s="718" t="str">
        <f t="shared" si="144"/>
        <v>-</v>
      </c>
      <c r="K746" s="711" t="str">
        <f t="shared" si="136"/>
        <v/>
      </c>
      <c r="L746" s="712" t="str">
        <f t="shared" si="145"/>
        <v/>
      </c>
      <c r="N746" s="719"/>
      <c r="P746" s="714">
        <f t="shared" si="138"/>
        <v>38.625</v>
      </c>
      <c r="Q746" s="715"/>
      <c r="R746" s="715" t="str">
        <f t="shared" si="138"/>
        <v/>
      </c>
      <c r="T746" s="781">
        <f t="shared" si="138"/>
        <v>38.625</v>
      </c>
    </row>
    <row r="747" spans="1:20" ht="12.75" hidden="1" customHeight="1" x14ac:dyDescent="0.2">
      <c r="A747" s="707"/>
      <c r="B747" s="2" t="str">
        <f>IF('[1]E-AV'!B40="","-",'[1]E-AV'!B40)</f>
        <v>-</v>
      </c>
      <c r="C747" s="780" t="str">
        <f t="shared" si="142"/>
        <v>Jährl.  Afa</v>
      </c>
      <c r="D747" s="714" t="str">
        <f>IF('[1]E-AV'!$I40="","",'[1]E-AV'!$I40)</f>
        <v/>
      </c>
      <c r="E747" s="715"/>
      <c r="F747" s="715"/>
      <c r="H747" s="781" t="str">
        <f>IF(AV!$I40="","",AV!$I40)</f>
        <v/>
      </c>
      <c r="I747" s="717" t="str">
        <f t="shared" si="143"/>
        <v/>
      </c>
      <c r="J747" s="718" t="str">
        <f t="shared" si="144"/>
        <v>-</v>
      </c>
      <c r="K747" s="711" t="str">
        <f t="shared" si="136"/>
        <v/>
      </c>
      <c r="L747" s="712" t="str">
        <f t="shared" si="145"/>
        <v/>
      </c>
      <c r="N747" s="719"/>
      <c r="P747" s="714" t="str">
        <f t="shared" si="138"/>
        <v/>
      </c>
      <c r="Q747" s="715"/>
      <c r="R747" s="715" t="str">
        <f t="shared" si="138"/>
        <v/>
      </c>
      <c r="T747" s="781" t="str">
        <f t="shared" si="138"/>
        <v/>
      </c>
    </row>
    <row r="748" spans="1:20" ht="12.75" x14ac:dyDescent="0.2">
      <c r="A748" s="707"/>
      <c r="B748" s="779" t="str">
        <f>IF('[1]E-AV'!B41="","-",'[1]E-AV'!B41)</f>
        <v>Summe Maschinen und Geräte</v>
      </c>
      <c r="C748" s="780" t="str">
        <f t="shared" si="142"/>
        <v>Jährl.  Afa</v>
      </c>
      <c r="D748" s="720">
        <f>IF('[1]E-AV'!$I41="","",'[1]E-AV'!$I41)</f>
        <v>3944.3952380952387</v>
      </c>
      <c r="E748" s="715"/>
      <c r="F748" s="721">
        <f>IF(AND(H728="",H729="",H730="",H731="",H732="",H733="",H734="",H735="",H736="",H737="",H738="",H739="",H740="",H741="",H742="",H743="",H744="",H745="",H746="",H747=""),"-",SUM(H728:H747))</f>
        <v>3944.3952380952387</v>
      </c>
      <c r="H748" s="784">
        <f>IF(AV!$I41="","",AV!$I41)</f>
        <v>3944.3952380952387</v>
      </c>
      <c r="I748" s="717" t="str">
        <f>IF(B748="","",IF(T748=P748,"Richtig!",IF(AND(P748&lt;&gt;T748,R748=T748),"Formel: OK",IF(T748="","Fehlt","Falsch"))))</f>
        <v>Richtig!</v>
      </c>
      <c r="J748" s="718">
        <f t="shared" si="144"/>
        <v>1</v>
      </c>
      <c r="K748" s="711" t="str">
        <f t="shared" si="136"/>
        <v>│</v>
      </c>
      <c r="L748" s="712">
        <f t="shared" si="145"/>
        <v>1</v>
      </c>
      <c r="N748" s="719" t="str">
        <f>IF($L$1="","",$L$1)</f>
        <v>x</v>
      </c>
      <c r="P748" s="720">
        <f t="shared" si="138"/>
        <v>3944.3952399999998</v>
      </c>
      <c r="Q748" s="715"/>
      <c r="R748" s="721">
        <f t="shared" si="138"/>
        <v>3944.3952399999998</v>
      </c>
      <c r="T748" s="784">
        <f t="shared" si="138"/>
        <v>3944.3952399999998</v>
      </c>
    </row>
    <row r="749" spans="1:20" ht="12.75" x14ac:dyDescent="0.2">
      <c r="A749" s="707"/>
      <c r="B749" s="707"/>
      <c r="C749" s="707"/>
      <c r="D749" s="708"/>
      <c r="H749" s="706"/>
      <c r="I749" s="710"/>
      <c r="J749" s="710"/>
      <c r="K749" s="711"/>
      <c r="L749" s="712" t="str">
        <f t="shared" si="145"/>
        <v/>
      </c>
      <c r="N749" s="725" t="str">
        <f>IF($L$1="","",$L$1)</f>
        <v>x</v>
      </c>
      <c r="P749" s="708" t="str">
        <f t="shared" si="138"/>
        <v/>
      </c>
      <c r="R749" s="1" t="str">
        <f t="shared" si="138"/>
        <v/>
      </c>
      <c r="T749" s="706" t="str">
        <f t="shared" si="138"/>
        <v/>
      </c>
    </row>
    <row r="750" spans="1:20" ht="12.75" x14ac:dyDescent="0.2">
      <c r="A750" s="706" t="s">
        <v>373</v>
      </c>
      <c r="B750" s="706" t="s">
        <v>435</v>
      </c>
      <c r="C750" s="707"/>
      <c r="D750" s="708" t="str">
        <f>IF('[1]E-AV'!$G42="","",'[1]E-AV'!$G42)</f>
        <v/>
      </c>
      <c r="H750" s="706" t="str">
        <f>IF(AV!$G42="","",AV!$G42)</f>
        <v/>
      </c>
      <c r="I750" s="710"/>
      <c r="J750" s="710"/>
      <c r="K750" s="711" t="str">
        <f t="shared" si="136"/>
        <v/>
      </c>
      <c r="L750" s="712" t="str">
        <f t="shared" si="145"/>
        <v/>
      </c>
      <c r="N750" s="695" t="str">
        <f>IF($L$1="","",$L$1)</f>
        <v>x</v>
      </c>
      <c r="P750" s="708" t="str">
        <f t="shared" si="138"/>
        <v/>
      </c>
      <c r="R750" s="1" t="str">
        <f t="shared" si="138"/>
        <v/>
      </c>
      <c r="T750" s="706" t="str">
        <f t="shared" si="138"/>
        <v/>
      </c>
    </row>
    <row r="751" spans="1:20" ht="12.75" x14ac:dyDescent="0.2">
      <c r="B751" s="782" t="str">
        <f>IF('[1]E-AV'!B6="","-",'[1]E-AV'!B6)</f>
        <v>Grundverbesserungen</v>
      </c>
      <c r="C751" s="731"/>
      <c r="D751" s="708"/>
      <c r="H751" s="706"/>
      <c r="I751" s="717"/>
      <c r="J751" s="717"/>
      <c r="K751" s="711" t="str">
        <f t="shared" si="136"/>
        <v/>
      </c>
      <c r="L751" s="712" t="str">
        <f t="shared" si="145"/>
        <v/>
      </c>
      <c r="N751" s="695" t="str">
        <f>IF($L$1="","",$L$1)</f>
        <v>x</v>
      </c>
      <c r="P751" s="708" t="str">
        <f t="shared" si="138"/>
        <v/>
      </c>
      <c r="R751" s="1" t="str">
        <f t="shared" si="138"/>
        <v/>
      </c>
      <c r="T751" s="706" t="str">
        <f t="shared" si="138"/>
        <v/>
      </c>
    </row>
    <row r="752" spans="1:20" ht="12.75" hidden="1" customHeight="1" x14ac:dyDescent="0.2">
      <c r="A752" s="707"/>
      <c r="B752" s="2" t="str">
        <f>IF('[1]E-AV'!B7="","-",'[1]E-AV'!B7)</f>
        <v>Rohrdrainage</v>
      </c>
      <c r="C752" s="780" t="str">
        <f>MID($B$750,1,5)&amp;". "&amp;MID($B$750,10,7)&amp;"."</f>
        <v>Zeitw. 31. Dez.</v>
      </c>
      <c r="D752" s="720">
        <f>IF('[1]E-AV'!$J7="","",'[1]E-AV'!$J7)</f>
        <v>1</v>
      </c>
      <c r="E752" s="715"/>
      <c r="F752" s="721">
        <f>IF(AND(OR(H676="",H676="noch leer"),OR(H714="",H714="noch leer")),"-",IF(H676-H714=0,1,H676-H714))</f>
        <v>1</v>
      </c>
      <c r="H752" s="784">
        <f>IF(AV!$J7="","",AV!$J7)</f>
        <v>1</v>
      </c>
      <c r="I752" s="717" t="str">
        <f>IF(B752="","",IF(T752=P752,"Richtig!",IF(AND(P752&lt;&gt;T752,R752=T752),"Formel: OK",IF(T752="","Fehlt","Falsch"))))</f>
        <v>Richtig!</v>
      </c>
      <c r="J752" s="718" t="str">
        <f>IF(OR(B752="-",N752="",AND(P752="",T752="")),"-",IF(I752="Richtig!",1,IF(I752="Formel: OK",0.5,IF(OR(I752="Falsch",I752="Fehlt"),0,""))))</f>
        <v>-</v>
      </c>
      <c r="K752" s="711" t="str">
        <f t="shared" si="136"/>
        <v/>
      </c>
      <c r="L752" s="712" t="str">
        <f t="shared" si="145"/>
        <v/>
      </c>
      <c r="N752" s="719"/>
      <c r="P752" s="720">
        <f t="shared" si="138"/>
        <v>1</v>
      </c>
      <c r="Q752" s="715"/>
      <c r="R752" s="721">
        <f t="shared" si="138"/>
        <v>1</v>
      </c>
      <c r="T752" s="784">
        <f t="shared" si="138"/>
        <v>1</v>
      </c>
    </row>
    <row r="753" spans="1:20" ht="12.75" hidden="1" customHeight="1" x14ac:dyDescent="0.2">
      <c r="A753" s="707"/>
      <c r="B753" s="2" t="str">
        <f>IF('[1]E-AV'!B8="","-",'[1]E-AV'!B8)</f>
        <v>-</v>
      </c>
      <c r="C753" s="780" t="str">
        <f>MID($B$750,1,5)&amp;". "&amp;MID($B$750,10,7)&amp;"."</f>
        <v>Zeitw. 31. Dez.</v>
      </c>
      <c r="D753" s="720" t="str">
        <f>IF('[1]E-AV'!$J8="","",'[1]E-AV'!$J8)</f>
        <v/>
      </c>
      <c r="E753" s="715"/>
      <c r="F753" s="721" t="str">
        <f>IF(AND(OR(H677="",H677="noch leer"),OR(H715="",H715="noch leer")),"-",IF(H677-H715=0,1,H677-H715))</f>
        <v>-</v>
      </c>
      <c r="H753" s="784" t="str">
        <f>IF(AV!$J8="","",AV!$J8)</f>
        <v/>
      </c>
      <c r="I753" s="717" t="str">
        <f>IF(B753="","",IF(T753=P753,"Richtig!",IF(AND(P753&lt;&gt;T753,R753=T753),"Formel: OK",IF(T753="","Fehlt","Falsch"))))</f>
        <v>Richtig!</v>
      </c>
      <c r="J753" s="718" t="str">
        <f>IF(OR(B753="-",N753="",AND(P753="",T753="")),"-",IF(I753="Richtig!",1,IF(I753="Formel: OK",0.5,IF(OR(I753="Falsch",I753="Fehlt"),0,""))))</f>
        <v>-</v>
      </c>
      <c r="K753" s="711" t="str">
        <f t="shared" si="136"/>
        <v/>
      </c>
      <c r="L753" s="712" t="str">
        <f t="shared" si="145"/>
        <v/>
      </c>
      <c r="N753" s="719"/>
      <c r="P753" s="720" t="str">
        <f t="shared" si="138"/>
        <v/>
      </c>
      <c r="Q753" s="715"/>
      <c r="R753" s="721" t="str">
        <f t="shared" si="138"/>
        <v>-</v>
      </c>
      <c r="T753" s="784" t="str">
        <f t="shared" si="138"/>
        <v/>
      </c>
    </row>
    <row r="754" spans="1:20" ht="12.75" x14ac:dyDescent="0.2">
      <c r="A754" s="707"/>
      <c r="B754" s="779" t="str">
        <f>IF('[1]E-AV'!B9="","-",'[1]E-AV'!B9)</f>
        <v>Summe Grundverbesserungen</v>
      </c>
      <c r="C754" s="780" t="str">
        <f>MID($B$750,1,5)&amp;". "&amp;MID($B$750,10,7)&amp;"."</f>
        <v>Zeitw. 31. Dez.</v>
      </c>
      <c r="D754" s="720">
        <f>IF('[1]E-AV'!$J9="","",'[1]E-AV'!$J9)</f>
        <v>1</v>
      </c>
      <c r="E754" s="715"/>
      <c r="F754" s="721">
        <f>IF(AND(H752="",H753=""),"-",SUM(H752:H753))</f>
        <v>1</v>
      </c>
      <c r="H754" s="784">
        <f>IF(AV!$J9="","",AV!$J9)</f>
        <v>1</v>
      </c>
      <c r="I754" s="717" t="str">
        <f>IF(B754="","",IF(T754=P754,"Richtig!",IF(AND(P754&lt;&gt;T754,R754=T754),"Formel: OK",IF(T754="","Fehlt","Falsch"))))</f>
        <v>Richtig!</v>
      </c>
      <c r="J754" s="718">
        <f>IF(OR(B754="-",N754="",AND(P754="",T754="")),"-",IF(I754="Richtig!",1,IF(I754="Formel: OK",0.5,IF(OR(I754="Falsch",I754="Fehlt"),0,""))))</f>
        <v>1</v>
      </c>
      <c r="K754" s="711" t="str">
        <f t="shared" si="136"/>
        <v>│</v>
      </c>
      <c r="L754" s="712">
        <f t="shared" si="145"/>
        <v>1</v>
      </c>
      <c r="N754" s="719" t="str">
        <f>IF($L$1="","",$L$1)</f>
        <v>x</v>
      </c>
      <c r="P754" s="720">
        <f t="shared" si="138"/>
        <v>1</v>
      </c>
      <c r="Q754" s="715"/>
      <c r="R754" s="721">
        <f t="shared" si="138"/>
        <v>1</v>
      </c>
      <c r="T754" s="784">
        <f t="shared" si="138"/>
        <v>1</v>
      </c>
    </row>
    <row r="755" spans="1:20" ht="12.75" x14ac:dyDescent="0.2">
      <c r="B755" s="782" t="str">
        <f>IF('[1]E-AV'!B10="","-",'[1]E-AV'!B10)</f>
        <v>Gebäude und bauliche Anlagen</v>
      </c>
      <c r="C755" s="780"/>
      <c r="D755" s="708"/>
      <c r="H755" s="706"/>
      <c r="I755" s="717"/>
      <c r="J755" s="717"/>
      <c r="K755" s="711" t="str">
        <f t="shared" si="136"/>
        <v/>
      </c>
      <c r="L755" s="712" t="str">
        <f t="shared" si="145"/>
        <v/>
      </c>
      <c r="N755" s="695" t="str">
        <f>IF($L$1="","",$L$1)</f>
        <v>x</v>
      </c>
      <c r="P755" s="708" t="str">
        <f t="shared" si="138"/>
        <v/>
      </c>
      <c r="R755" s="1" t="str">
        <f t="shared" si="138"/>
        <v/>
      </c>
      <c r="T755" s="706" t="str">
        <f t="shared" si="138"/>
        <v/>
      </c>
    </row>
    <row r="756" spans="1:20" ht="12.75" x14ac:dyDescent="0.2">
      <c r="A756" s="707"/>
      <c r="B756" s="2" t="str">
        <f>IF('[1]E-AV'!B11="","-",'[1]E-AV'!B11)</f>
        <v>Stadel</v>
      </c>
      <c r="C756" s="780" t="str">
        <f t="shared" ref="C756:C764" si="146">MID($B$750,1,5)&amp;". "&amp;MID($B$750,10,7)&amp;"."</f>
        <v>Zeitw. 31. Dez.</v>
      </c>
      <c r="D756" s="720">
        <f>IF('[1]E-AV'!$J11="","",'[1]E-AV'!$J11)</f>
        <v>7067.72093023256</v>
      </c>
      <c r="E756" s="715"/>
      <c r="F756" s="721">
        <f t="shared" ref="F756:F763" si="147">IF(AND(OR(H680="",H680="noch leer"),OR(H718="",H718="noch leer")),"-",IF(H680-H718=0,1,H680-H718))</f>
        <v>7067.72093023256</v>
      </c>
      <c r="H756" s="784">
        <f>IF(AV!$J11="","",AV!$J11)</f>
        <v>7067.72093023256</v>
      </c>
      <c r="I756" s="717" t="str">
        <f t="shared" ref="I756:I764" si="148">IF(B756="","",IF(T756=P756,"Richtig!",IF(AND(P756&lt;&gt;T756,R756=T756),"Formel: OK",IF(T756="","Fehlt","Falsch"))))</f>
        <v>Richtig!</v>
      </c>
      <c r="J756" s="718">
        <f t="shared" ref="J756:J764" si="149">IF(OR(B756="-",N756="",AND(P756="",T756="")),"-",IF(I756="Richtig!",1,IF(I756="Formel: OK",0.5,IF(OR(I756="Falsch",I756="Fehlt"),0,""))))</f>
        <v>1</v>
      </c>
      <c r="K756" s="711" t="str">
        <f t="shared" si="136"/>
        <v>│</v>
      </c>
      <c r="L756" s="712">
        <f t="shared" si="145"/>
        <v>1</v>
      </c>
      <c r="N756" s="719" t="str">
        <f>IF($L$1="","",$L$1)</f>
        <v>x</v>
      </c>
      <c r="P756" s="720">
        <f t="shared" si="138"/>
        <v>7067.7209300000004</v>
      </c>
      <c r="Q756" s="715"/>
      <c r="R756" s="721">
        <f t="shared" si="138"/>
        <v>7067.7209300000004</v>
      </c>
      <c r="T756" s="784">
        <f t="shared" si="138"/>
        <v>7067.7209300000004</v>
      </c>
    </row>
    <row r="757" spans="1:20" ht="12.75" x14ac:dyDescent="0.2">
      <c r="A757" s="707"/>
      <c r="B757" s="2" t="str">
        <f>IF('[1]E-AV'!B12="","-",'[1]E-AV'!B12)</f>
        <v>Rinderstall (Warmstall)</v>
      </c>
      <c r="C757" s="780" t="str">
        <f t="shared" si="146"/>
        <v>Zeitw. 31. Dez.</v>
      </c>
      <c r="D757" s="720">
        <f>IF('[1]E-AV'!$J12="","",'[1]E-AV'!$J12)</f>
        <v>56467.646511627914</v>
      </c>
      <c r="E757" s="715"/>
      <c r="F757" s="721">
        <f t="shared" si="147"/>
        <v>56467.646511627914</v>
      </c>
      <c r="H757" s="784">
        <f>IF(AV!$J12="","",AV!$J12)</f>
        <v>56467.646511627914</v>
      </c>
      <c r="I757" s="717" t="str">
        <f t="shared" si="148"/>
        <v>Richtig!</v>
      </c>
      <c r="J757" s="718">
        <f t="shared" si="149"/>
        <v>1</v>
      </c>
      <c r="K757" s="711" t="str">
        <f t="shared" si="136"/>
        <v>│</v>
      </c>
      <c r="L757" s="712">
        <f t="shared" si="145"/>
        <v>1</v>
      </c>
      <c r="N757" s="719" t="str">
        <f>IF($L$1="","",$L$1)</f>
        <v>x</v>
      </c>
      <c r="P757" s="720">
        <f t="shared" si="138"/>
        <v>56467.646509999999</v>
      </c>
      <c r="Q757" s="715"/>
      <c r="R757" s="721">
        <f t="shared" si="138"/>
        <v>56467.646509999999</v>
      </c>
      <c r="T757" s="784">
        <f t="shared" si="138"/>
        <v>56467.646509999999</v>
      </c>
    </row>
    <row r="758" spans="1:20" ht="12.75" hidden="1" customHeight="1" x14ac:dyDescent="0.2">
      <c r="A758" s="707"/>
      <c r="B758" s="2" t="str">
        <f>IF('[1]E-AV'!B13="","-",'[1]E-AV'!B13)</f>
        <v>Verarbeitungsraum</v>
      </c>
      <c r="C758" s="780" t="str">
        <f t="shared" si="146"/>
        <v>Zeitw. 31. Dez.</v>
      </c>
      <c r="D758" s="720">
        <f>IF('[1]E-AV'!$J13="","",'[1]E-AV'!$J13)</f>
        <v>2748.6666666666665</v>
      </c>
      <c r="E758" s="715"/>
      <c r="F758" s="721">
        <f t="shared" si="147"/>
        <v>2748.6666666666665</v>
      </c>
      <c r="H758" s="784">
        <f>IF(AV!$J13="","",AV!$J13)</f>
        <v>2748.6666666666665</v>
      </c>
      <c r="I758" s="717" t="str">
        <f t="shared" si="148"/>
        <v>Richtig!</v>
      </c>
      <c r="J758" s="718" t="str">
        <f t="shared" si="149"/>
        <v>-</v>
      </c>
      <c r="K758" s="711" t="str">
        <f t="shared" si="136"/>
        <v/>
      </c>
      <c r="L758" s="712" t="str">
        <f t="shared" si="145"/>
        <v/>
      </c>
      <c r="N758" s="719"/>
      <c r="P758" s="720">
        <f t="shared" si="138"/>
        <v>2748.6666700000001</v>
      </c>
      <c r="Q758" s="715"/>
      <c r="R758" s="721">
        <f t="shared" si="138"/>
        <v>2748.6666700000001</v>
      </c>
      <c r="T758" s="784">
        <f t="shared" si="138"/>
        <v>2748.6666700000001</v>
      </c>
    </row>
    <row r="759" spans="1:20" ht="12.75" hidden="1" customHeight="1" x14ac:dyDescent="0.2">
      <c r="A759" s="707"/>
      <c r="B759" s="2" t="str">
        <f>IF('[1]E-AV'!B14="","-",'[1]E-AV'!B14)</f>
        <v>Maschinenschuppen</v>
      </c>
      <c r="C759" s="780" t="str">
        <f t="shared" si="146"/>
        <v>Zeitw. 31. Dez.</v>
      </c>
      <c r="D759" s="720">
        <f>IF('[1]E-AV'!$J14="","",'[1]E-AV'!$J14)</f>
        <v>2473.7999999999997</v>
      </c>
      <c r="E759" s="715"/>
      <c r="F759" s="721">
        <f t="shared" si="147"/>
        <v>2473.7999999999997</v>
      </c>
      <c r="H759" s="784">
        <f>IF(AV!$J14="","",AV!$J14)</f>
        <v>2473.7999999999997</v>
      </c>
      <c r="I759" s="717" t="str">
        <f t="shared" si="148"/>
        <v>Richtig!</v>
      </c>
      <c r="J759" s="718" t="str">
        <f t="shared" si="149"/>
        <v>-</v>
      </c>
      <c r="K759" s="711" t="str">
        <f t="shared" ref="K759:K824" si="150">IF(L759="","","│")</f>
        <v/>
      </c>
      <c r="L759" s="712" t="str">
        <f t="shared" si="145"/>
        <v/>
      </c>
      <c r="N759" s="719"/>
      <c r="P759" s="720">
        <f t="shared" si="138"/>
        <v>2473.8000000000002</v>
      </c>
      <c r="Q759" s="715"/>
      <c r="R759" s="721">
        <f t="shared" si="138"/>
        <v>2473.8000000000002</v>
      </c>
      <c r="T759" s="784">
        <f t="shared" si="138"/>
        <v>2473.8000000000002</v>
      </c>
    </row>
    <row r="760" spans="1:20" ht="12.75" hidden="1" customHeight="1" x14ac:dyDescent="0.2">
      <c r="A760" s="707"/>
      <c r="B760" s="2" t="str">
        <f>IF('[1]E-AV'!B15="","-",'[1]E-AV'!B15)</f>
        <v>Garage mit Lagerraum</v>
      </c>
      <c r="C760" s="780" t="str">
        <f t="shared" si="146"/>
        <v>Zeitw. 31. Dez.</v>
      </c>
      <c r="D760" s="720">
        <f>IF('[1]E-AV'!$J15="","",'[1]E-AV'!$J15)</f>
        <v>1874.6666666666654</v>
      </c>
      <c r="E760" s="715"/>
      <c r="F760" s="721">
        <f t="shared" si="147"/>
        <v>1874.6666666666654</v>
      </c>
      <c r="H760" s="784">
        <f>IF(AV!$J15="","",AV!$J15)</f>
        <v>1874.6666666666654</v>
      </c>
      <c r="I760" s="717" t="str">
        <f t="shared" si="148"/>
        <v>Richtig!</v>
      </c>
      <c r="J760" s="718" t="str">
        <f t="shared" si="149"/>
        <v>-</v>
      </c>
      <c r="K760" s="711" t="str">
        <f t="shared" si="150"/>
        <v/>
      </c>
      <c r="L760" s="712" t="str">
        <f t="shared" si="145"/>
        <v/>
      </c>
      <c r="N760" s="719"/>
      <c r="P760" s="720">
        <f t="shared" si="138"/>
        <v>1874.6666700000001</v>
      </c>
      <c r="Q760" s="715"/>
      <c r="R760" s="721">
        <f t="shared" si="138"/>
        <v>1874.6666700000001</v>
      </c>
      <c r="T760" s="784">
        <f t="shared" si="138"/>
        <v>1874.6666700000001</v>
      </c>
    </row>
    <row r="761" spans="1:20" ht="12.75" hidden="1" customHeight="1" x14ac:dyDescent="0.2">
      <c r="A761" s="707"/>
      <c r="B761" s="2" t="str">
        <f>IF('[1]E-AV'!B16="","-",'[1]E-AV'!B16)</f>
        <v>-</v>
      </c>
      <c r="C761" s="780" t="str">
        <f t="shared" si="146"/>
        <v>Zeitw. 31. Dez.</v>
      </c>
      <c r="D761" s="720" t="str">
        <f>IF('[1]E-AV'!$J16="","",'[1]E-AV'!$J16)</f>
        <v/>
      </c>
      <c r="E761" s="715"/>
      <c r="F761" s="721" t="str">
        <f t="shared" si="147"/>
        <v>-</v>
      </c>
      <c r="H761" s="784" t="str">
        <f>IF(AV!$J16="","",AV!$J16)</f>
        <v/>
      </c>
      <c r="I761" s="717" t="str">
        <f t="shared" si="148"/>
        <v>Richtig!</v>
      </c>
      <c r="J761" s="718" t="str">
        <f t="shared" si="149"/>
        <v>-</v>
      </c>
      <c r="K761" s="711" t="str">
        <f t="shared" si="150"/>
        <v/>
      </c>
      <c r="L761" s="712" t="str">
        <f t="shared" si="145"/>
        <v/>
      </c>
      <c r="N761" s="719"/>
      <c r="P761" s="720" t="str">
        <f t="shared" si="138"/>
        <v/>
      </c>
      <c r="Q761" s="715"/>
      <c r="R761" s="721" t="str">
        <f t="shared" si="138"/>
        <v>-</v>
      </c>
      <c r="T761" s="784" t="str">
        <f t="shared" si="138"/>
        <v/>
      </c>
    </row>
    <row r="762" spans="1:20" ht="12.75" hidden="1" customHeight="1" x14ac:dyDescent="0.2">
      <c r="A762" s="707"/>
      <c r="B762" s="2" t="str">
        <f>IF('[1]E-AV'!B17="","-",'[1]E-AV'!B17)</f>
        <v>-</v>
      </c>
      <c r="C762" s="780" t="str">
        <f t="shared" si="146"/>
        <v>Zeitw. 31. Dez.</v>
      </c>
      <c r="D762" s="720" t="str">
        <f>IF('[1]E-AV'!$J17="","",'[1]E-AV'!$J17)</f>
        <v/>
      </c>
      <c r="E762" s="715"/>
      <c r="F762" s="721" t="str">
        <f t="shared" si="147"/>
        <v>-</v>
      </c>
      <c r="H762" s="784" t="str">
        <f>IF(AV!$J17="","",AV!$J17)</f>
        <v/>
      </c>
      <c r="I762" s="717" t="str">
        <f t="shared" si="148"/>
        <v>Richtig!</v>
      </c>
      <c r="J762" s="718" t="str">
        <f t="shared" si="149"/>
        <v>-</v>
      </c>
      <c r="K762" s="711" t="str">
        <f t="shared" si="150"/>
        <v/>
      </c>
      <c r="L762" s="712" t="str">
        <f t="shared" si="145"/>
        <v/>
      </c>
      <c r="N762" s="719"/>
      <c r="P762" s="720" t="str">
        <f t="shared" si="138"/>
        <v/>
      </c>
      <c r="Q762" s="715"/>
      <c r="R762" s="721" t="str">
        <f t="shared" si="138"/>
        <v>-</v>
      </c>
      <c r="T762" s="784" t="str">
        <f t="shared" si="138"/>
        <v/>
      </c>
    </row>
    <row r="763" spans="1:20" ht="12.75" hidden="1" customHeight="1" x14ac:dyDescent="0.2">
      <c r="A763" s="707"/>
      <c r="B763" s="2" t="str">
        <f>IF('[1]E-AV'!B18="","-",'[1]E-AV'!B18)</f>
        <v>-</v>
      </c>
      <c r="C763" s="780" t="str">
        <f t="shared" si="146"/>
        <v>Zeitw. 31. Dez.</v>
      </c>
      <c r="D763" s="720" t="str">
        <f>IF('[1]E-AV'!$J18="","",'[1]E-AV'!$J18)</f>
        <v/>
      </c>
      <c r="E763" s="715"/>
      <c r="F763" s="721" t="str">
        <f t="shared" si="147"/>
        <v>-</v>
      </c>
      <c r="H763" s="784" t="str">
        <f>IF(AV!$J18="","",AV!$J18)</f>
        <v/>
      </c>
      <c r="I763" s="717" t="str">
        <f t="shared" si="148"/>
        <v>Richtig!</v>
      </c>
      <c r="J763" s="718" t="str">
        <f t="shared" si="149"/>
        <v>-</v>
      </c>
      <c r="K763" s="711" t="str">
        <f t="shared" si="150"/>
        <v/>
      </c>
      <c r="L763" s="712" t="str">
        <f t="shared" si="145"/>
        <v/>
      </c>
      <c r="N763" s="719"/>
      <c r="P763" s="720" t="str">
        <f t="shared" si="138"/>
        <v/>
      </c>
      <c r="Q763" s="715"/>
      <c r="R763" s="721" t="str">
        <f t="shared" si="138"/>
        <v>-</v>
      </c>
      <c r="T763" s="784" t="str">
        <f t="shared" si="138"/>
        <v/>
      </c>
    </row>
    <row r="764" spans="1:20" ht="12.75" x14ac:dyDescent="0.2">
      <c r="A764" s="707"/>
      <c r="B764" s="779" t="str">
        <f>IF('[1]E-AV'!B19="","-",'[1]E-AV'!B19)</f>
        <v>Summe Gebäude und bauliche Anlagen</v>
      </c>
      <c r="C764" s="780" t="str">
        <f t="shared" si="146"/>
        <v>Zeitw. 31. Dez.</v>
      </c>
      <c r="D764" s="720">
        <f>IF('[1]E-AV'!$J19="","",'[1]E-AV'!$J19)</f>
        <v>70632.50077519381</v>
      </c>
      <c r="E764" s="715"/>
      <c r="F764" s="721">
        <f>IF(AND(H756="",H757="",H758="",H759="",H760="",H761="",H762="",H763=""),"-",SUM(H756:H763))</f>
        <v>70632.50077519381</v>
      </c>
      <c r="H764" s="784">
        <f>IF(AV!$J19="","",AV!$J19)</f>
        <v>70632.50077519381</v>
      </c>
      <c r="I764" s="717" t="str">
        <f t="shared" si="148"/>
        <v>Richtig!</v>
      </c>
      <c r="J764" s="718">
        <f t="shared" si="149"/>
        <v>1</v>
      </c>
      <c r="K764" s="711" t="str">
        <f t="shared" si="150"/>
        <v>│</v>
      </c>
      <c r="L764" s="712">
        <f t="shared" si="145"/>
        <v>1</v>
      </c>
      <c r="N764" s="719" t="str">
        <f>IF($L$1="","",$L$1)</f>
        <v>x</v>
      </c>
      <c r="P764" s="720">
        <f t="shared" si="138"/>
        <v>70632.500780000002</v>
      </c>
      <c r="Q764" s="715"/>
      <c r="R764" s="721">
        <f t="shared" si="138"/>
        <v>70632.500780000002</v>
      </c>
      <c r="T764" s="784">
        <f t="shared" si="138"/>
        <v>70632.500780000002</v>
      </c>
    </row>
    <row r="765" spans="1:20" ht="12.75" x14ac:dyDescent="0.2">
      <c r="B765" s="782" t="str">
        <f>IF('[1]E-AV'!B20="","-",'[1]E-AV'!B20)</f>
        <v>Maschinen und Geräte</v>
      </c>
      <c r="C765" s="780"/>
      <c r="D765" s="708"/>
      <c r="H765" s="706"/>
      <c r="I765" s="717"/>
      <c r="J765" s="717"/>
      <c r="K765" s="711" t="str">
        <f t="shared" si="150"/>
        <v/>
      </c>
      <c r="L765" s="712" t="str">
        <f t="shared" si="145"/>
        <v/>
      </c>
      <c r="N765" s="695" t="str">
        <f>IF($L$1="","",$L$1)</f>
        <v>x</v>
      </c>
      <c r="P765" s="708" t="str">
        <f t="shared" si="138"/>
        <v/>
      </c>
      <c r="R765" s="1" t="str">
        <f t="shared" si="138"/>
        <v/>
      </c>
      <c r="T765" s="706" t="str">
        <f t="shared" si="138"/>
        <v/>
      </c>
    </row>
    <row r="766" spans="1:20" ht="12.75" hidden="1" customHeight="1" x14ac:dyDescent="0.2">
      <c r="A766" s="707"/>
      <c r="B766" s="2" t="str">
        <f>IF('[1]E-AV'!B21="","-",'[1]E-AV'!B21)</f>
        <v>Allradtraktor</v>
      </c>
      <c r="C766" s="780" t="str">
        <f t="shared" ref="C766:C786" si="151">MID($B$750,1,5)&amp;". "&amp;MID($B$750,10,7)&amp;"."</f>
        <v>Zeitw. 31. Dez.</v>
      </c>
      <c r="D766" s="720">
        <f>IF('[1]E-AV'!$J21="","",'[1]E-AV'!$J21)</f>
        <v>4426.25</v>
      </c>
      <c r="E766" s="715"/>
      <c r="F766" s="721">
        <f t="shared" ref="F766:F785" si="152">IF(AND(OR(H690="",H690="noch leer"),OR(H728="",H728="noch leer")),"-",IF(H690-H728=0,1,H690-H728))</f>
        <v>4426.25</v>
      </c>
      <c r="H766" s="784">
        <f>IF(AV!$J21="","",AV!$J21)</f>
        <v>4426.25</v>
      </c>
      <c r="I766" s="717" t="str">
        <f t="shared" ref="I766:I786" si="153">IF(B766="","",IF(T766=P766,"Richtig!",IF(AND(P766&lt;&gt;T766,R766=T766),"Formel: OK",IF(T766="","Fehlt","Falsch"))))</f>
        <v>Richtig!</v>
      </c>
      <c r="J766" s="718" t="str">
        <f t="shared" ref="J766:J786" si="154">IF(OR(B766="-",N766="",AND(P766="",T766="")),"-",IF(I766="Richtig!",1,IF(I766="Formel: OK",0.5,IF(OR(I766="Falsch",I766="Fehlt"),0,""))))</f>
        <v>-</v>
      </c>
      <c r="K766" s="711" t="str">
        <f t="shared" si="150"/>
        <v/>
      </c>
      <c r="L766" s="712" t="str">
        <f t="shared" si="145"/>
        <v/>
      </c>
      <c r="N766" s="719"/>
      <c r="P766" s="720">
        <f t="shared" si="138"/>
        <v>4426.25</v>
      </c>
      <c r="Q766" s="715"/>
      <c r="R766" s="721">
        <f t="shared" si="138"/>
        <v>4426.25</v>
      </c>
      <c r="T766" s="784">
        <f t="shared" si="138"/>
        <v>4426.25</v>
      </c>
    </row>
    <row r="767" spans="1:20" ht="12.75" hidden="1" customHeight="1" x14ac:dyDescent="0.2">
      <c r="A767" s="707"/>
      <c r="B767" s="2" t="str">
        <f>IF('[1]E-AV'!B22="","-",'[1]E-AV'!B22)</f>
        <v>-</v>
      </c>
      <c r="C767" s="780" t="str">
        <f t="shared" si="151"/>
        <v>Zeitw. 31. Dez.</v>
      </c>
      <c r="D767" s="720" t="str">
        <f>IF('[1]E-AV'!$J22="","",'[1]E-AV'!$J22)</f>
        <v/>
      </c>
      <c r="E767" s="715"/>
      <c r="F767" s="721" t="str">
        <f t="shared" si="152"/>
        <v>-</v>
      </c>
      <c r="H767" s="784" t="str">
        <f>IF(AV!$J22="","",AV!$J22)</f>
        <v/>
      </c>
      <c r="I767" s="717" t="str">
        <f t="shared" si="153"/>
        <v>Richtig!</v>
      </c>
      <c r="J767" s="718" t="str">
        <f t="shared" si="154"/>
        <v>-</v>
      </c>
      <c r="K767" s="711" t="str">
        <f t="shared" si="150"/>
        <v/>
      </c>
      <c r="L767" s="712" t="str">
        <f t="shared" ref="L767:L787" si="155">IF(OR(B767="-",N767="",AND(P767="",T767="")),"",1)</f>
        <v/>
      </c>
      <c r="N767" s="719"/>
      <c r="P767" s="720" t="str">
        <f t="shared" si="138"/>
        <v/>
      </c>
      <c r="Q767" s="715"/>
      <c r="R767" s="721" t="str">
        <f t="shared" si="138"/>
        <v>-</v>
      </c>
      <c r="T767" s="784" t="str">
        <f t="shared" si="138"/>
        <v/>
      </c>
    </row>
    <row r="768" spans="1:20" ht="12.75" hidden="1" customHeight="1" x14ac:dyDescent="0.2">
      <c r="A768" s="707"/>
      <c r="B768" s="2" t="str">
        <f>IF('[1]E-AV'!B23="","-",'[1]E-AV'!B23)</f>
        <v>-</v>
      </c>
      <c r="C768" s="780" t="str">
        <f t="shared" si="151"/>
        <v>Zeitw. 31. Dez.</v>
      </c>
      <c r="D768" s="720" t="str">
        <f>IF('[1]E-AV'!$J23="","",'[1]E-AV'!$J23)</f>
        <v/>
      </c>
      <c r="E768" s="715"/>
      <c r="F768" s="721" t="str">
        <f t="shared" si="152"/>
        <v>-</v>
      </c>
      <c r="H768" s="784" t="str">
        <f>IF(AV!$J23="","",AV!$J23)</f>
        <v/>
      </c>
      <c r="I768" s="717" t="str">
        <f t="shared" si="153"/>
        <v>Richtig!</v>
      </c>
      <c r="J768" s="718" t="str">
        <f t="shared" si="154"/>
        <v>-</v>
      </c>
      <c r="K768" s="711" t="str">
        <f t="shared" si="150"/>
        <v/>
      </c>
      <c r="L768" s="712" t="str">
        <f t="shared" si="155"/>
        <v/>
      </c>
      <c r="N768" s="719"/>
      <c r="P768" s="720" t="str">
        <f t="shared" si="138"/>
        <v/>
      </c>
      <c r="Q768" s="715"/>
      <c r="R768" s="721" t="str">
        <f t="shared" si="138"/>
        <v>-</v>
      </c>
      <c r="T768" s="784" t="str">
        <f t="shared" si="138"/>
        <v/>
      </c>
    </row>
    <row r="769" spans="1:20" ht="12.75" hidden="1" customHeight="1" x14ac:dyDescent="0.2">
      <c r="A769" s="707"/>
      <c r="B769" s="2" t="str">
        <f>IF('[1]E-AV'!B24="","-",'[1]E-AV'!B24)</f>
        <v>Motorsäge</v>
      </c>
      <c r="C769" s="780" t="str">
        <f t="shared" si="151"/>
        <v>Zeitw. 31. Dez.</v>
      </c>
      <c r="D769" s="720">
        <f>IF('[1]E-AV'!$J24="","",'[1]E-AV'!$J24)</f>
        <v>1</v>
      </c>
      <c r="E769" s="715"/>
      <c r="F769" s="721">
        <f t="shared" si="152"/>
        <v>1</v>
      </c>
      <c r="H769" s="784">
        <f>IF(AV!$J24="","",AV!$J24)</f>
        <v>1</v>
      </c>
      <c r="I769" s="717" t="str">
        <f t="shared" si="153"/>
        <v>Richtig!</v>
      </c>
      <c r="J769" s="718" t="str">
        <f t="shared" si="154"/>
        <v>-</v>
      </c>
      <c r="K769" s="711" t="str">
        <f t="shared" si="150"/>
        <v/>
      </c>
      <c r="L769" s="712" t="str">
        <f t="shared" si="155"/>
        <v/>
      </c>
      <c r="N769" s="719"/>
      <c r="P769" s="720">
        <f t="shared" si="138"/>
        <v>1</v>
      </c>
      <c r="Q769" s="715"/>
      <c r="R769" s="721">
        <f t="shared" si="138"/>
        <v>1</v>
      </c>
      <c r="T769" s="784">
        <f t="shared" si="138"/>
        <v>1</v>
      </c>
    </row>
    <row r="770" spans="1:20" ht="12.75" hidden="1" customHeight="1" x14ac:dyDescent="0.2">
      <c r="A770" s="707"/>
      <c r="B770" s="2" t="str">
        <f>IF('[1]E-AV'!B25="","-",'[1]E-AV'!B25)</f>
        <v>Pflug</v>
      </c>
      <c r="C770" s="780" t="str">
        <f t="shared" si="151"/>
        <v>Zeitw. 31. Dez.</v>
      </c>
      <c r="D770" s="720">
        <f>IF('[1]E-AV'!$J25="","",'[1]E-AV'!$J25)</f>
        <v>1031.4285714285716</v>
      </c>
      <c r="E770" s="715"/>
      <c r="F770" s="721">
        <f t="shared" si="152"/>
        <v>1031.4285714285716</v>
      </c>
      <c r="H770" s="784">
        <f>IF(AV!$J25="","",AV!$J25)</f>
        <v>1031.4285714285716</v>
      </c>
      <c r="I770" s="717" t="str">
        <f t="shared" si="153"/>
        <v>Richtig!</v>
      </c>
      <c r="J770" s="718" t="str">
        <f t="shared" si="154"/>
        <v>-</v>
      </c>
      <c r="K770" s="711" t="str">
        <f t="shared" si="150"/>
        <v/>
      </c>
      <c r="L770" s="712" t="str">
        <f t="shared" si="155"/>
        <v/>
      </c>
      <c r="N770" s="719"/>
      <c r="P770" s="720">
        <f t="shared" si="138"/>
        <v>1031.42857</v>
      </c>
      <c r="Q770" s="715"/>
      <c r="R770" s="721">
        <f t="shared" si="138"/>
        <v>1031.42857</v>
      </c>
      <c r="T770" s="784">
        <f t="shared" si="138"/>
        <v>1031.42857</v>
      </c>
    </row>
    <row r="771" spans="1:20" ht="12.75" hidden="1" customHeight="1" x14ac:dyDescent="0.2">
      <c r="A771" s="707"/>
      <c r="B771" s="2" t="str">
        <f>IF('[1]E-AV'!B26="","-",'[1]E-AV'!B26)</f>
        <v>Ladewagen</v>
      </c>
      <c r="C771" s="780" t="str">
        <f t="shared" si="151"/>
        <v>Zeitw. 31. Dez.</v>
      </c>
      <c r="D771" s="720">
        <f>IF('[1]E-AV'!$J26="","",'[1]E-AV'!$J26)</f>
        <v>2292.375</v>
      </c>
      <c r="E771" s="715"/>
      <c r="F771" s="721">
        <f t="shared" si="152"/>
        <v>2292.375</v>
      </c>
      <c r="H771" s="784">
        <f>IF(AV!$J26="","",AV!$J26)</f>
        <v>2292.375</v>
      </c>
      <c r="I771" s="717" t="str">
        <f t="shared" si="153"/>
        <v>Richtig!</v>
      </c>
      <c r="J771" s="718" t="str">
        <f t="shared" si="154"/>
        <v>-</v>
      </c>
      <c r="K771" s="711" t="str">
        <f t="shared" si="150"/>
        <v/>
      </c>
      <c r="L771" s="712" t="str">
        <f t="shared" si="155"/>
        <v/>
      </c>
      <c r="N771" s="719"/>
      <c r="P771" s="720">
        <f t="shared" si="138"/>
        <v>2292.375</v>
      </c>
      <c r="Q771" s="715"/>
      <c r="R771" s="721">
        <f t="shared" si="138"/>
        <v>2292.375</v>
      </c>
      <c r="T771" s="784">
        <f t="shared" si="138"/>
        <v>2292.375</v>
      </c>
    </row>
    <row r="772" spans="1:20" ht="12.75" hidden="1" customHeight="1" x14ac:dyDescent="0.2">
      <c r="A772" s="707"/>
      <c r="B772" s="2" t="str">
        <f>IF('[1]E-AV'!B27="","-",'[1]E-AV'!B27)</f>
        <v>Heuraupe</v>
      </c>
      <c r="C772" s="780" t="str">
        <f t="shared" si="151"/>
        <v>Zeitw. 31. Dez.</v>
      </c>
      <c r="D772" s="720">
        <f>IF('[1]E-AV'!$J27="","",'[1]E-AV'!$J27)</f>
        <v>1</v>
      </c>
      <c r="E772" s="715"/>
      <c r="F772" s="721">
        <f t="shared" si="152"/>
        <v>1</v>
      </c>
      <c r="H772" s="784">
        <f>IF(AV!$J27="","",AV!$J27)</f>
        <v>1</v>
      </c>
      <c r="I772" s="717" t="str">
        <f t="shared" si="153"/>
        <v>Richtig!</v>
      </c>
      <c r="J772" s="718" t="str">
        <f t="shared" si="154"/>
        <v>-</v>
      </c>
      <c r="K772" s="711" t="str">
        <f t="shared" si="150"/>
        <v/>
      </c>
      <c r="L772" s="712" t="str">
        <f t="shared" si="155"/>
        <v/>
      </c>
      <c r="N772" s="719"/>
      <c r="P772" s="720">
        <f t="shared" si="138"/>
        <v>1</v>
      </c>
      <c r="Q772" s="715"/>
      <c r="R772" s="721">
        <f t="shared" si="138"/>
        <v>1</v>
      </c>
      <c r="T772" s="784">
        <f t="shared" si="138"/>
        <v>1</v>
      </c>
    </row>
    <row r="773" spans="1:20" ht="12.75" x14ac:dyDescent="0.2">
      <c r="A773" s="707"/>
      <c r="B773" s="2" t="str">
        <f>IF('[1]E-AV'!B28="","-",'[1]E-AV'!B28)</f>
        <v>Melkmaschine</v>
      </c>
      <c r="C773" s="780" t="str">
        <f t="shared" si="151"/>
        <v>Zeitw. 31. Dez.</v>
      </c>
      <c r="D773" s="720">
        <f>IF('[1]E-AV'!$J28="","",'[1]E-AV'!$J28)</f>
        <v>3252.7999999999997</v>
      </c>
      <c r="E773" s="715"/>
      <c r="F773" s="721">
        <f t="shared" si="152"/>
        <v>3252.7999999999997</v>
      </c>
      <c r="H773" s="784">
        <f>IF(AV!$J28="","",AV!$J28)</f>
        <v>3252.7999999999997</v>
      </c>
      <c r="I773" s="717" t="str">
        <f t="shared" si="153"/>
        <v>Richtig!</v>
      </c>
      <c r="J773" s="718">
        <f t="shared" si="154"/>
        <v>1</v>
      </c>
      <c r="K773" s="711" t="str">
        <f t="shared" si="150"/>
        <v>│</v>
      </c>
      <c r="L773" s="712">
        <f t="shared" si="155"/>
        <v>1</v>
      </c>
      <c r="N773" s="719" t="str">
        <f>IF($L$1="","",$L$1)</f>
        <v>x</v>
      </c>
      <c r="P773" s="720">
        <f t="shared" si="138"/>
        <v>3252.8</v>
      </c>
      <c r="Q773" s="715"/>
      <c r="R773" s="721">
        <f t="shared" si="138"/>
        <v>3252.8</v>
      </c>
      <c r="T773" s="784">
        <f t="shared" si="138"/>
        <v>3252.8</v>
      </c>
    </row>
    <row r="774" spans="1:20" ht="12.75" x14ac:dyDescent="0.2">
      <c r="A774" s="707"/>
      <c r="B774" s="2" t="str">
        <f>IF('[1]E-AV'!B29="","-",'[1]E-AV'!B29)</f>
        <v>Zentrifuge</v>
      </c>
      <c r="C774" s="780" t="str">
        <f t="shared" si="151"/>
        <v>Zeitw. 31. Dez.</v>
      </c>
      <c r="D774" s="720">
        <f>IF('[1]E-AV'!$J29="","",'[1]E-AV'!$J29)</f>
        <v>407.55</v>
      </c>
      <c r="E774" s="715"/>
      <c r="F774" s="721">
        <f t="shared" si="152"/>
        <v>407.55</v>
      </c>
      <c r="H774" s="784">
        <f>IF(AV!$J29="","",AV!$J29)</f>
        <v>407.55</v>
      </c>
      <c r="I774" s="717" t="str">
        <f t="shared" si="153"/>
        <v>Richtig!</v>
      </c>
      <c r="J774" s="718">
        <f t="shared" si="154"/>
        <v>1</v>
      </c>
      <c r="K774" s="711" t="str">
        <f t="shared" si="150"/>
        <v>│</v>
      </c>
      <c r="L774" s="712">
        <f t="shared" si="155"/>
        <v>1</v>
      </c>
      <c r="N774" s="719" t="str">
        <f>IF($L$1="","",$L$1)</f>
        <v>x</v>
      </c>
      <c r="P774" s="720">
        <f t="shared" si="138"/>
        <v>407.55</v>
      </c>
      <c r="Q774" s="715"/>
      <c r="R774" s="721">
        <f t="shared" si="138"/>
        <v>407.55</v>
      </c>
      <c r="T774" s="784">
        <f t="shared" si="138"/>
        <v>407.55</v>
      </c>
    </row>
    <row r="775" spans="1:20" ht="12.75" hidden="1" customHeight="1" x14ac:dyDescent="0.2">
      <c r="A775" s="707"/>
      <c r="B775" s="2" t="str">
        <f>IF('[1]E-AV'!B30="","-",'[1]E-AV'!B30)</f>
        <v>Gebläse</v>
      </c>
      <c r="C775" s="780" t="str">
        <f t="shared" si="151"/>
        <v>Zeitw. 31. Dez.</v>
      </c>
      <c r="D775" s="720">
        <f>IF('[1]E-AV'!$J30="","",'[1]E-AV'!$J30)</f>
        <v>1806.1875</v>
      </c>
      <c r="E775" s="715"/>
      <c r="F775" s="721">
        <f t="shared" si="152"/>
        <v>1806.1875</v>
      </c>
      <c r="H775" s="784">
        <f>IF(AV!$J30="","",AV!$J30)</f>
        <v>1806.1875</v>
      </c>
      <c r="I775" s="717" t="str">
        <f t="shared" si="153"/>
        <v>Richtig!</v>
      </c>
      <c r="J775" s="718" t="str">
        <f t="shared" si="154"/>
        <v>-</v>
      </c>
      <c r="K775" s="711" t="str">
        <f t="shared" si="150"/>
        <v/>
      </c>
      <c r="L775" s="712" t="str">
        <f t="shared" si="155"/>
        <v/>
      </c>
      <c r="N775" s="719"/>
      <c r="P775" s="720">
        <f t="shared" si="138"/>
        <v>1806.1875</v>
      </c>
      <c r="Q775" s="715"/>
      <c r="R775" s="721">
        <f t="shared" si="138"/>
        <v>1806.1875</v>
      </c>
      <c r="T775" s="784">
        <f t="shared" si="138"/>
        <v>1806.1875</v>
      </c>
    </row>
    <row r="776" spans="1:20" ht="12.75" hidden="1" customHeight="1" x14ac:dyDescent="0.2">
      <c r="A776" s="707"/>
      <c r="B776" s="2" t="str">
        <f>IF('[1]E-AV'!B31="","-",'[1]E-AV'!B31)</f>
        <v>Vakuumfass</v>
      </c>
      <c r="C776" s="780" t="str">
        <f t="shared" si="151"/>
        <v>Zeitw. 31. Dez.</v>
      </c>
      <c r="D776" s="720">
        <f>IF('[1]E-AV'!$J31="","",'[1]E-AV'!$J31)</f>
        <v>1</v>
      </c>
      <c r="E776" s="715"/>
      <c r="F776" s="721">
        <f t="shared" si="152"/>
        <v>1</v>
      </c>
      <c r="H776" s="784">
        <f>IF(AV!$J31="","",AV!$J31)</f>
        <v>1</v>
      </c>
      <c r="I776" s="717" t="str">
        <f t="shared" si="153"/>
        <v>Richtig!</v>
      </c>
      <c r="J776" s="718" t="str">
        <f t="shared" si="154"/>
        <v>-</v>
      </c>
      <c r="K776" s="711" t="str">
        <f t="shared" si="150"/>
        <v/>
      </c>
      <c r="L776" s="712" t="str">
        <f t="shared" si="155"/>
        <v/>
      </c>
      <c r="N776" s="719"/>
      <c r="P776" s="720">
        <f t="shared" si="138"/>
        <v>1</v>
      </c>
      <c r="Q776" s="715"/>
      <c r="R776" s="721">
        <f t="shared" si="138"/>
        <v>1</v>
      </c>
      <c r="T776" s="784">
        <f t="shared" si="138"/>
        <v>1</v>
      </c>
    </row>
    <row r="777" spans="1:20" ht="12.75" hidden="1" customHeight="1" x14ac:dyDescent="0.2">
      <c r="A777" s="707"/>
      <c r="B777" s="2" t="str">
        <f>IF('[1]E-AV'!B32="","-",'[1]E-AV'!B32)</f>
        <v>Butterfass</v>
      </c>
      <c r="C777" s="780" t="str">
        <f t="shared" si="151"/>
        <v>Zeitw. 31. Dez.</v>
      </c>
      <c r="D777" s="720">
        <f>IF('[1]E-AV'!$J32="","",'[1]E-AV'!$J32)</f>
        <v>128.25</v>
      </c>
      <c r="E777" s="715"/>
      <c r="F777" s="721">
        <f t="shared" si="152"/>
        <v>128.25</v>
      </c>
      <c r="H777" s="784">
        <f>IF(AV!$J32="","",AV!$J32)</f>
        <v>128.25</v>
      </c>
      <c r="I777" s="717" t="str">
        <f t="shared" si="153"/>
        <v>Richtig!</v>
      </c>
      <c r="J777" s="718" t="str">
        <f t="shared" si="154"/>
        <v>-</v>
      </c>
      <c r="K777" s="711" t="str">
        <f t="shared" si="150"/>
        <v/>
      </c>
      <c r="L777" s="712" t="str">
        <f t="shared" si="155"/>
        <v/>
      </c>
      <c r="N777" s="719"/>
      <c r="P777" s="720">
        <f t="shared" si="138"/>
        <v>128.25</v>
      </c>
      <c r="Q777" s="715"/>
      <c r="R777" s="721">
        <f t="shared" si="138"/>
        <v>128.25</v>
      </c>
      <c r="T777" s="784">
        <f t="shared" si="138"/>
        <v>128.25</v>
      </c>
    </row>
    <row r="778" spans="1:20" ht="12.75" hidden="1" customHeight="1" x14ac:dyDescent="0.2">
      <c r="A778" s="707"/>
      <c r="B778" s="2" t="str">
        <f>IF('[1]E-AV'!B33="","-",'[1]E-AV'!B33)</f>
        <v>Miststreuer</v>
      </c>
      <c r="C778" s="780" t="str">
        <f t="shared" si="151"/>
        <v>Zeitw. 31. Dez.</v>
      </c>
      <c r="D778" s="720">
        <f>IF('[1]E-AV'!$J33="","",'[1]E-AV'!$J33)</f>
        <v>2137.5</v>
      </c>
      <c r="E778" s="715"/>
      <c r="F778" s="721">
        <f t="shared" si="152"/>
        <v>2137.5</v>
      </c>
      <c r="H778" s="784">
        <f>IF(AV!$J33="","",AV!$J33)</f>
        <v>2137.5</v>
      </c>
      <c r="I778" s="717" t="str">
        <f t="shared" si="153"/>
        <v>Richtig!</v>
      </c>
      <c r="J778" s="718" t="str">
        <f t="shared" si="154"/>
        <v>-</v>
      </c>
      <c r="K778" s="711" t="str">
        <f t="shared" si="150"/>
        <v/>
      </c>
      <c r="L778" s="712" t="str">
        <f t="shared" si="155"/>
        <v/>
      </c>
      <c r="N778" s="719"/>
      <c r="P778" s="720">
        <f t="shared" si="138"/>
        <v>2137.5</v>
      </c>
      <c r="Q778" s="715"/>
      <c r="R778" s="721">
        <f t="shared" si="138"/>
        <v>2137.5</v>
      </c>
      <c r="T778" s="784">
        <f t="shared" si="138"/>
        <v>2137.5</v>
      </c>
    </row>
    <row r="779" spans="1:20" ht="12.75" hidden="1" customHeight="1" x14ac:dyDescent="0.2">
      <c r="A779" s="707"/>
      <c r="B779" s="2" t="str">
        <f>IF('[1]E-AV'!B34="","-",'[1]E-AV'!B34)</f>
        <v>Kreiselzetter</v>
      </c>
      <c r="C779" s="780" t="str">
        <f t="shared" si="151"/>
        <v>Zeitw. 31. Dez.</v>
      </c>
      <c r="D779" s="720">
        <f>IF('[1]E-AV'!$J34="","",'[1]E-AV'!$J34)</f>
        <v>1</v>
      </c>
      <c r="E779" s="715"/>
      <c r="F779" s="721">
        <f t="shared" si="152"/>
        <v>1</v>
      </c>
      <c r="H779" s="784">
        <f>IF(AV!$J34="","",AV!$J34)</f>
        <v>1</v>
      </c>
      <c r="I779" s="717" t="str">
        <f t="shared" si="153"/>
        <v>Richtig!</v>
      </c>
      <c r="J779" s="718" t="str">
        <f t="shared" si="154"/>
        <v>-</v>
      </c>
      <c r="K779" s="711" t="str">
        <f t="shared" si="150"/>
        <v/>
      </c>
      <c r="L779" s="712" t="str">
        <f t="shared" si="155"/>
        <v/>
      </c>
      <c r="N779" s="719"/>
      <c r="P779" s="720">
        <f t="shared" ref="P779:T842" si="156">IF(ISTEXT(D779),D779,IF(D779="","",ROUND(D779,$R$1)))</f>
        <v>1</v>
      </c>
      <c r="Q779" s="715"/>
      <c r="R779" s="721">
        <f t="shared" si="156"/>
        <v>1</v>
      </c>
      <c r="T779" s="784">
        <f t="shared" si="156"/>
        <v>1</v>
      </c>
    </row>
    <row r="780" spans="1:20" ht="12.75" hidden="1" customHeight="1" x14ac:dyDescent="0.2">
      <c r="A780" s="707"/>
      <c r="B780" s="2" t="str">
        <f>IF('[1]E-AV'!B35="","-",'[1]E-AV'!B35)</f>
        <v>PKW-Anhänger</v>
      </c>
      <c r="C780" s="780" t="str">
        <f t="shared" si="151"/>
        <v>Zeitw. 31. Dez.</v>
      </c>
      <c r="D780" s="720">
        <f>IF('[1]E-AV'!$J35="","",'[1]E-AV'!$J35)</f>
        <v>74.875</v>
      </c>
      <c r="E780" s="715"/>
      <c r="F780" s="721">
        <f t="shared" si="152"/>
        <v>74.875</v>
      </c>
      <c r="H780" s="784">
        <f>IF(AV!$J35="","",AV!$J35)</f>
        <v>74.875</v>
      </c>
      <c r="I780" s="717" t="str">
        <f t="shared" si="153"/>
        <v>Richtig!</v>
      </c>
      <c r="J780" s="718" t="str">
        <f t="shared" si="154"/>
        <v>-</v>
      </c>
      <c r="K780" s="711" t="str">
        <f t="shared" si="150"/>
        <v/>
      </c>
      <c r="L780" s="712" t="str">
        <f t="shared" si="155"/>
        <v/>
      </c>
      <c r="N780" s="719"/>
      <c r="P780" s="720">
        <f t="shared" si="156"/>
        <v>74.875</v>
      </c>
      <c r="Q780" s="715"/>
      <c r="R780" s="721">
        <f t="shared" si="156"/>
        <v>74.875</v>
      </c>
      <c r="T780" s="784">
        <f t="shared" si="156"/>
        <v>74.875</v>
      </c>
    </row>
    <row r="781" spans="1:20" ht="12.75" x14ac:dyDescent="0.2">
      <c r="A781" s="707"/>
      <c r="B781" s="2" t="str">
        <f>IF('[1]E-AV'!B36="","-",'[1]E-AV'!B36)</f>
        <v>Mähwerk</v>
      </c>
      <c r="C781" s="780" t="str">
        <f t="shared" si="151"/>
        <v>Zeitw. 31. Dez.</v>
      </c>
      <c r="D781" s="720">
        <f>IF('[1]E-AV'!$J36="","",'[1]E-AV'!$J36)</f>
        <v>902.66666666666674</v>
      </c>
      <c r="E781" s="715"/>
      <c r="F781" s="721">
        <f t="shared" si="152"/>
        <v>902.66666666666674</v>
      </c>
      <c r="H781" s="784">
        <f>IF(AV!$J36="","",AV!$J36)</f>
        <v>902.66666666666674</v>
      </c>
      <c r="I781" s="717" t="str">
        <f t="shared" si="153"/>
        <v>Richtig!</v>
      </c>
      <c r="J781" s="718">
        <f t="shared" si="154"/>
        <v>1</v>
      </c>
      <c r="K781" s="711" t="str">
        <f t="shared" si="150"/>
        <v>│</v>
      </c>
      <c r="L781" s="712">
        <f t="shared" si="155"/>
        <v>1</v>
      </c>
      <c r="N781" s="719" t="str">
        <f>IF($L$1="","",$L$1)</f>
        <v>x</v>
      </c>
      <c r="P781" s="720">
        <f t="shared" si="156"/>
        <v>902.66666999999995</v>
      </c>
      <c r="Q781" s="715"/>
      <c r="R781" s="721">
        <f t="shared" si="156"/>
        <v>902.66666999999995</v>
      </c>
      <c r="T781" s="784">
        <f t="shared" si="156"/>
        <v>902.66666999999995</v>
      </c>
    </row>
    <row r="782" spans="1:20" ht="12.75" hidden="1" customHeight="1" x14ac:dyDescent="0.2">
      <c r="A782" s="707"/>
      <c r="B782" s="2" t="str">
        <f>IF('[1]E-AV'!B37="","-",'[1]E-AV'!B37)</f>
        <v>Motormäher</v>
      </c>
      <c r="C782" s="780" t="str">
        <f t="shared" si="151"/>
        <v>Zeitw. 31. Dez.</v>
      </c>
      <c r="D782" s="720">
        <f>IF('[1]E-AV'!$J37="","",'[1]E-AV'!$J37)</f>
        <v>894.75</v>
      </c>
      <c r="E782" s="715"/>
      <c r="F782" s="721">
        <f t="shared" si="152"/>
        <v>894.75</v>
      </c>
      <c r="H782" s="784">
        <f>IF(AV!$J37="","",AV!$J37)</f>
        <v>894.75</v>
      </c>
      <c r="I782" s="717" t="str">
        <f t="shared" si="153"/>
        <v>Richtig!</v>
      </c>
      <c r="J782" s="718" t="str">
        <f t="shared" si="154"/>
        <v>-</v>
      </c>
      <c r="K782" s="711" t="str">
        <f t="shared" si="150"/>
        <v/>
      </c>
      <c r="L782" s="712" t="str">
        <f t="shared" si="155"/>
        <v/>
      </c>
      <c r="N782" s="719"/>
      <c r="P782" s="720">
        <f t="shared" si="156"/>
        <v>894.75</v>
      </c>
      <c r="Q782" s="715"/>
      <c r="R782" s="721">
        <f t="shared" si="156"/>
        <v>894.75</v>
      </c>
      <c r="T782" s="784">
        <f t="shared" si="156"/>
        <v>894.75</v>
      </c>
    </row>
    <row r="783" spans="1:20" ht="12.75" hidden="1" customHeight="1" x14ac:dyDescent="0.2">
      <c r="A783" s="707"/>
      <c r="B783" s="2" t="str">
        <f>IF('[1]E-AV'!B38="","-",'[1]E-AV'!B38)</f>
        <v>Frontlader</v>
      </c>
      <c r="C783" s="780" t="str">
        <f t="shared" si="151"/>
        <v>Zeitw. 31. Dez.</v>
      </c>
      <c r="D783" s="720">
        <f>IF('[1]E-AV'!$J38="","",'[1]E-AV'!$J38)</f>
        <v>823.33333333333326</v>
      </c>
      <c r="E783" s="715"/>
      <c r="F783" s="721">
        <f t="shared" si="152"/>
        <v>823.33333333333326</v>
      </c>
      <c r="H783" s="784">
        <f>IF(AV!$J38="","",AV!$J38)</f>
        <v>823.33333333333326</v>
      </c>
      <c r="I783" s="717" t="str">
        <f t="shared" si="153"/>
        <v>Richtig!</v>
      </c>
      <c r="J783" s="718" t="str">
        <f t="shared" si="154"/>
        <v>-</v>
      </c>
      <c r="K783" s="711" t="str">
        <f t="shared" si="150"/>
        <v/>
      </c>
      <c r="L783" s="712" t="str">
        <f t="shared" si="155"/>
        <v/>
      </c>
      <c r="N783" s="719"/>
      <c r="P783" s="720">
        <f t="shared" si="156"/>
        <v>823.33333000000005</v>
      </c>
      <c r="Q783" s="715"/>
      <c r="R783" s="721">
        <f t="shared" si="156"/>
        <v>823.33333000000005</v>
      </c>
      <c r="T783" s="784">
        <f t="shared" si="156"/>
        <v>823.33333000000005</v>
      </c>
    </row>
    <row r="784" spans="1:20" ht="12.75" hidden="1" customHeight="1" x14ac:dyDescent="0.2">
      <c r="A784" s="707"/>
      <c r="B784" s="2" t="str">
        <f>IF('[1]E-AV'!B39="","-",'[1]E-AV'!B39)</f>
        <v>Ackerschleppe</v>
      </c>
      <c r="C784" s="780" t="str">
        <f t="shared" si="151"/>
        <v>Zeitw. 31. Dez.</v>
      </c>
      <c r="D784" s="720">
        <f>IF('[1]E-AV'!$J39="","",'[1]E-AV'!$J39)</f>
        <v>270.375</v>
      </c>
      <c r="E784" s="715"/>
      <c r="F784" s="721">
        <f t="shared" si="152"/>
        <v>270.375</v>
      </c>
      <c r="H784" s="784">
        <f>IF(AV!$J39="","",AV!$J39)</f>
        <v>270.375</v>
      </c>
      <c r="I784" s="717" t="str">
        <f t="shared" si="153"/>
        <v>Richtig!</v>
      </c>
      <c r="J784" s="718" t="str">
        <f t="shared" si="154"/>
        <v>-</v>
      </c>
      <c r="K784" s="711" t="str">
        <f t="shared" si="150"/>
        <v/>
      </c>
      <c r="L784" s="712" t="str">
        <f t="shared" si="155"/>
        <v/>
      </c>
      <c r="N784" s="719"/>
      <c r="P784" s="720">
        <f t="shared" si="156"/>
        <v>270.375</v>
      </c>
      <c r="Q784" s="715"/>
      <c r="R784" s="721">
        <f t="shared" si="156"/>
        <v>270.375</v>
      </c>
      <c r="T784" s="784">
        <f t="shared" si="156"/>
        <v>270.375</v>
      </c>
    </row>
    <row r="785" spans="1:20" ht="12.75" hidden="1" customHeight="1" x14ac:dyDescent="0.2">
      <c r="A785" s="707"/>
      <c r="B785" s="2" t="str">
        <f>IF('[1]E-AV'!B40="","-",'[1]E-AV'!B40)</f>
        <v>-</v>
      </c>
      <c r="C785" s="780" t="str">
        <f t="shared" si="151"/>
        <v>Zeitw. 31. Dez.</v>
      </c>
      <c r="D785" s="720" t="str">
        <f>IF('[1]E-AV'!$J40="","",'[1]E-AV'!$J40)</f>
        <v/>
      </c>
      <c r="E785" s="715"/>
      <c r="F785" s="721" t="str">
        <f t="shared" si="152"/>
        <v>-</v>
      </c>
      <c r="H785" s="784" t="str">
        <f>IF(AV!$J40="","",AV!$J40)</f>
        <v/>
      </c>
      <c r="I785" s="717" t="str">
        <f t="shared" si="153"/>
        <v>Richtig!</v>
      </c>
      <c r="J785" s="718" t="str">
        <f t="shared" si="154"/>
        <v>-</v>
      </c>
      <c r="K785" s="711" t="str">
        <f t="shared" si="150"/>
        <v/>
      </c>
      <c r="L785" s="712" t="str">
        <f t="shared" si="155"/>
        <v/>
      </c>
      <c r="N785" s="719"/>
      <c r="P785" s="720" t="str">
        <f t="shared" si="156"/>
        <v/>
      </c>
      <c r="Q785" s="715"/>
      <c r="R785" s="721" t="str">
        <f t="shared" si="156"/>
        <v>-</v>
      </c>
      <c r="T785" s="784" t="str">
        <f t="shared" si="156"/>
        <v/>
      </c>
    </row>
    <row r="786" spans="1:20" ht="12.75" x14ac:dyDescent="0.2">
      <c r="A786" s="707"/>
      <c r="B786" s="779" t="str">
        <f>IF('[1]E-AV'!B41="","-",'[1]E-AV'!B41)</f>
        <v>Summe Maschinen und Geräte</v>
      </c>
      <c r="C786" s="780" t="str">
        <f t="shared" si="151"/>
        <v>Zeitw. 31. Dez.</v>
      </c>
      <c r="D786" s="720">
        <f>IF('[1]E-AV'!$J41="","",'[1]E-AV'!$J41)</f>
        <v>18452.341071428571</v>
      </c>
      <c r="E786" s="715"/>
      <c r="F786" s="721">
        <f>IF(AND(H766="",H767="",H768="",H769="",H770="",H771="",H772="",H773="",H774="",H775="",H776="",H777="",H778="",H779="",H780="",H781="",H782="",H783="",H784="",H785=""),"-",SUM(H766:H785))</f>
        <v>18452.341071428571</v>
      </c>
      <c r="H786" s="784">
        <f>IF(AV!$J41="","",AV!$J41)</f>
        <v>18452.341071428571</v>
      </c>
      <c r="I786" s="717" t="str">
        <f t="shared" si="153"/>
        <v>Richtig!</v>
      </c>
      <c r="J786" s="718">
        <f t="shared" si="154"/>
        <v>1</v>
      </c>
      <c r="K786" s="711" t="str">
        <f t="shared" si="150"/>
        <v>│</v>
      </c>
      <c r="L786" s="712">
        <f t="shared" si="155"/>
        <v>1</v>
      </c>
      <c r="N786" s="719" t="str">
        <f>IF($L$1="","",$L$1)</f>
        <v>x</v>
      </c>
      <c r="P786" s="720">
        <f t="shared" si="156"/>
        <v>18452.341069999999</v>
      </c>
      <c r="Q786" s="715"/>
      <c r="R786" s="721">
        <f t="shared" si="156"/>
        <v>18452.341069999999</v>
      </c>
      <c r="T786" s="784">
        <f t="shared" si="156"/>
        <v>18452.341069999999</v>
      </c>
    </row>
    <row r="787" spans="1:20" ht="20.100000000000001" customHeight="1" x14ac:dyDescent="0.2">
      <c r="A787" s="707"/>
      <c r="B787" s="2"/>
      <c r="C787" s="731"/>
      <c r="D787" s="708"/>
      <c r="H787" s="706"/>
      <c r="I787" s="717"/>
      <c r="J787" s="717"/>
      <c r="K787" s="711" t="str">
        <f t="shared" si="150"/>
        <v/>
      </c>
      <c r="L787" s="712" t="str">
        <f t="shared" si="155"/>
        <v/>
      </c>
      <c r="N787" s="725" t="str">
        <f>IF($L$1="","",$L$1)</f>
        <v>x</v>
      </c>
      <c r="P787" s="708" t="str">
        <f t="shared" si="156"/>
        <v/>
      </c>
      <c r="R787" s="1" t="str">
        <f t="shared" si="156"/>
        <v/>
      </c>
      <c r="T787" s="706" t="str">
        <f t="shared" si="156"/>
        <v/>
      </c>
    </row>
    <row r="788" spans="1:20" ht="22.5" x14ac:dyDescent="0.2">
      <c r="A788" s="698" t="s">
        <v>436</v>
      </c>
      <c r="B788" s="699"/>
      <c r="C788" s="700"/>
      <c r="D788" s="701" t="s">
        <v>0</v>
      </c>
      <c r="E788" s="701"/>
      <c r="F788" s="702" t="s">
        <v>363</v>
      </c>
      <c r="G788" s="700"/>
      <c r="H788" s="702" t="s">
        <v>364</v>
      </c>
      <c r="I788" s="703" t="str">
        <f>"Fehler"</f>
        <v>Fehler</v>
      </c>
      <c r="J788" s="704" t="s">
        <v>365</v>
      </c>
      <c r="K788" s="704"/>
      <c r="L788" s="704"/>
      <c r="N788" s="705" t="str">
        <f>IF($L$1="","",$L$1)</f>
        <v>x</v>
      </c>
      <c r="P788" s="701" t="str">
        <f t="shared" si="156"/>
        <v>Ergebnis</v>
      </c>
      <c r="Q788" s="701"/>
      <c r="R788" s="702" t="str">
        <f t="shared" si="156"/>
        <v>Formel-
prüfung</v>
      </c>
      <c r="S788" s="700"/>
      <c r="T788" s="702" t="str">
        <f t="shared" si="156"/>
        <v>Deine Be-rechnung</v>
      </c>
    </row>
    <row r="789" spans="1:20" ht="12.75" customHeight="1" x14ac:dyDescent="0.2">
      <c r="A789" s="706" t="s">
        <v>366</v>
      </c>
      <c r="B789" s="706" t="s">
        <v>437</v>
      </c>
      <c r="C789" s="707"/>
      <c r="D789" s="708"/>
      <c r="H789" s="706"/>
      <c r="I789" s="710"/>
      <c r="J789" s="710"/>
      <c r="K789" s="711" t="str">
        <f t="shared" si="150"/>
        <v/>
      </c>
      <c r="L789" s="712" t="str">
        <f t="shared" ref="L789:L820" si="157">IF(OR(B789="-",N789="",AND(P789="",T789="")),"",1)</f>
        <v/>
      </c>
      <c r="N789" s="695" t="str">
        <f>IF($L$1="","",$L$1)</f>
        <v>x</v>
      </c>
      <c r="P789" s="708" t="str">
        <f t="shared" si="156"/>
        <v/>
      </c>
      <c r="R789" s="1" t="str">
        <f t="shared" si="156"/>
        <v/>
      </c>
      <c r="T789" s="706" t="str">
        <f t="shared" si="156"/>
        <v/>
      </c>
    </row>
    <row r="790" spans="1:20" ht="12.75" customHeight="1" x14ac:dyDescent="0.2">
      <c r="B790" s="782" t="str">
        <f>IF(UV!B5="","-",UV!B5)</f>
        <v>RINDER</v>
      </c>
      <c r="C790" s="731"/>
      <c r="D790" s="708" t="str">
        <f>IF('[1]E-2NGeb'!Q252="","",'[1]E-2NGeb'!Q252)</f>
        <v/>
      </c>
      <c r="H790" s="706" t="str">
        <f>IF('2NGeb'!Q252="","",'2NGeb'!Q252)</f>
        <v/>
      </c>
      <c r="I790" s="717" t="str">
        <f t="shared" ref="I790:I797" si="158">IF(OR(B790="-",AND(P790="",T790="")),"",IF(T790=P790,"Richtig!",IF(T790="","Fehlt","Falsch")))</f>
        <v/>
      </c>
      <c r="J790" s="717"/>
      <c r="K790" s="711" t="str">
        <f t="shared" si="150"/>
        <v/>
      </c>
      <c r="L790" s="712" t="str">
        <f t="shared" si="157"/>
        <v/>
      </c>
      <c r="N790" s="695" t="str">
        <f>IF($L$1="","",$L$1)</f>
        <v>x</v>
      </c>
      <c r="P790" s="708" t="str">
        <f t="shared" si="156"/>
        <v/>
      </c>
      <c r="R790" s="1" t="str">
        <f t="shared" si="156"/>
        <v/>
      </c>
      <c r="T790" s="706" t="str">
        <f t="shared" si="156"/>
        <v/>
      </c>
    </row>
    <row r="791" spans="1:20" ht="12.75" hidden="1" customHeight="1" x14ac:dyDescent="0.2">
      <c r="B791" s="2" t="str">
        <f>IF(UV!B6="","-",UV!B6)</f>
        <v>Milchkühe</v>
      </c>
      <c r="C791" s="780" t="str">
        <f t="shared" ref="C791:C798" si="159">MID($B$789,1,11)&amp;"."</f>
        <v>Wert 1. Jän.</v>
      </c>
      <c r="D791" s="714">
        <f>IF('[1]E-UV'!$F6="","",'[1]E-UV'!$F6)</f>
        <v>4408</v>
      </c>
      <c r="E791" s="715"/>
      <c r="F791" s="715"/>
      <c r="H791" s="783">
        <f>IF(UV!$F6="","",UV!$F6)</f>
        <v>4408</v>
      </c>
      <c r="I791" s="717" t="str">
        <f t="shared" si="158"/>
        <v>Richtig!</v>
      </c>
      <c r="J791" s="718" t="str">
        <f t="shared" ref="J791:J798" si="160">IF(OR(B791="-",N791="",AND(P791="",T791="")),"-",IF(I791="Richtig!",1,IF(I791="Formel: OK",0.5,IF(OR(I791="Falsch",I791="Fehlt"),0,""))))</f>
        <v>-</v>
      </c>
      <c r="K791" s="711" t="str">
        <f t="shared" si="150"/>
        <v/>
      </c>
      <c r="L791" s="712" t="str">
        <f t="shared" si="157"/>
        <v/>
      </c>
      <c r="N791" s="719"/>
      <c r="P791" s="714">
        <f t="shared" si="156"/>
        <v>4408</v>
      </c>
      <c r="Q791" s="715"/>
      <c r="R791" s="715" t="str">
        <f t="shared" si="156"/>
        <v/>
      </c>
      <c r="T791" s="783">
        <f t="shared" si="156"/>
        <v>4408</v>
      </c>
    </row>
    <row r="792" spans="1:20" ht="12.75" x14ac:dyDescent="0.2">
      <c r="A792" s="707"/>
      <c r="B792" s="2" t="str">
        <f>IF(UV!B7="","-",UV!B7)</f>
        <v>Kalbinnen</v>
      </c>
      <c r="C792" s="780" t="str">
        <f t="shared" si="159"/>
        <v>Wert 1. Jän.</v>
      </c>
      <c r="D792" s="714">
        <f>IF('[1]E-UV'!$F7="","",'[1]E-UV'!$F7)</f>
        <v>2356</v>
      </c>
      <c r="E792" s="715"/>
      <c r="F792" s="715"/>
      <c r="H792" s="783">
        <f>IF(UV!$F7="","",UV!$F7)</f>
        <v>2356</v>
      </c>
      <c r="I792" s="717" t="str">
        <f t="shared" si="158"/>
        <v>Richtig!</v>
      </c>
      <c r="J792" s="718">
        <f t="shared" si="160"/>
        <v>1</v>
      </c>
      <c r="K792" s="711" t="str">
        <f t="shared" si="150"/>
        <v>│</v>
      </c>
      <c r="L792" s="712">
        <f t="shared" si="157"/>
        <v>1</v>
      </c>
      <c r="N792" s="719" t="str">
        <f>IF($L$1="","",$L$1)</f>
        <v>x</v>
      </c>
      <c r="P792" s="714">
        <f t="shared" si="156"/>
        <v>2356</v>
      </c>
      <c r="Q792" s="715"/>
      <c r="R792" s="715" t="str">
        <f t="shared" si="156"/>
        <v/>
      </c>
      <c r="T792" s="783">
        <f t="shared" si="156"/>
        <v>2356</v>
      </c>
    </row>
    <row r="793" spans="1:20" ht="12.75" x14ac:dyDescent="0.2">
      <c r="A793" s="707"/>
      <c r="B793" s="2" t="str">
        <f>IF(UV!B8="","-",UV!B8)</f>
        <v>Kälber</v>
      </c>
      <c r="C793" s="780" t="str">
        <f t="shared" si="159"/>
        <v>Wert 1. Jän.</v>
      </c>
      <c r="D793" s="714">
        <f>IF('[1]E-UV'!$F8="","",'[1]E-UV'!$F8)</f>
        <v>342</v>
      </c>
      <c r="E793" s="715"/>
      <c r="F793" s="715"/>
      <c r="H793" s="783">
        <f>IF(UV!$F8="","",UV!$F8)</f>
        <v>342</v>
      </c>
      <c r="I793" s="717" t="str">
        <f t="shared" si="158"/>
        <v>Richtig!</v>
      </c>
      <c r="J793" s="718">
        <f t="shared" si="160"/>
        <v>1</v>
      </c>
      <c r="K793" s="711" t="str">
        <f t="shared" si="150"/>
        <v>│</v>
      </c>
      <c r="L793" s="712">
        <f t="shared" si="157"/>
        <v>1</v>
      </c>
      <c r="N793" s="719" t="str">
        <f>IF($L$1="","",$L$1)</f>
        <v>x</v>
      </c>
      <c r="P793" s="714">
        <f t="shared" si="156"/>
        <v>342</v>
      </c>
      <c r="Q793" s="715"/>
      <c r="R793" s="715" t="str">
        <f t="shared" si="156"/>
        <v/>
      </c>
      <c r="T793" s="783">
        <f t="shared" si="156"/>
        <v>342</v>
      </c>
    </row>
    <row r="794" spans="1:20" ht="12.75" hidden="1" customHeight="1" x14ac:dyDescent="0.2">
      <c r="A794" s="707"/>
      <c r="B794" s="2" t="str">
        <f>IF(UV!B9="","-",UV!B9)</f>
        <v>-</v>
      </c>
      <c r="C794" s="780" t="str">
        <f t="shared" si="159"/>
        <v>Wert 1. Jän.</v>
      </c>
      <c r="D794" s="714" t="str">
        <f>IF('[1]E-UV'!$F9="","",'[1]E-UV'!$F9)</f>
        <v/>
      </c>
      <c r="E794" s="715"/>
      <c r="F794" s="715"/>
      <c r="H794" s="783" t="str">
        <f>IF(UV!$F9="","",UV!$F9)</f>
        <v/>
      </c>
      <c r="I794" s="717" t="str">
        <f t="shared" si="158"/>
        <v/>
      </c>
      <c r="J794" s="718" t="str">
        <f t="shared" si="160"/>
        <v>-</v>
      </c>
      <c r="K794" s="711" t="str">
        <f t="shared" si="150"/>
        <v/>
      </c>
      <c r="L794" s="712" t="str">
        <f t="shared" si="157"/>
        <v/>
      </c>
      <c r="N794" s="719"/>
      <c r="P794" s="714" t="str">
        <f t="shared" si="156"/>
        <v/>
      </c>
      <c r="Q794" s="715"/>
      <c r="R794" s="715" t="str">
        <f t="shared" si="156"/>
        <v/>
      </c>
      <c r="T794" s="783" t="str">
        <f t="shared" si="156"/>
        <v/>
      </c>
    </row>
    <row r="795" spans="1:20" ht="12.75" hidden="1" customHeight="1" x14ac:dyDescent="0.2">
      <c r="A795" s="707"/>
      <c r="B795" s="2" t="str">
        <f>IF(UV!B10="","-",UV!B10)</f>
        <v>-</v>
      </c>
      <c r="C795" s="780" t="str">
        <f t="shared" si="159"/>
        <v>Wert 1. Jän.</v>
      </c>
      <c r="D795" s="714" t="str">
        <f>IF('[1]E-UV'!$F10="","",'[1]E-UV'!$F10)</f>
        <v/>
      </c>
      <c r="E795" s="715"/>
      <c r="F795" s="715"/>
      <c r="H795" s="783" t="str">
        <f>IF(UV!$F10="","",UV!$F10)</f>
        <v/>
      </c>
      <c r="I795" s="717" t="str">
        <f t="shared" si="158"/>
        <v/>
      </c>
      <c r="J795" s="718" t="str">
        <f t="shared" si="160"/>
        <v>-</v>
      </c>
      <c r="K795" s="711" t="str">
        <f t="shared" si="150"/>
        <v/>
      </c>
      <c r="L795" s="712" t="str">
        <f t="shared" si="157"/>
        <v/>
      </c>
      <c r="N795" s="719"/>
      <c r="P795" s="714" t="str">
        <f t="shared" si="156"/>
        <v/>
      </c>
      <c r="Q795" s="715"/>
      <c r="R795" s="715" t="str">
        <f t="shared" si="156"/>
        <v/>
      </c>
      <c r="T795" s="783" t="str">
        <f t="shared" si="156"/>
        <v/>
      </c>
    </row>
    <row r="796" spans="1:20" ht="12.75" hidden="1" customHeight="1" x14ac:dyDescent="0.2">
      <c r="A796" s="707"/>
      <c r="B796" s="2" t="str">
        <f>IF(UV!B11="","-",UV!B11)</f>
        <v>-</v>
      </c>
      <c r="C796" s="780" t="str">
        <f t="shared" si="159"/>
        <v>Wert 1. Jän.</v>
      </c>
      <c r="D796" s="714" t="str">
        <f>IF('[1]E-UV'!$F11="","",'[1]E-UV'!$F11)</f>
        <v/>
      </c>
      <c r="E796" s="715"/>
      <c r="F796" s="715"/>
      <c r="H796" s="783" t="str">
        <f>IF(UV!$F11="","",UV!$F11)</f>
        <v/>
      </c>
      <c r="I796" s="717" t="str">
        <f t="shared" si="158"/>
        <v/>
      </c>
      <c r="J796" s="718" t="str">
        <f t="shared" si="160"/>
        <v>-</v>
      </c>
      <c r="K796" s="711" t="str">
        <f t="shared" si="150"/>
        <v/>
      </c>
      <c r="L796" s="712" t="str">
        <f t="shared" si="157"/>
        <v/>
      </c>
      <c r="N796" s="719"/>
      <c r="P796" s="714" t="str">
        <f t="shared" si="156"/>
        <v/>
      </c>
      <c r="Q796" s="715"/>
      <c r="R796" s="715" t="str">
        <f t="shared" si="156"/>
        <v/>
      </c>
      <c r="T796" s="783" t="str">
        <f t="shared" si="156"/>
        <v/>
      </c>
    </row>
    <row r="797" spans="1:20" ht="12.75" hidden="1" customHeight="1" x14ac:dyDescent="0.2">
      <c r="A797" s="707"/>
      <c r="B797" s="2" t="str">
        <f>IF(UV!B12="","-",UV!B12)</f>
        <v>-</v>
      </c>
      <c r="C797" s="780" t="str">
        <f t="shared" si="159"/>
        <v>Wert 1. Jän.</v>
      </c>
      <c r="D797" s="714" t="str">
        <f>IF('[1]E-UV'!$F12="","",'[1]E-UV'!$F12)</f>
        <v/>
      </c>
      <c r="E797" s="715"/>
      <c r="F797" s="715"/>
      <c r="H797" s="783" t="str">
        <f>IF(UV!$F12="","",UV!$F12)</f>
        <v/>
      </c>
      <c r="I797" s="717" t="str">
        <f t="shared" si="158"/>
        <v/>
      </c>
      <c r="J797" s="718" t="str">
        <f t="shared" si="160"/>
        <v>-</v>
      </c>
      <c r="K797" s="711" t="str">
        <f t="shared" si="150"/>
        <v/>
      </c>
      <c r="L797" s="712" t="str">
        <f t="shared" si="157"/>
        <v/>
      </c>
      <c r="N797" s="719"/>
      <c r="P797" s="714" t="str">
        <f t="shared" si="156"/>
        <v/>
      </c>
      <c r="Q797" s="715"/>
      <c r="R797" s="715" t="str">
        <f t="shared" si="156"/>
        <v/>
      </c>
      <c r="T797" s="783" t="str">
        <f t="shared" si="156"/>
        <v/>
      </c>
    </row>
    <row r="798" spans="1:20" ht="12.75" x14ac:dyDescent="0.2">
      <c r="A798" s="707"/>
      <c r="B798" s="779" t="str">
        <f>IF(UV!B13="","-",UV!B13)</f>
        <v>Summe RINDER</v>
      </c>
      <c r="C798" s="780" t="str">
        <f t="shared" si="159"/>
        <v>Wert 1. Jän.</v>
      </c>
      <c r="D798" s="720">
        <f>IF('[1]E-UV'!$F13="","",'[1]E-UV'!$F13)</f>
        <v>7106</v>
      </c>
      <c r="E798" s="715"/>
      <c r="F798" s="721">
        <f>IF(AND(H791="",H792="",H793="",H794="",H795="",H796="",H797=""),"-",SUM(H791:H797))</f>
        <v>7106</v>
      </c>
      <c r="H798" s="784">
        <f>IF(UV!$F13="","",UV!$F13)</f>
        <v>7106</v>
      </c>
      <c r="I798" s="717" t="str">
        <f>IF(B798="","",IF(T798=P798,"Richtig!",IF(AND(P798&lt;&gt;T798,R798=T798),"Formel: OK",IF(T798="","Fehlt","Falsch"))))</f>
        <v>Richtig!</v>
      </c>
      <c r="J798" s="718">
        <f t="shared" si="160"/>
        <v>1</v>
      </c>
      <c r="K798" s="711" t="str">
        <f t="shared" si="150"/>
        <v>│</v>
      </c>
      <c r="L798" s="712">
        <f t="shared" si="157"/>
        <v>1</v>
      </c>
      <c r="N798" s="719" t="str">
        <f>IF($L$1="","",$L$1)</f>
        <v>x</v>
      </c>
      <c r="P798" s="720">
        <f t="shared" si="156"/>
        <v>7106</v>
      </c>
      <c r="Q798" s="715"/>
      <c r="R798" s="721">
        <f t="shared" si="156"/>
        <v>7106</v>
      </c>
      <c r="T798" s="784">
        <f t="shared" si="156"/>
        <v>7106</v>
      </c>
    </row>
    <row r="799" spans="1:20" ht="12.75" customHeight="1" x14ac:dyDescent="0.2">
      <c r="B799" s="782" t="str">
        <f>IF(UV!B21="","-",UV!B21)</f>
        <v>SCHWEINE</v>
      </c>
      <c r="C799" s="780"/>
      <c r="D799" s="708" t="str">
        <f>IF('[1]E-UV'!$F21="","",'[1]E-UV'!$F21)</f>
        <v/>
      </c>
      <c r="H799" s="691" t="str">
        <f>IF(UV!$F21="","",UV!$F21)</f>
        <v/>
      </c>
      <c r="I799" s="717" t="str">
        <f t="shared" ref="I799:I804" si="161">IF(OR(B799="-",AND(P799="",T799="")),"",IF(T799=P799,"Richtig!",IF(T799="","Fehlt","Falsch")))</f>
        <v/>
      </c>
      <c r="J799" s="717"/>
      <c r="K799" s="711" t="str">
        <f t="shared" si="150"/>
        <v/>
      </c>
      <c r="L799" s="712" t="str">
        <f t="shared" si="157"/>
        <v/>
      </c>
      <c r="N799" s="695" t="str">
        <f>IF($L$1="","",$L$1)</f>
        <v>x</v>
      </c>
      <c r="P799" s="708" t="str">
        <f t="shared" si="156"/>
        <v/>
      </c>
      <c r="R799" s="1" t="str">
        <f t="shared" si="156"/>
        <v/>
      </c>
      <c r="T799" s="691" t="str">
        <f t="shared" si="156"/>
        <v/>
      </c>
    </row>
    <row r="800" spans="1:20" ht="12.75" hidden="1" customHeight="1" x14ac:dyDescent="0.2">
      <c r="A800" s="707"/>
      <c r="B800" s="2" t="str">
        <f>IF(UV!B22="","-",UV!B22)</f>
        <v>-</v>
      </c>
      <c r="C800" s="780" t="str">
        <f t="shared" ref="C800:C805" si="162">MID($B$789,1,11)&amp;"."</f>
        <v>Wert 1. Jän.</v>
      </c>
      <c r="D800" s="714" t="str">
        <f>IF('[1]E-UV'!$F22="","",'[1]E-UV'!$F22)</f>
        <v/>
      </c>
      <c r="E800" s="715"/>
      <c r="F800" s="715"/>
      <c r="H800" s="783" t="str">
        <f>IF(UV!$F22="","",UV!$F22)</f>
        <v/>
      </c>
      <c r="I800" s="717" t="str">
        <f t="shared" si="161"/>
        <v/>
      </c>
      <c r="J800" s="718" t="str">
        <f t="shared" ref="J800:J805" si="163">IF(OR(B800="-",N800="",AND(P800="",T800="")),"-",IF(I800="Richtig!",1,IF(I800="Formel: OK",0.5,IF(OR(I800="Falsch",I800="Fehlt"),0,""))))</f>
        <v>-</v>
      </c>
      <c r="K800" s="711" t="str">
        <f t="shared" si="150"/>
        <v/>
      </c>
      <c r="L800" s="712" t="str">
        <f t="shared" si="157"/>
        <v/>
      </c>
      <c r="N800" s="719"/>
      <c r="P800" s="714" t="str">
        <f t="shared" si="156"/>
        <v/>
      </c>
      <c r="Q800" s="715"/>
      <c r="R800" s="715" t="str">
        <f t="shared" si="156"/>
        <v/>
      </c>
      <c r="T800" s="783" t="str">
        <f t="shared" si="156"/>
        <v/>
      </c>
    </row>
    <row r="801" spans="1:20" ht="12.75" hidden="1" customHeight="1" x14ac:dyDescent="0.2">
      <c r="A801" s="707"/>
      <c r="B801" s="2" t="str">
        <f>IF(UV!B23="","-",UV!B23)</f>
        <v>-</v>
      </c>
      <c r="C801" s="780" t="str">
        <f t="shared" si="162"/>
        <v>Wert 1. Jän.</v>
      </c>
      <c r="D801" s="714" t="str">
        <f>IF('[1]E-UV'!$F23="","",'[1]E-UV'!$F23)</f>
        <v/>
      </c>
      <c r="E801" s="715"/>
      <c r="F801" s="715"/>
      <c r="H801" s="783" t="str">
        <f>IF(UV!$F23="","",UV!$F23)</f>
        <v/>
      </c>
      <c r="I801" s="717" t="str">
        <f t="shared" si="161"/>
        <v/>
      </c>
      <c r="J801" s="718" t="str">
        <f t="shared" si="163"/>
        <v>-</v>
      </c>
      <c r="K801" s="711" t="str">
        <f t="shared" si="150"/>
        <v/>
      </c>
      <c r="L801" s="712" t="str">
        <f t="shared" si="157"/>
        <v/>
      </c>
      <c r="N801" s="719"/>
      <c r="P801" s="714" t="str">
        <f t="shared" si="156"/>
        <v/>
      </c>
      <c r="Q801" s="715"/>
      <c r="R801" s="715" t="str">
        <f t="shared" si="156"/>
        <v/>
      </c>
      <c r="T801" s="783" t="str">
        <f t="shared" si="156"/>
        <v/>
      </c>
    </row>
    <row r="802" spans="1:20" ht="12.75" hidden="1" customHeight="1" x14ac:dyDescent="0.2">
      <c r="A802" s="707"/>
      <c r="B802" s="2" t="str">
        <f>IF(UV!B24="","-",UV!B24)</f>
        <v>-</v>
      </c>
      <c r="C802" s="780" t="str">
        <f t="shared" si="162"/>
        <v>Wert 1. Jän.</v>
      </c>
      <c r="D802" s="714" t="str">
        <f>IF('[1]E-UV'!$F24="","",'[1]E-UV'!$F24)</f>
        <v/>
      </c>
      <c r="E802" s="715"/>
      <c r="F802" s="715"/>
      <c r="H802" s="783" t="str">
        <f>IF(UV!$F24="","",UV!$F24)</f>
        <v/>
      </c>
      <c r="I802" s="717" t="str">
        <f t="shared" si="161"/>
        <v/>
      </c>
      <c r="J802" s="718" t="str">
        <f t="shared" si="163"/>
        <v>-</v>
      </c>
      <c r="K802" s="711" t="str">
        <f t="shared" si="150"/>
        <v/>
      </c>
      <c r="L802" s="712" t="str">
        <f t="shared" si="157"/>
        <v/>
      </c>
      <c r="N802" s="719"/>
      <c r="P802" s="714" t="str">
        <f t="shared" si="156"/>
        <v/>
      </c>
      <c r="Q802" s="715"/>
      <c r="R802" s="715" t="str">
        <f t="shared" si="156"/>
        <v/>
      </c>
      <c r="T802" s="783" t="str">
        <f t="shared" si="156"/>
        <v/>
      </c>
    </row>
    <row r="803" spans="1:20" ht="12.75" hidden="1" customHeight="1" x14ac:dyDescent="0.2">
      <c r="A803" s="707"/>
      <c r="B803" s="2" t="str">
        <f>IF(UV!B25="","-",UV!B25)</f>
        <v>-</v>
      </c>
      <c r="C803" s="780" t="str">
        <f t="shared" si="162"/>
        <v>Wert 1. Jän.</v>
      </c>
      <c r="D803" s="714" t="str">
        <f>IF('[1]E-UV'!$F25="","",'[1]E-UV'!$F25)</f>
        <v/>
      </c>
      <c r="E803" s="715"/>
      <c r="F803" s="715"/>
      <c r="H803" s="783" t="str">
        <f>IF(UV!$F25="","",UV!$F25)</f>
        <v/>
      </c>
      <c r="I803" s="717" t="str">
        <f t="shared" si="161"/>
        <v/>
      </c>
      <c r="J803" s="718" t="str">
        <f t="shared" si="163"/>
        <v>-</v>
      </c>
      <c r="K803" s="711" t="str">
        <f t="shared" si="150"/>
        <v/>
      </c>
      <c r="L803" s="712" t="str">
        <f t="shared" si="157"/>
        <v/>
      </c>
      <c r="N803" s="719"/>
      <c r="P803" s="714" t="str">
        <f t="shared" si="156"/>
        <v/>
      </c>
      <c r="Q803" s="715"/>
      <c r="R803" s="715" t="str">
        <f t="shared" si="156"/>
        <v/>
      </c>
      <c r="T803" s="783" t="str">
        <f t="shared" si="156"/>
        <v/>
      </c>
    </row>
    <row r="804" spans="1:20" ht="12.75" hidden="1" customHeight="1" x14ac:dyDescent="0.2">
      <c r="A804" s="707"/>
      <c r="B804" s="2" t="str">
        <f>IF(UV!B26="","-",UV!B26)</f>
        <v>-</v>
      </c>
      <c r="C804" s="780" t="str">
        <f t="shared" si="162"/>
        <v>Wert 1. Jän.</v>
      </c>
      <c r="D804" s="714" t="str">
        <f>IF('[1]E-UV'!$F26="","",'[1]E-UV'!$F26)</f>
        <v/>
      </c>
      <c r="E804" s="715"/>
      <c r="F804" s="715"/>
      <c r="H804" s="783" t="str">
        <f>IF(UV!$F26="","",UV!$F26)</f>
        <v/>
      </c>
      <c r="I804" s="717" t="str">
        <f t="shared" si="161"/>
        <v/>
      </c>
      <c r="J804" s="718" t="str">
        <f t="shared" si="163"/>
        <v>-</v>
      </c>
      <c r="K804" s="711" t="str">
        <f t="shared" si="150"/>
        <v/>
      </c>
      <c r="L804" s="712" t="str">
        <f t="shared" si="157"/>
        <v/>
      </c>
      <c r="N804" s="719"/>
      <c r="P804" s="714" t="str">
        <f t="shared" si="156"/>
        <v/>
      </c>
      <c r="Q804" s="715"/>
      <c r="R804" s="715" t="str">
        <f t="shared" si="156"/>
        <v/>
      </c>
      <c r="T804" s="783" t="str">
        <f t="shared" si="156"/>
        <v/>
      </c>
    </row>
    <row r="805" spans="1:20" ht="12.75" hidden="1" customHeight="1" x14ac:dyDescent="0.2">
      <c r="A805" s="707"/>
      <c r="B805" s="779" t="str">
        <f>IF(UV!B27="","-",UV!B27)</f>
        <v>Summe SCHWEINE</v>
      </c>
      <c r="C805" s="780" t="str">
        <f t="shared" si="162"/>
        <v>Wert 1. Jän.</v>
      </c>
      <c r="D805" s="720" t="str">
        <f>IF('[1]E-UV'!$F27="","",'[1]E-UV'!$F27)</f>
        <v/>
      </c>
      <c r="E805" s="715"/>
      <c r="F805" s="721" t="str">
        <f>IF(AND(H800="",H801="",H802="",H803="",H804=""),"-",SUM(H800:H804))</f>
        <v>-</v>
      </c>
      <c r="H805" s="784" t="str">
        <f>IF(UV!$F27="","",UV!$F27)</f>
        <v/>
      </c>
      <c r="I805" s="717" t="str">
        <f>IF(B805="","",IF(T805=P805,"Richtig!",IF(AND(P805&lt;&gt;T805,R805=T805),"Formel: OK",IF(T805="","Fehlt","Falsch"))))</f>
        <v>Richtig!</v>
      </c>
      <c r="J805" s="718" t="str">
        <f t="shared" si="163"/>
        <v>-</v>
      </c>
      <c r="K805" s="711" t="str">
        <f t="shared" si="150"/>
        <v/>
      </c>
      <c r="L805" s="712" t="str">
        <f t="shared" si="157"/>
        <v/>
      </c>
      <c r="N805" s="719"/>
      <c r="P805" s="720" t="str">
        <f t="shared" si="156"/>
        <v/>
      </c>
      <c r="Q805" s="715"/>
      <c r="R805" s="721" t="str">
        <f t="shared" si="156"/>
        <v>-</v>
      </c>
      <c r="T805" s="784" t="str">
        <f t="shared" si="156"/>
        <v/>
      </c>
    </row>
    <row r="806" spans="1:20" ht="12.75" customHeight="1" x14ac:dyDescent="0.2">
      <c r="B806" s="782" t="str">
        <f>IF(UV!B30="","-",UV!B30)</f>
        <v>Selbst erzeugte Vorräte</v>
      </c>
      <c r="C806" s="780"/>
      <c r="D806" s="708" t="str">
        <f>IF('[1]E-UV'!$F30="","",'[1]E-UV'!$F30)</f>
        <v/>
      </c>
      <c r="H806" s="691" t="str">
        <f>IF(UV!$F30="","",UV!$F30)</f>
        <v/>
      </c>
      <c r="I806" s="717"/>
      <c r="J806" s="717"/>
      <c r="K806" s="711" t="str">
        <f t="shared" si="150"/>
        <v/>
      </c>
      <c r="L806" s="712" t="str">
        <f t="shared" si="157"/>
        <v/>
      </c>
      <c r="N806" s="695" t="str">
        <f>IF($L$1="","",$L$1)</f>
        <v>x</v>
      </c>
      <c r="P806" s="708" t="str">
        <f t="shared" si="156"/>
        <v/>
      </c>
      <c r="R806" s="1" t="str">
        <f t="shared" si="156"/>
        <v/>
      </c>
      <c r="T806" s="691" t="str">
        <f t="shared" si="156"/>
        <v/>
      </c>
    </row>
    <row r="807" spans="1:20" ht="12.75" hidden="1" customHeight="1" x14ac:dyDescent="0.2">
      <c r="B807" s="2" t="str">
        <f>IF(UV!B31="","-",UV!B31)</f>
        <v>Gerste</v>
      </c>
      <c r="C807" s="780" t="str">
        <f t="shared" ref="C807:C812" si="164">MID($B$789,1,11)&amp;"."</f>
        <v>Wert 1. Jän.</v>
      </c>
      <c r="D807" s="714">
        <f>IF('[1]E-UV'!$F31="","",'[1]E-UV'!$F31)</f>
        <v>3.25</v>
      </c>
      <c r="E807" s="715"/>
      <c r="F807" s="715"/>
      <c r="H807" s="783">
        <f>IF(UV!$F31="","",UV!$F31)</f>
        <v>3.25</v>
      </c>
      <c r="I807" s="717" t="str">
        <f>IF(OR(B807="-",AND(P807="",T807="")),"",IF(T807=P807,"Richtig!",IF(T807="","Fehlt","Falsch")))</f>
        <v>Richtig!</v>
      </c>
      <c r="J807" s="718" t="str">
        <f t="shared" ref="J807:J812" si="165">IF(OR(B807="-",N807="",AND(P807="",T807="")),"-",IF(I807="Richtig!",1,IF(I807="Formel: OK",0.5,IF(OR(I807="Falsch",I807="Fehlt"),0,""))))</f>
        <v>-</v>
      </c>
      <c r="K807" s="711" t="str">
        <f t="shared" si="150"/>
        <v/>
      </c>
      <c r="L807" s="712" t="str">
        <f t="shared" si="157"/>
        <v/>
      </c>
      <c r="N807" s="719"/>
      <c r="P807" s="714">
        <f t="shared" si="156"/>
        <v>3.25</v>
      </c>
      <c r="Q807" s="715"/>
      <c r="R807" s="715" t="str">
        <f t="shared" si="156"/>
        <v/>
      </c>
      <c r="T807" s="783">
        <f t="shared" si="156"/>
        <v>3.25</v>
      </c>
    </row>
    <row r="808" spans="1:20" ht="12.75" hidden="1" customHeight="1" x14ac:dyDescent="0.2">
      <c r="A808" s="707"/>
      <c r="B808" s="2" t="str">
        <f>IF(UV!B32="","-",UV!B32)</f>
        <v>Hafer</v>
      </c>
      <c r="C808" s="780" t="str">
        <f t="shared" si="164"/>
        <v>Wert 1. Jän.</v>
      </c>
      <c r="D808" s="714">
        <f>IF('[1]E-UV'!$F32="","",'[1]E-UV'!$F32)</f>
        <v>0.6</v>
      </c>
      <c r="E808" s="715"/>
      <c r="F808" s="715"/>
      <c r="H808" s="783">
        <f>IF(UV!$F32="","",UV!$F32)</f>
        <v>0.6</v>
      </c>
      <c r="I808" s="717" t="str">
        <f>IF(OR(B808="-",AND(P808="",T808="")),"",IF(T808=P808,"Richtig!",IF(T808="","Fehlt","Falsch")))</f>
        <v>Richtig!</v>
      </c>
      <c r="J808" s="718" t="str">
        <f t="shared" si="165"/>
        <v>-</v>
      </c>
      <c r="K808" s="711" t="str">
        <f t="shared" si="150"/>
        <v/>
      </c>
      <c r="L808" s="712" t="str">
        <f t="shared" si="157"/>
        <v/>
      </c>
      <c r="N808" s="719"/>
      <c r="P808" s="714">
        <f t="shared" si="156"/>
        <v>0.6</v>
      </c>
      <c r="Q808" s="715"/>
      <c r="R808" s="715" t="str">
        <f t="shared" si="156"/>
        <v/>
      </c>
      <c r="T808" s="783">
        <f t="shared" si="156"/>
        <v>0.6</v>
      </c>
    </row>
    <row r="809" spans="1:20" ht="12.75" x14ac:dyDescent="0.2">
      <c r="A809" s="707"/>
      <c r="B809" s="2" t="str">
        <f>IF(UV!B33="","-",UV!B33)</f>
        <v>Kartoffel</v>
      </c>
      <c r="C809" s="780" t="str">
        <f t="shared" si="164"/>
        <v>Wert 1. Jän.</v>
      </c>
      <c r="D809" s="714">
        <f>IF('[1]E-UV'!$F33="","",'[1]E-UV'!$F33)</f>
        <v>304.5</v>
      </c>
      <c r="E809" s="715"/>
      <c r="F809" s="715"/>
      <c r="H809" s="783">
        <f>IF(UV!$F33="","",UV!$F33)</f>
        <v>304.5</v>
      </c>
      <c r="I809" s="717" t="str">
        <f>IF(OR(B809="-",AND(P809="",T809="")),"",IF(T809=P809,"Richtig!",IF(T809="","Fehlt","Falsch")))</f>
        <v>Richtig!</v>
      </c>
      <c r="J809" s="718">
        <f t="shared" si="165"/>
        <v>1</v>
      </c>
      <c r="K809" s="711" t="str">
        <f t="shared" si="150"/>
        <v>│</v>
      </c>
      <c r="L809" s="712">
        <f t="shared" si="157"/>
        <v>1</v>
      </c>
      <c r="N809" s="719" t="str">
        <f>IF($L$1="","",$L$1)</f>
        <v>x</v>
      </c>
      <c r="P809" s="714">
        <f t="shared" si="156"/>
        <v>304.5</v>
      </c>
      <c r="Q809" s="715"/>
      <c r="R809" s="715" t="str">
        <f t="shared" si="156"/>
        <v/>
      </c>
      <c r="T809" s="783">
        <f t="shared" si="156"/>
        <v>304.5</v>
      </c>
    </row>
    <row r="810" spans="1:20" ht="12.75" hidden="1" customHeight="1" x14ac:dyDescent="0.2">
      <c r="A810" s="707"/>
      <c r="B810" s="2" t="str">
        <f>IF(UV!B34="","-",UV!B34)</f>
        <v>-</v>
      </c>
      <c r="C810" s="780" t="str">
        <f t="shared" si="164"/>
        <v>Wert 1. Jän.</v>
      </c>
      <c r="D810" s="714" t="str">
        <f>IF('[1]E-UV'!$F34="","",'[1]E-UV'!$F34)</f>
        <v/>
      </c>
      <c r="E810" s="715"/>
      <c r="F810" s="715"/>
      <c r="H810" s="783" t="str">
        <f>IF(UV!$F34="","",UV!$F34)</f>
        <v/>
      </c>
      <c r="I810" s="717" t="str">
        <f>IF(OR(B810="-",AND(P810="",T810="")),"",IF(T810=P810,"Richtig!",IF(T810="","Fehlt","Falsch")))</f>
        <v/>
      </c>
      <c r="J810" s="718" t="str">
        <f t="shared" si="165"/>
        <v>-</v>
      </c>
      <c r="K810" s="711" t="str">
        <f t="shared" si="150"/>
        <v/>
      </c>
      <c r="L810" s="712" t="str">
        <f t="shared" si="157"/>
        <v/>
      </c>
      <c r="N810" s="719"/>
      <c r="P810" s="714" t="str">
        <f t="shared" si="156"/>
        <v/>
      </c>
      <c r="Q810" s="715"/>
      <c r="R810" s="715" t="str">
        <f t="shared" si="156"/>
        <v/>
      </c>
      <c r="T810" s="783" t="str">
        <f t="shared" si="156"/>
        <v/>
      </c>
    </row>
    <row r="811" spans="1:20" ht="12.75" hidden="1" customHeight="1" x14ac:dyDescent="0.2">
      <c r="A811" s="707"/>
      <c r="B811" s="2" t="str">
        <f>IF(UV!B35="","-",UV!B35)</f>
        <v>-</v>
      </c>
      <c r="C811" s="780" t="str">
        <f t="shared" si="164"/>
        <v>Wert 1. Jän.</v>
      </c>
      <c r="D811" s="714" t="str">
        <f>IF('[1]E-UV'!$F35="","",'[1]E-UV'!$F35)</f>
        <v/>
      </c>
      <c r="E811" s="715"/>
      <c r="F811" s="715"/>
      <c r="H811" s="783" t="str">
        <f>IF(UV!$F35="","",UV!$F35)</f>
        <v/>
      </c>
      <c r="I811" s="717" t="str">
        <f>IF(OR(B811="-",AND(P811="",T811="")),"",IF(T811=P811,"Richtig!",IF(T811="","Fehlt","Falsch")))</f>
        <v/>
      </c>
      <c r="J811" s="718" t="str">
        <f t="shared" si="165"/>
        <v>-</v>
      </c>
      <c r="K811" s="711" t="str">
        <f t="shared" si="150"/>
        <v/>
      </c>
      <c r="L811" s="712" t="str">
        <f t="shared" si="157"/>
        <v/>
      </c>
      <c r="N811" s="719"/>
      <c r="P811" s="714" t="str">
        <f t="shared" si="156"/>
        <v/>
      </c>
      <c r="Q811" s="715"/>
      <c r="R811" s="715" t="str">
        <f t="shared" si="156"/>
        <v/>
      </c>
      <c r="T811" s="783" t="str">
        <f t="shared" si="156"/>
        <v/>
      </c>
    </row>
    <row r="812" spans="1:20" ht="12.75" x14ac:dyDescent="0.2">
      <c r="A812" s="707"/>
      <c r="B812" s="779" t="str">
        <f>IF(UV!B36="","-",UV!B36)</f>
        <v>Summe selbst erzeugte Vorräte</v>
      </c>
      <c r="C812" s="780" t="str">
        <f t="shared" si="164"/>
        <v>Wert 1. Jän.</v>
      </c>
      <c r="D812" s="720">
        <f>IF('[1]E-UV'!$F36="","",'[1]E-UV'!$F36)</f>
        <v>308.35000000000002</v>
      </c>
      <c r="E812" s="715"/>
      <c r="F812" s="721">
        <f>IF(AND(H807="",H808="",H809="",H810="",H811=""),"-",SUM(H807:H811))</f>
        <v>308.35000000000002</v>
      </c>
      <c r="H812" s="784">
        <f>IF(UV!$F36="","",UV!$F36)</f>
        <v>308.35000000000002</v>
      </c>
      <c r="I812" s="717" t="str">
        <f>IF(B812="","",IF(T812=P812,"Richtig!",IF(AND(P812&lt;&gt;T812,R812=T812),"Formel: OK",IF(T812="","Fehlt","Falsch"))))</f>
        <v>Richtig!</v>
      </c>
      <c r="J812" s="718">
        <f t="shared" si="165"/>
        <v>1</v>
      </c>
      <c r="K812" s="711" t="str">
        <f t="shared" si="150"/>
        <v>│</v>
      </c>
      <c r="L812" s="712">
        <f t="shared" si="157"/>
        <v>1</v>
      </c>
      <c r="N812" s="719" t="str">
        <f>IF($L$1="","",$L$1)</f>
        <v>x</v>
      </c>
      <c r="P812" s="720">
        <f t="shared" si="156"/>
        <v>308.35000000000002</v>
      </c>
      <c r="Q812" s="715"/>
      <c r="R812" s="721">
        <f t="shared" si="156"/>
        <v>308.35000000000002</v>
      </c>
      <c r="T812" s="784">
        <f t="shared" si="156"/>
        <v>308.35000000000002</v>
      </c>
    </row>
    <row r="813" spans="1:20" ht="12.75" hidden="1" customHeight="1" x14ac:dyDescent="0.2">
      <c r="A813" s="707"/>
      <c r="B813" s="782" t="str">
        <f>IF(UV!B44="","-",UV!B44)</f>
        <v>Zugekaufte Vorräte</v>
      </c>
      <c r="C813" s="780"/>
      <c r="D813" s="708" t="str">
        <f>IF('[1]E-UV'!$F44="","",'[1]E-UV'!$F44)</f>
        <v/>
      </c>
      <c r="H813" s="691" t="str">
        <f>IF(UV!$F44="","",UV!$F44)</f>
        <v/>
      </c>
      <c r="I813" s="717"/>
      <c r="J813" s="717"/>
      <c r="K813" s="711" t="str">
        <f t="shared" si="150"/>
        <v/>
      </c>
      <c r="L813" s="712" t="str">
        <f t="shared" si="157"/>
        <v/>
      </c>
      <c r="N813" s="695"/>
      <c r="P813" s="708" t="str">
        <f t="shared" si="156"/>
        <v/>
      </c>
      <c r="R813" s="1" t="str">
        <f t="shared" si="156"/>
        <v/>
      </c>
      <c r="T813" s="691" t="str">
        <f t="shared" si="156"/>
        <v/>
      </c>
    </row>
    <row r="814" spans="1:20" ht="12.75" hidden="1" customHeight="1" x14ac:dyDescent="0.2">
      <c r="A814" s="707"/>
      <c r="B814" s="2" t="str">
        <f>IF(UV!B45="","-",UV!B45)</f>
        <v>Milchkraftfutter</v>
      </c>
      <c r="C814" s="780" t="str">
        <f t="shared" ref="C814:C819" si="166">MID($B$789,1,11)&amp;"."</f>
        <v>Wert 1. Jän.</v>
      </c>
      <c r="D814" s="714">
        <f>IF('[1]E-UV'!$F45="","",'[1]E-UV'!$F45)</f>
        <v>62.4</v>
      </c>
      <c r="E814" s="715"/>
      <c r="F814" s="715"/>
      <c r="H814" s="783">
        <f>IF(UV!$F45="","",UV!$F45)</f>
        <v>62.4</v>
      </c>
      <c r="I814" s="717" t="str">
        <f>IF(OR(B814="-",AND(P814="",T814="")),"",IF(T814=P814,"Richtig!",IF(T814="","Fehlt","Falsch")))</f>
        <v>Richtig!</v>
      </c>
      <c r="J814" s="718" t="str">
        <f t="shared" ref="J814:J819" si="167">IF(OR(B814="-",N814="",AND(P814="",T814="")),"-",IF(I814="Richtig!",1,IF(I814="Formel: OK",0.5,IF(OR(I814="Falsch",I814="Fehlt"),0,""))))</f>
        <v>-</v>
      </c>
      <c r="K814" s="711" t="str">
        <f t="shared" si="150"/>
        <v/>
      </c>
      <c r="L814" s="712" t="str">
        <f t="shared" si="157"/>
        <v/>
      </c>
      <c r="N814" s="719"/>
      <c r="P814" s="714">
        <f t="shared" si="156"/>
        <v>62.4</v>
      </c>
      <c r="Q814" s="715"/>
      <c r="R814" s="715" t="str">
        <f t="shared" si="156"/>
        <v/>
      </c>
      <c r="T814" s="783">
        <f t="shared" si="156"/>
        <v>62.4</v>
      </c>
    </row>
    <row r="815" spans="1:20" ht="12.75" hidden="1" customHeight="1" x14ac:dyDescent="0.2">
      <c r="A815" s="707"/>
      <c r="B815" s="2" t="str">
        <f>IF(UV!B46="","-",UV!B46)</f>
        <v>Weizenschrot</v>
      </c>
      <c r="C815" s="780" t="str">
        <f t="shared" si="166"/>
        <v>Wert 1. Jän.</v>
      </c>
      <c r="D815" s="714">
        <f>IF('[1]E-UV'!$F46="","",'[1]E-UV'!$F46)</f>
        <v>38.870000000000005</v>
      </c>
      <c r="E815" s="715"/>
      <c r="F815" s="715"/>
      <c r="H815" s="783">
        <f>IF(UV!$F46="","",UV!$F46)</f>
        <v>38.870000000000005</v>
      </c>
      <c r="I815" s="717" t="str">
        <f>IF(OR(B815="-",AND(P815="",T815="")),"",IF(T815=P815,"Richtig!",IF(T815="","Fehlt","Falsch")))</f>
        <v>Richtig!</v>
      </c>
      <c r="J815" s="718" t="str">
        <f t="shared" si="167"/>
        <v>-</v>
      </c>
      <c r="K815" s="711" t="str">
        <f t="shared" si="150"/>
        <v/>
      </c>
      <c r="L815" s="712" t="str">
        <f t="shared" si="157"/>
        <v/>
      </c>
      <c r="N815" s="719"/>
      <c r="P815" s="714">
        <f t="shared" si="156"/>
        <v>38.869999999999997</v>
      </c>
      <c r="Q815" s="715"/>
      <c r="R815" s="715" t="str">
        <f t="shared" si="156"/>
        <v/>
      </c>
      <c r="T815" s="783">
        <f t="shared" si="156"/>
        <v>38.869999999999997</v>
      </c>
    </row>
    <row r="816" spans="1:20" ht="12.75" hidden="1" customHeight="1" x14ac:dyDescent="0.2">
      <c r="A816" s="707"/>
      <c r="B816" s="2" t="str">
        <f>IF(UV!B47="","-",UV!B47)</f>
        <v>Erbsenschrot</v>
      </c>
      <c r="C816" s="780" t="str">
        <f t="shared" si="166"/>
        <v>Wert 1. Jän.</v>
      </c>
      <c r="D816" s="714">
        <f>IF('[1]E-UV'!$F47="","",'[1]E-UV'!$F47)</f>
        <v>11</v>
      </c>
      <c r="E816" s="715"/>
      <c r="F816" s="715"/>
      <c r="H816" s="783">
        <f>IF(UV!$F47="","",UV!$F47)</f>
        <v>11</v>
      </c>
      <c r="I816" s="717" t="str">
        <f>IF(OR(B816="-",AND(P816="",T816="")),"",IF(T816=P816,"Richtig!",IF(T816="","Fehlt","Falsch")))</f>
        <v>Richtig!</v>
      </c>
      <c r="J816" s="718" t="str">
        <f t="shared" si="167"/>
        <v>-</v>
      </c>
      <c r="K816" s="711" t="str">
        <f t="shared" si="150"/>
        <v/>
      </c>
      <c r="L816" s="712" t="str">
        <f t="shared" si="157"/>
        <v/>
      </c>
      <c r="N816" s="719"/>
      <c r="P816" s="714">
        <f t="shared" si="156"/>
        <v>11</v>
      </c>
      <c r="Q816" s="715"/>
      <c r="R816" s="715" t="str">
        <f t="shared" si="156"/>
        <v/>
      </c>
      <c r="T816" s="783">
        <f t="shared" si="156"/>
        <v>11</v>
      </c>
    </row>
    <row r="817" spans="1:20" ht="12.75" hidden="1" customHeight="1" x14ac:dyDescent="0.2">
      <c r="A817" s="707"/>
      <c r="B817" s="2" t="str">
        <f>IF(UV!B48="","-",UV!B48)</f>
        <v>-</v>
      </c>
      <c r="C817" s="780" t="str">
        <f t="shared" si="166"/>
        <v>Wert 1. Jän.</v>
      </c>
      <c r="D817" s="714" t="str">
        <f>IF('[1]E-UV'!$F48="","",'[1]E-UV'!$F48)</f>
        <v/>
      </c>
      <c r="E817" s="715"/>
      <c r="F817" s="715"/>
      <c r="H817" s="783" t="str">
        <f>IF(UV!$F48="","",UV!$F48)</f>
        <v/>
      </c>
      <c r="I817" s="717" t="str">
        <f>IF(OR(B817="-",AND(P817="",T817="")),"",IF(T817=P817,"Richtig!",IF(T817="","Fehlt","Falsch")))</f>
        <v/>
      </c>
      <c r="J817" s="718" t="str">
        <f t="shared" si="167"/>
        <v>-</v>
      </c>
      <c r="K817" s="711" t="str">
        <f t="shared" si="150"/>
        <v/>
      </c>
      <c r="L817" s="712" t="str">
        <f t="shared" si="157"/>
        <v/>
      </c>
      <c r="N817" s="719"/>
      <c r="P817" s="714" t="str">
        <f t="shared" si="156"/>
        <v/>
      </c>
      <c r="Q817" s="715"/>
      <c r="R817" s="715" t="str">
        <f t="shared" si="156"/>
        <v/>
      </c>
      <c r="T817" s="783" t="str">
        <f t="shared" si="156"/>
        <v/>
      </c>
    </row>
    <row r="818" spans="1:20" ht="12.75" hidden="1" customHeight="1" x14ac:dyDescent="0.2">
      <c r="A818" s="707"/>
      <c r="B818" s="2" t="str">
        <f>IF(UV!B49="","-",UV!B49)</f>
        <v>-</v>
      </c>
      <c r="C818" s="780" t="str">
        <f t="shared" si="166"/>
        <v>Wert 1. Jän.</v>
      </c>
      <c r="D818" s="714" t="str">
        <f>IF('[1]E-UV'!$F49="","",'[1]E-UV'!$F49)</f>
        <v/>
      </c>
      <c r="E818" s="715"/>
      <c r="F818" s="715"/>
      <c r="H818" s="783" t="str">
        <f>IF(UV!$F49="","",UV!$F49)</f>
        <v/>
      </c>
      <c r="I818" s="717" t="str">
        <f>IF(OR(B818="-",AND(P818="",T818="")),"",IF(T818=P818,"Richtig!",IF(T818="","Fehlt","Falsch")))</f>
        <v/>
      </c>
      <c r="J818" s="718" t="str">
        <f t="shared" si="167"/>
        <v>-</v>
      </c>
      <c r="K818" s="711" t="str">
        <f t="shared" si="150"/>
        <v/>
      </c>
      <c r="L818" s="712" t="str">
        <f t="shared" si="157"/>
        <v/>
      </c>
      <c r="N818" s="719"/>
      <c r="P818" s="714" t="str">
        <f t="shared" si="156"/>
        <v/>
      </c>
      <c r="Q818" s="715"/>
      <c r="R818" s="715" t="str">
        <f t="shared" si="156"/>
        <v/>
      </c>
      <c r="T818" s="783" t="str">
        <f t="shared" si="156"/>
        <v/>
      </c>
    </row>
    <row r="819" spans="1:20" ht="12.75" hidden="1" customHeight="1" x14ac:dyDescent="0.2">
      <c r="A819" s="707"/>
      <c r="B819" s="779" t="str">
        <f>IF(UV!B50="","-",UV!B50)</f>
        <v>Summe zugekaufte Vorräte</v>
      </c>
      <c r="C819" s="780" t="str">
        <f t="shared" si="166"/>
        <v>Wert 1. Jän.</v>
      </c>
      <c r="D819" s="720">
        <f>IF('[1]E-UV'!$F50="","",'[1]E-UV'!$F50)</f>
        <v>112.27000000000001</v>
      </c>
      <c r="E819" s="715"/>
      <c r="F819" s="721">
        <f>IF(AND(H814="",H815="",H816="",H817="",H818=""),"-",SUM(H814:H818))</f>
        <v>112.27000000000001</v>
      </c>
      <c r="H819" s="784">
        <f>IF(UV!$F50="","",UV!$F50)</f>
        <v>112.27000000000001</v>
      </c>
      <c r="I819" s="717" t="str">
        <f>IF(B819="","",IF(T819=P819,"Richtig!",IF(AND(P819&lt;&gt;T819,R819=T819),"Formel: OK",IF(T819="","Fehlt","Falsch"))))</f>
        <v>Richtig!</v>
      </c>
      <c r="J819" s="718" t="str">
        <f t="shared" si="167"/>
        <v>-</v>
      </c>
      <c r="K819" s="711" t="str">
        <f t="shared" si="150"/>
        <v/>
      </c>
      <c r="L819" s="712" t="str">
        <f t="shared" si="157"/>
        <v/>
      </c>
      <c r="N819" s="719"/>
      <c r="P819" s="720">
        <f t="shared" si="156"/>
        <v>112.27</v>
      </c>
      <c r="Q819" s="715"/>
      <c r="R819" s="721">
        <f t="shared" si="156"/>
        <v>112.27</v>
      </c>
      <c r="T819" s="784">
        <f t="shared" si="156"/>
        <v>112.27</v>
      </c>
    </row>
    <row r="820" spans="1:20" ht="12.75" x14ac:dyDescent="0.2">
      <c r="A820" s="707"/>
      <c r="B820" s="2"/>
      <c r="C820" s="780"/>
      <c r="D820" s="708"/>
      <c r="E820" s="715"/>
      <c r="H820" s="691"/>
      <c r="I820" s="717"/>
      <c r="J820" s="717"/>
      <c r="K820" s="711"/>
      <c r="L820" s="712" t="str">
        <f t="shared" si="157"/>
        <v/>
      </c>
      <c r="N820" s="725" t="str">
        <f>IF($L$1="","",$L$1)</f>
        <v>x</v>
      </c>
      <c r="P820" s="708" t="str">
        <f t="shared" si="156"/>
        <v/>
      </c>
      <c r="Q820" s="715"/>
      <c r="R820" s="1" t="str">
        <f t="shared" si="156"/>
        <v/>
      </c>
      <c r="T820" s="691" t="str">
        <f t="shared" si="156"/>
        <v/>
      </c>
    </row>
    <row r="821" spans="1:20" ht="12.75" customHeight="1" x14ac:dyDescent="0.2">
      <c r="A821" s="706" t="s">
        <v>368</v>
      </c>
      <c r="B821" s="706" t="s">
        <v>438</v>
      </c>
      <c r="C821" s="707"/>
      <c r="D821" s="708"/>
      <c r="H821" s="691"/>
      <c r="I821" s="710"/>
      <c r="J821" s="710"/>
      <c r="K821" s="711" t="str">
        <f t="shared" si="150"/>
        <v/>
      </c>
      <c r="L821" s="712" t="str">
        <f t="shared" ref="L821:L852" si="168">IF(OR(B821="-",N821="",AND(P821="",T821="")),"",1)</f>
        <v/>
      </c>
      <c r="N821" s="695" t="str">
        <f>IF($L$1="","",$L$1)</f>
        <v>x</v>
      </c>
      <c r="P821" s="708" t="str">
        <f t="shared" si="156"/>
        <v/>
      </c>
      <c r="R821" s="1" t="str">
        <f t="shared" si="156"/>
        <v/>
      </c>
      <c r="T821" s="691" t="str">
        <f t="shared" si="156"/>
        <v/>
      </c>
    </row>
    <row r="822" spans="1:20" ht="12.75" x14ac:dyDescent="0.2">
      <c r="B822" s="782" t="str">
        <f>IF(UV!B5="","-",UV!B5)</f>
        <v>RINDER</v>
      </c>
      <c r="C822" s="731"/>
      <c r="D822" s="708" t="str">
        <f>IF('[1]E-2NGeb'!Q252="","",'[1]E-2NGeb'!Q252)</f>
        <v/>
      </c>
      <c r="H822" s="691" t="str">
        <f>IF('2NGeb'!Q252="","",'2NGeb'!Q252)</f>
        <v/>
      </c>
      <c r="I822" s="717" t="str">
        <f t="shared" ref="I822:I829" si="169">IF(OR(B822="-",AND(P822="",T822="")),"",IF(T822=P822,"Richtig!",IF(T822="","Fehlt","Falsch")))</f>
        <v/>
      </c>
      <c r="J822" s="717"/>
      <c r="K822" s="711" t="str">
        <f t="shared" si="150"/>
        <v/>
      </c>
      <c r="L822" s="712" t="str">
        <f t="shared" si="168"/>
        <v/>
      </c>
      <c r="N822" s="695" t="str">
        <f>IF($L$1="","",$L$1)</f>
        <v>x</v>
      </c>
      <c r="P822" s="708" t="str">
        <f t="shared" si="156"/>
        <v/>
      </c>
      <c r="R822" s="1" t="str">
        <f t="shared" si="156"/>
        <v/>
      </c>
      <c r="T822" s="691" t="str">
        <f t="shared" si="156"/>
        <v/>
      </c>
    </row>
    <row r="823" spans="1:20" ht="12.75" hidden="1" customHeight="1" x14ac:dyDescent="0.2">
      <c r="B823" s="2" t="str">
        <f>IF(UV!B6="","-",UV!B6)</f>
        <v>Milchkühe</v>
      </c>
      <c r="C823" s="780" t="str">
        <f t="shared" ref="C823:C830" si="170">MID($B$821,1,12)&amp;"."</f>
        <v>Wert 31. Dez.</v>
      </c>
      <c r="D823" s="714">
        <f>IF('[1]E-UV'!$I6="","",'[1]E-UV'!$I6)</f>
        <v>4408</v>
      </c>
      <c r="E823" s="715"/>
      <c r="F823" s="715"/>
      <c r="H823" s="783">
        <f>IF(UV!$I6="","",UV!$I6)</f>
        <v>4408</v>
      </c>
      <c r="I823" s="717" t="str">
        <f t="shared" si="169"/>
        <v>Richtig!</v>
      </c>
      <c r="J823" s="718" t="str">
        <f t="shared" ref="J823:J830" si="171">IF(OR(B823="-",N823="",AND(P823="",T823="")),"-",IF(I823="Richtig!",1,IF(I823="Formel: OK",0.5,IF(OR(I823="Falsch",I823="Fehlt"),0,""))))</f>
        <v>-</v>
      </c>
      <c r="K823" s="711" t="str">
        <f t="shared" si="150"/>
        <v/>
      </c>
      <c r="L823" s="712" t="str">
        <f t="shared" si="168"/>
        <v/>
      </c>
      <c r="N823" s="719"/>
      <c r="P823" s="714">
        <f t="shared" si="156"/>
        <v>4408</v>
      </c>
      <c r="Q823" s="715"/>
      <c r="R823" s="715" t="str">
        <f t="shared" si="156"/>
        <v/>
      </c>
      <c r="T823" s="783">
        <f t="shared" si="156"/>
        <v>4408</v>
      </c>
    </row>
    <row r="824" spans="1:20" ht="12.75" x14ac:dyDescent="0.2">
      <c r="A824" s="707"/>
      <c r="B824" s="2" t="str">
        <f>IF(UV!B7="","-",UV!B7)</f>
        <v>Kalbinnen</v>
      </c>
      <c r="C824" s="780" t="str">
        <f t="shared" si="170"/>
        <v>Wert 31. Dez.</v>
      </c>
      <c r="D824" s="714">
        <f>IF('[1]E-UV'!$I7="","",'[1]E-UV'!$I7)</f>
        <v>3534</v>
      </c>
      <c r="E824" s="715"/>
      <c r="F824" s="715"/>
      <c r="H824" s="783">
        <f>IF(UV!$I7="","",UV!$I7)</f>
        <v>3534</v>
      </c>
      <c r="I824" s="717" t="str">
        <f t="shared" si="169"/>
        <v>Richtig!</v>
      </c>
      <c r="J824" s="718">
        <f t="shared" si="171"/>
        <v>1</v>
      </c>
      <c r="K824" s="711" t="str">
        <f t="shared" si="150"/>
        <v>│</v>
      </c>
      <c r="L824" s="712">
        <f t="shared" si="168"/>
        <v>1</v>
      </c>
      <c r="N824" s="719" t="str">
        <f>IF($L$1="","",$L$1)</f>
        <v>x</v>
      </c>
      <c r="P824" s="714">
        <f t="shared" si="156"/>
        <v>3534</v>
      </c>
      <c r="Q824" s="715"/>
      <c r="R824" s="715" t="str">
        <f t="shared" si="156"/>
        <v/>
      </c>
      <c r="T824" s="783">
        <f t="shared" si="156"/>
        <v>3534</v>
      </c>
    </row>
    <row r="825" spans="1:20" ht="12.75" x14ac:dyDescent="0.2">
      <c r="A825" s="707"/>
      <c r="B825" s="2" t="str">
        <f>IF(UV!B8="","-",UV!B8)</f>
        <v>Kälber</v>
      </c>
      <c r="C825" s="780" t="str">
        <f t="shared" si="170"/>
        <v>Wert 31. Dez.</v>
      </c>
      <c r="D825" s="714">
        <f>IF('[1]E-UV'!$I8="","",'[1]E-UV'!$I8)</f>
        <v>513</v>
      </c>
      <c r="E825" s="715"/>
      <c r="F825" s="715"/>
      <c r="H825" s="783">
        <f>IF(UV!$I8="","",UV!$I8)</f>
        <v>513</v>
      </c>
      <c r="I825" s="717" t="str">
        <f t="shared" si="169"/>
        <v>Richtig!</v>
      </c>
      <c r="J825" s="718">
        <f t="shared" si="171"/>
        <v>1</v>
      </c>
      <c r="K825" s="711" t="str">
        <f t="shared" ref="K825:K886" si="172">IF(L825="","","│")</f>
        <v>│</v>
      </c>
      <c r="L825" s="712">
        <f t="shared" si="168"/>
        <v>1</v>
      </c>
      <c r="N825" s="719" t="str">
        <f>IF($L$1="","",$L$1)</f>
        <v>x</v>
      </c>
      <c r="P825" s="714">
        <f t="shared" si="156"/>
        <v>513</v>
      </c>
      <c r="Q825" s="715"/>
      <c r="R825" s="715" t="str">
        <f t="shared" si="156"/>
        <v/>
      </c>
      <c r="T825" s="783">
        <f t="shared" si="156"/>
        <v>513</v>
      </c>
    </row>
    <row r="826" spans="1:20" ht="12.75" hidden="1" customHeight="1" x14ac:dyDescent="0.2">
      <c r="A826" s="707"/>
      <c r="B826" s="2" t="str">
        <f>IF(UV!B9="","-",UV!B9)</f>
        <v>-</v>
      </c>
      <c r="C826" s="780" t="str">
        <f t="shared" si="170"/>
        <v>Wert 31. Dez.</v>
      </c>
      <c r="D826" s="714" t="str">
        <f>IF('[1]E-UV'!$I9="","",'[1]E-UV'!$I9)</f>
        <v/>
      </c>
      <c r="E826" s="715"/>
      <c r="F826" s="715"/>
      <c r="H826" s="783" t="str">
        <f>IF(UV!$I9="","",UV!$I9)</f>
        <v/>
      </c>
      <c r="I826" s="717" t="str">
        <f t="shared" si="169"/>
        <v/>
      </c>
      <c r="J826" s="718" t="str">
        <f t="shared" si="171"/>
        <v>-</v>
      </c>
      <c r="K826" s="711" t="str">
        <f t="shared" si="172"/>
        <v/>
      </c>
      <c r="L826" s="712" t="str">
        <f t="shared" si="168"/>
        <v/>
      </c>
      <c r="N826" s="719"/>
      <c r="P826" s="714" t="str">
        <f t="shared" si="156"/>
        <v/>
      </c>
      <c r="Q826" s="715"/>
      <c r="R826" s="715" t="str">
        <f t="shared" si="156"/>
        <v/>
      </c>
      <c r="T826" s="783" t="str">
        <f t="shared" si="156"/>
        <v/>
      </c>
    </row>
    <row r="827" spans="1:20" ht="12.75" hidden="1" customHeight="1" x14ac:dyDescent="0.2">
      <c r="A827" s="707"/>
      <c r="B827" s="2" t="str">
        <f>IF(UV!B10="","-",UV!B10)</f>
        <v>-</v>
      </c>
      <c r="C827" s="780" t="str">
        <f t="shared" si="170"/>
        <v>Wert 31. Dez.</v>
      </c>
      <c r="D827" s="714" t="str">
        <f>IF('[1]E-UV'!$I10="","",'[1]E-UV'!$I10)</f>
        <v/>
      </c>
      <c r="E827" s="715"/>
      <c r="F827" s="715"/>
      <c r="H827" s="783" t="str">
        <f>IF(UV!$I10="","",UV!$I10)</f>
        <v/>
      </c>
      <c r="I827" s="717" t="str">
        <f t="shared" si="169"/>
        <v/>
      </c>
      <c r="J827" s="718" t="str">
        <f t="shared" si="171"/>
        <v>-</v>
      </c>
      <c r="K827" s="711" t="str">
        <f t="shared" si="172"/>
        <v/>
      </c>
      <c r="L827" s="712" t="str">
        <f t="shared" si="168"/>
        <v/>
      </c>
      <c r="N827" s="719"/>
      <c r="P827" s="714" t="str">
        <f t="shared" si="156"/>
        <v/>
      </c>
      <c r="Q827" s="715"/>
      <c r="R827" s="715" t="str">
        <f t="shared" si="156"/>
        <v/>
      </c>
      <c r="T827" s="783" t="str">
        <f t="shared" si="156"/>
        <v/>
      </c>
    </row>
    <row r="828" spans="1:20" ht="12.75" hidden="1" customHeight="1" x14ac:dyDescent="0.2">
      <c r="A828" s="707"/>
      <c r="B828" s="2" t="str">
        <f>IF(UV!B11="","-",UV!B11)</f>
        <v>-</v>
      </c>
      <c r="C828" s="780" t="str">
        <f t="shared" si="170"/>
        <v>Wert 31. Dez.</v>
      </c>
      <c r="D828" s="714" t="str">
        <f>IF('[1]E-UV'!$I11="","",'[1]E-UV'!$I11)</f>
        <v/>
      </c>
      <c r="E828" s="715"/>
      <c r="F828" s="715"/>
      <c r="H828" s="783" t="str">
        <f>IF(UV!$I11="","",UV!$I11)</f>
        <v/>
      </c>
      <c r="I828" s="717" t="str">
        <f t="shared" si="169"/>
        <v/>
      </c>
      <c r="J828" s="718" t="str">
        <f t="shared" si="171"/>
        <v>-</v>
      </c>
      <c r="K828" s="711" t="str">
        <f t="shared" si="172"/>
        <v/>
      </c>
      <c r="L828" s="712" t="str">
        <f t="shared" si="168"/>
        <v/>
      </c>
      <c r="N828" s="719"/>
      <c r="P828" s="714" t="str">
        <f t="shared" si="156"/>
        <v/>
      </c>
      <c r="Q828" s="715"/>
      <c r="R828" s="715" t="str">
        <f t="shared" si="156"/>
        <v/>
      </c>
      <c r="T828" s="783" t="str">
        <f t="shared" si="156"/>
        <v/>
      </c>
    </row>
    <row r="829" spans="1:20" ht="12.75" hidden="1" customHeight="1" x14ac:dyDescent="0.2">
      <c r="A829" s="707"/>
      <c r="B829" s="2" t="str">
        <f>IF(UV!B12="","-",UV!B12)</f>
        <v>-</v>
      </c>
      <c r="C829" s="780" t="str">
        <f t="shared" si="170"/>
        <v>Wert 31. Dez.</v>
      </c>
      <c r="D829" s="714" t="str">
        <f>IF('[1]E-UV'!$I12="","",'[1]E-UV'!$I12)</f>
        <v/>
      </c>
      <c r="E829" s="715"/>
      <c r="F829" s="715"/>
      <c r="H829" s="783" t="str">
        <f>IF(UV!$I12="","",UV!$I12)</f>
        <v/>
      </c>
      <c r="I829" s="717" t="str">
        <f t="shared" si="169"/>
        <v/>
      </c>
      <c r="J829" s="718" t="str">
        <f t="shared" si="171"/>
        <v>-</v>
      </c>
      <c r="K829" s="711" t="str">
        <f t="shared" si="172"/>
        <v/>
      </c>
      <c r="L829" s="712" t="str">
        <f t="shared" si="168"/>
        <v/>
      </c>
      <c r="N829" s="719"/>
      <c r="P829" s="714" t="str">
        <f t="shared" si="156"/>
        <v/>
      </c>
      <c r="Q829" s="715"/>
      <c r="R829" s="715" t="str">
        <f t="shared" si="156"/>
        <v/>
      </c>
      <c r="T829" s="783" t="str">
        <f t="shared" si="156"/>
        <v/>
      </c>
    </row>
    <row r="830" spans="1:20" ht="12.75" x14ac:dyDescent="0.2">
      <c r="A830" s="707"/>
      <c r="B830" s="779" t="str">
        <f>IF(UV!B13="","-",UV!B13)</f>
        <v>Summe RINDER</v>
      </c>
      <c r="C830" s="780" t="str">
        <f t="shared" si="170"/>
        <v>Wert 31. Dez.</v>
      </c>
      <c r="D830" s="720">
        <f>IF('[1]E-UV'!$I13="","",'[1]E-UV'!$I13)</f>
        <v>8455</v>
      </c>
      <c r="E830" s="715"/>
      <c r="F830" s="721">
        <f>IF(AND(H823="",H824="",H825="",H826="",H827="",H828="",H829=""),"-",SUM(H823:H829))</f>
        <v>8455</v>
      </c>
      <c r="H830" s="784">
        <f>IF(UV!$I13="","",UV!$I13)</f>
        <v>8455</v>
      </c>
      <c r="I830" s="717" t="str">
        <f>IF(B830="","",IF(T830=P830,"Richtig!",IF(AND(P830&lt;&gt;T830,R830=T830),"Formel: OK",IF(T830="","Fehlt","Falsch"))))</f>
        <v>Richtig!</v>
      </c>
      <c r="J830" s="718">
        <f t="shared" si="171"/>
        <v>1</v>
      </c>
      <c r="K830" s="711" t="str">
        <f t="shared" si="172"/>
        <v>│</v>
      </c>
      <c r="L830" s="712">
        <f t="shared" si="168"/>
        <v>1</v>
      </c>
      <c r="N830" s="719" t="str">
        <f>IF($L$1="","",$L$1)</f>
        <v>x</v>
      </c>
      <c r="P830" s="720">
        <f t="shared" si="156"/>
        <v>8455</v>
      </c>
      <c r="Q830" s="715"/>
      <c r="R830" s="721">
        <f t="shared" si="156"/>
        <v>8455</v>
      </c>
      <c r="T830" s="784">
        <f t="shared" si="156"/>
        <v>8455</v>
      </c>
    </row>
    <row r="831" spans="1:20" ht="12.75" x14ac:dyDescent="0.2">
      <c r="B831" s="782" t="str">
        <f>IF(UV!B21="","-",UV!B21)</f>
        <v>SCHWEINE</v>
      </c>
      <c r="C831" s="780"/>
      <c r="D831" s="708" t="str">
        <f>IF('[1]E-UV'!$I21="","",'[1]E-UV'!$I21)</f>
        <v/>
      </c>
      <c r="H831" s="691" t="str">
        <f>IF(UV!$I21="","",UV!$I21)</f>
        <v/>
      </c>
      <c r="I831" s="717" t="str">
        <f t="shared" ref="I831:I836" si="173">IF(OR(B831="-",AND(P831="",T831="")),"",IF(T831=P831,"Richtig!",IF(T831="","Fehlt","Falsch")))</f>
        <v/>
      </c>
      <c r="J831" s="717"/>
      <c r="K831" s="711" t="str">
        <f t="shared" si="172"/>
        <v/>
      </c>
      <c r="L831" s="712" t="str">
        <f t="shared" si="168"/>
        <v/>
      </c>
      <c r="N831" s="695" t="str">
        <f>IF($L$1="","",$L$1)</f>
        <v>x</v>
      </c>
      <c r="P831" s="708" t="str">
        <f t="shared" si="156"/>
        <v/>
      </c>
      <c r="R831" s="1" t="str">
        <f t="shared" si="156"/>
        <v/>
      </c>
      <c r="T831" s="691" t="str">
        <f t="shared" si="156"/>
        <v/>
      </c>
    </row>
    <row r="832" spans="1:20" ht="12.75" hidden="1" customHeight="1" x14ac:dyDescent="0.2">
      <c r="A832" s="707"/>
      <c r="B832" s="2" t="str">
        <f>IF(UV!B22="","-",UV!B22)</f>
        <v>-</v>
      </c>
      <c r="C832" s="780" t="str">
        <f t="shared" ref="C832:C837" si="174">MID($B$821,1,12)&amp;"."</f>
        <v>Wert 31. Dez.</v>
      </c>
      <c r="D832" s="714" t="str">
        <f>IF('[1]E-UV'!$I22="","",'[1]E-UV'!$I22)</f>
        <v/>
      </c>
      <c r="E832" s="715"/>
      <c r="F832" s="715"/>
      <c r="H832" s="783" t="str">
        <f>IF(UV!$I22="","",UV!$I22)</f>
        <v/>
      </c>
      <c r="I832" s="717" t="str">
        <f t="shared" si="173"/>
        <v/>
      </c>
      <c r="J832" s="718" t="str">
        <f t="shared" ref="J832:J837" si="175">IF(OR(B832="-",N832="",AND(P832="",T832="")),"-",IF(I832="Richtig!",1,IF(I832="Formel: OK",0.5,IF(OR(I832="Falsch",I832="Fehlt"),0,""))))</f>
        <v>-</v>
      </c>
      <c r="K832" s="711" t="str">
        <f t="shared" si="172"/>
        <v/>
      </c>
      <c r="L832" s="712" t="str">
        <f t="shared" si="168"/>
        <v/>
      </c>
      <c r="N832" s="719"/>
      <c r="P832" s="714" t="str">
        <f t="shared" si="156"/>
        <v/>
      </c>
      <c r="Q832" s="715"/>
      <c r="R832" s="715" t="str">
        <f t="shared" si="156"/>
        <v/>
      </c>
      <c r="T832" s="783" t="str">
        <f t="shared" si="156"/>
        <v/>
      </c>
    </row>
    <row r="833" spans="1:20" ht="12.75" hidden="1" customHeight="1" x14ac:dyDescent="0.2">
      <c r="A833" s="707"/>
      <c r="B833" s="2" t="str">
        <f>IF(UV!B23="","-",UV!B23)</f>
        <v>-</v>
      </c>
      <c r="C833" s="780" t="str">
        <f t="shared" si="174"/>
        <v>Wert 31. Dez.</v>
      </c>
      <c r="D833" s="714" t="str">
        <f>IF('[1]E-UV'!$I23="","",'[1]E-UV'!$I23)</f>
        <v/>
      </c>
      <c r="E833" s="715"/>
      <c r="F833" s="715"/>
      <c r="H833" s="783" t="str">
        <f>IF(UV!$I23="","",UV!$I23)</f>
        <v/>
      </c>
      <c r="I833" s="717" t="str">
        <f t="shared" si="173"/>
        <v/>
      </c>
      <c r="J833" s="718" t="str">
        <f t="shared" si="175"/>
        <v>-</v>
      </c>
      <c r="K833" s="711" t="str">
        <f t="shared" si="172"/>
        <v/>
      </c>
      <c r="L833" s="712" t="str">
        <f t="shared" si="168"/>
        <v/>
      </c>
      <c r="N833" s="719"/>
      <c r="P833" s="714" t="str">
        <f t="shared" si="156"/>
        <v/>
      </c>
      <c r="Q833" s="715"/>
      <c r="R833" s="715" t="str">
        <f t="shared" si="156"/>
        <v/>
      </c>
      <c r="T833" s="783" t="str">
        <f t="shared" si="156"/>
        <v/>
      </c>
    </row>
    <row r="834" spans="1:20" ht="12.75" hidden="1" customHeight="1" x14ac:dyDescent="0.2">
      <c r="A834" s="707"/>
      <c r="B834" s="2" t="str">
        <f>IF(UV!B24="","-",UV!B24)</f>
        <v>-</v>
      </c>
      <c r="C834" s="780" t="str">
        <f t="shared" si="174"/>
        <v>Wert 31. Dez.</v>
      </c>
      <c r="D834" s="714" t="str">
        <f>IF('[1]E-UV'!$I24="","",'[1]E-UV'!$I24)</f>
        <v/>
      </c>
      <c r="E834" s="715"/>
      <c r="F834" s="715"/>
      <c r="H834" s="783" t="str">
        <f>IF(UV!$I24="","",UV!$I24)</f>
        <v/>
      </c>
      <c r="I834" s="717" t="str">
        <f t="shared" si="173"/>
        <v/>
      </c>
      <c r="J834" s="718" t="str">
        <f t="shared" si="175"/>
        <v>-</v>
      </c>
      <c r="K834" s="711" t="str">
        <f t="shared" si="172"/>
        <v/>
      </c>
      <c r="L834" s="712" t="str">
        <f t="shared" si="168"/>
        <v/>
      </c>
      <c r="N834" s="719"/>
      <c r="P834" s="714" t="str">
        <f t="shared" si="156"/>
        <v/>
      </c>
      <c r="Q834" s="715"/>
      <c r="R834" s="715" t="str">
        <f t="shared" si="156"/>
        <v/>
      </c>
      <c r="T834" s="783" t="str">
        <f t="shared" si="156"/>
        <v/>
      </c>
    </row>
    <row r="835" spans="1:20" ht="12.75" hidden="1" customHeight="1" x14ac:dyDescent="0.2">
      <c r="A835" s="707"/>
      <c r="B835" s="2" t="str">
        <f>IF(UV!B25="","-",UV!B25)</f>
        <v>-</v>
      </c>
      <c r="C835" s="780" t="str">
        <f t="shared" si="174"/>
        <v>Wert 31. Dez.</v>
      </c>
      <c r="D835" s="714" t="str">
        <f>IF('[1]E-UV'!$I25="","",'[1]E-UV'!$I25)</f>
        <v/>
      </c>
      <c r="E835" s="715"/>
      <c r="F835" s="715"/>
      <c r="H835" s="783" t="str">
        <f>IF(UV!$I25="","",UV!$I25)</f>
        <v/>
      </c>
      <c r="I835" s="717" t="str">
        <f t="shared" si="173"/>
        <v/>
      </c>
      <c r="J835" s="718" t="str">
        <f t="shared" si="175"/>
        <v>-</v>
      </c>
      <c r="K835" s="711" t="str">
        <f t="shared" si="172"/>
        <v/>
      </c>
      <c r="L835" s="712" t="str">
        <f t="shared" si="168"/>
        <v/>
      </c>
      <c r="N835" s="719"/>
      <c r="P835" s="714" t="str">
        <f t="shared" si="156"/>
        <v/>
      </c>
      <c r="Q835" s="715"/>
      <c r="R835" s="715" t="str">
        <f t="shared" si="156"/>
        <v/>
      </c>
      <c r="T835" s="783" t="str">
        <f t="shared" si="156"/>
        <v/>
      </c>
    </row>
    <row r="836" spans="1:20" ht="12.75" hidden="1" customHeight="1" x14ac:dyDescent="0.2">
      <c r="A836" s="707"/>
      <c r="B836" s="2" t="str">
        <f>IF(UV!B26="","-",UV!B26)</f>
        <v>-</v>
      </c>
      <c r="C836" s="780" t="str">
        <f t="shared" si="174"/>
        <v>Wert 31. Dez.</v>
      </c>
      <c r="D836" s="714" t="str">
        <f>IF('[1]E-UV'!$I26="","",'[1]E-UV'!$I26)</f>
        <v/>
      </c>
      <c r="E836" s="715"/>
      <c r="F836" s="715"/>
      <c r="H836" s="783" t="str">
        <f>IF(UV!$I26="","",UV!$I26)</f>
        <v/>
      </c>
      <c r="I836" s="717" t="str">
        <f t="shared" si="173"/>
        <v/>
      </c>
      <c r="J836" s="718" t="str">
        <f t="shared" si="175"/>
        <v>-</v>
      </c>
      <c r="K836" s="711" t="str">
        <f t="shared" si="172"/>
        <v/>
      </c>
      <c r="L836" s="712" t="str">
        <f t="shared" si="168"/>
        <v/>
      </c>
      <c r="N836" s="719"/>
      <c r="P836" s="714" t="str">
        <f t="shared" si="156"/>
        <v/>
      </c>
      <c r="Q836" s="715"/>
      <c r="R836" s="715" t="str">
        <f t="shared" si="156"/>
        <v/>
      </c>
      <c r="T836" s="783" t="str">
        <f t="shared" si="156"/>
        <v/>
      </c>
    </row>
    <row r="837" spans="1:20" ht="12.75" hidden="1" customHeight="1" x14ac:dyDescent="0.2">
      <c r="A837" s="707"/>
      <c r="B837" s="779" t="str">
        <f>IF(UV!B27="","-",UV!B27)</f>
        <v>Summe SCHWEINE</v>
      </c>
      <c r="C837" s="780" t="str">
        <f t="shared" si="174"/>
        <v>Wert 31. Dez.</v>
      </c>
      <c r="D837" s="720" t="str">
        <f>IF('[1]E-UV'!$I27="","",'[1]E-UV'!$I27)</f>
        <v/>
      </c>
      <c r="E837" s="715"/>
      <c r="F837" s="721" t="str">
        <f>IF(AND(H832="",H833="",H834="",H835="",H836=""),"-",SUM(H832:H836))</f>
        <v>-</v>
      </c>
      <c r="H837" s="784" t="str">
        <f>IF(UV!$I27="","",UV!$I27)</f>
        <v/>
      </c>
      <c r="I837" s="717" t="str">
        <f>IF(B837="","",IF(T837=P837,"Richtig!",IF(AND(P837&lt;&gt;T837,R837=T837),"Formel: OK",IF(T837="","Fehlt","Falsch"))))</f>
        <v>Richtig!</v>
      </c>
      <c r="J837" s="718" t="str">
        <f t="shared" si="175"/>
        <v>-</v>
      </c>
      <c r="K837" s="711" t="str">
        <f t="shared" si="172"/>
        <v/>
      </c>
      <c r="L837" s="712" t="str">
        <f t="shared" si="168"/>
        <v/>
      </c>
      <c r="N837" s="719"/>
      <c r="P837" s="720" t="str">
        <f t="shared" si="156"/>
        <v/>
      </c>
      <c r="Q837" s="715"/>
      <c r="R837" s="721" t="str">
        <f t="shared" si="156"/>
        <v>-</v>
      </c>
      <c r="T837" s="784" t="str">
        <f t="shared" si="156"/>
        <v/>
      </c>
    </row>
    <row r="838" spans="1:20" ht="12.75" x14ac:dyDescent="0.2">
      <c r="B838" s="782" t="str">
        <f>IF(UV!B30="","-",UV!B30)</f>
        <v>Selbst erzeugte Vorräte</v>
      </c>
      <c r="C838" s="780"/>
      <c r="D838" s="708" t="str">
        <f>IF('[1]E-UV'!$I30="","",'[1]E-UV'!$I30)</f>
        <v/>
      </c>
      <c r="H838" s="691" t="str">
        <f>IF(UV!$I30="","",UV!$I30)</f>
        <v/>
      </c>
      <c r="I838" s="717"/>
      <c r="J838" s="717"/>
      <c r="K838" s="711" t="str">
        <f t="shared" si="172"/>
        <v/>
      </c>
      <c r="L838" s="712" t="str">
        <f t="shared" si="168"/>
        <v/>
      </c>
      <c r="N838" s="695" t="str">
        <f>IF($L$1="","",$L$1)</f>
        <v>x</v>
      </c>
      <c r="P838" s="708" t="str">
        <f t="shared" si="156"/>
        <v/>
      </c>
      <c r="R838" s="1" t="str">
        <f t="shared" si="156"/>
        <v/>
      </c>
      <c r="T838" s="691" t="str">
        <f t="shared" si="156"/>
        <v/>
      </c>
    </row>
    <row r="839" spans="1:20" ht="12.75" hidden="1" customHeight="1" x14ac:dyDescent="0.2">
      <c r="B839" s="2" t="str">
        <f>IF(UV!B31="","-",UV!B31)</f>
        <v>Gerste</v>
      </c>
      <c r="C839" s="780" t="str">
        <f t="shared" ref="C839:C844" si="176">MID($B$821,1,12)&amp;"."</f>
        <v>Wert 31. Dez.</v>
      </c>
      <c r="D839" s="714">
        <f>IF('[1]E-UV'!$I31="","",'[1]E-UV'!$I31)</f>
        <v>13</v>
      </c>
      <c r="E839" s="715"/>
      <c r="F839" s="715"/>
      <c r="H839" s="783">
        <f>IF(UV!$I31="","",UV!$I31)</f>
        <v>13</v>
      </c>
      <c r="I839" s="717" t="str">
        <f>IF(OR(B839="-",AND(P839="",T839="")),"",IF(T839=P839,"Richtig!",IF(T839="","Fehlt","Falsch")))</f>
        <v>Richtig!</v>
      </c>
      <c r="J839" s="718" t="str">
        <f t="shared" ref="J839:J844" si="177">IF(OR(B839="-",N839="",AND(P839="",T839="")),"-",IF(I839="Richtig!",1,IF(I839="Formel: OK",0.5,IF(OR(I839="Falsch",I839="Fehlt"),0,""))))</f>
        <v>-</v>
      </c>
      <c r="K839" s="711" t="str">
        <f t="shared" si="172"/>
        <v/>
      </c>
      <c r="L839" s="712" t="str">
        <f t="shared" si="168"/>
        <v/>
      </c>
      <c r="N839" s="719"/>
      <c r="P839" s="714">
        <f t="shared" si="156"/>
        <v>13</v>
      </c>
      <c r="Q839" s="715"/>
      <c r="R839" s="715" t="str">
        <f t="shared" si="156"/>
        <v/>
      </c>
      <c r="T839" s="783">
        <f t="shared" si="156"/>
        <v>13</v>
      </c>
    </row>
    <row r="840" spans="1:20" ht="12.75" hidden="1" customHeight="1" x14ac:dyDescent="0.2">
      <c r="A840" s="707"/>
      <c r="B840" s="2" t="str">
        <f>IF(UV!B32="","-",UV!B32)</f>
        <v>Hafer</v>
      </c>
      <c r="C840" s="780" t="str">
        <f t="shared" si="176"/>
        <v>Wert 31. Dez.</v>
      </c>
      <c r="D840" s="714">
        <f>IF('[1]E-UV'!$I32="","",'[1]E-UV'!$I32)</f>
        <v>3.75</v>
      </c>
      <c r="E840" s="715"/>
      <c r="F840" s="715"/>
      <c r="H840" s="783">
        <f>IF(UV!$I32="","",UV!$I32)</f>
        <v>3.75</v>
      </c>
      <c r="I840" s="717" t="str">
        <f>IF(OR(B840="-",AND(P840="",T840="")),"",IF(T840=P840,"Richtig!",IF(T840="","Fehlt","Falsch")))</f>
        <v>Richtig!</v>
      </c>
      <c r="J840" s="718" t="str">
        <f t="shared" si="177"/>
        <v>-</v>
      </c>
      <c r="K840" s="711" t="str">
        <f t="shared" si="172"/>
        <v/>
      </c>
      <c r="L840" s="712" t="str">
        <f t="shared" si="168"/>
        <v/>
      </c>
      <c r="N840" s="719"/>
      <c r="P840" s="714">
        <f t="shared" si="156"/>
        <v>3.75</v>
      </c>
      <c r="Q840" s="715"/>
      <c r="R840" s="715" t="str">
        <f t="shared" si="156"/>
        <v/>
      </c>
      <c r="T840" s="783">
        <f t="shared" si="156"/>
        <v>3.75</v>
      </c>
    </row>
    <row r="841" spans="1:20" ht="12.75" x14ac:dyDescent="0.2">
      <c r="A841" s="707"/>
      <c r="B841" s="2" t="str">
        <f>IF(UV!B33="","-",UV!B33)</f>
        <v>Kartoffel</v>
      </c>
      <c r="C841" s="780" t="str">
        <f t="shared" si="176"/>
        <v>Wert 31. Dez.</v>
      </c>
      <c r="D841" s="714">
        <f>IF('[1]E-UV'!$I33="","",'[1]E-UV'!$I33)</f>
        <v>136.5</v>
      </c>
      <c r="E841" s="715"/>
      <c r="F841" s="715"/>
      <c r="H841" s="783">
        <f>IF(UV!$I33="","",UV!$I33)</f>
        <v>136.5</v>
      </c>
      <c r="I841" s="717" t="str">
        <f>IF(OR(B841="-",AND(P841="",T841="")),"",IF(T841=P841,"Richtig!",IF(T841="","Fehlt","Falsch")))</f>
        <v>Richtig!</v>
      </c>
      <c r="J841" s="718">
        <f t="shared" si="177"/>
        <v>1</v>
      </c>
      <c r="K841" s="711" t="str">
        <f t="shared" si="172"/>
        <v>│</v>
      </c>
      <c r="L841" s="712">
        <f t="shared" si="168"/>
        <v>1</v>
      </c>
      <c r="N841" s="719" t="str">
        <f>IF($L$1="","",$L$1)</f>
        <v>x</v>
      </c>
      <c r="P841" s="714">
        <f t="shared" si="156"/>
        <v>136.5</v>
      </c>
      <c r="Q841" s="715"/>
      <c r="R841" s="715" t="str">
        <f t="shared" si="156"/>
        <v/>
      </c>
      <c r="T841" s="783">
        <f t="shared" si="156"/>
        <v>136.5</v>
      </c>
    </row>
    <row r="842" spans="1:20" ht="12.75" hidden="1" customHeight="1" x14ac:dyDescent="0.2">
      <c r="A842" s="707"/>
      <c r="B842" s="2" t="str">
        <f>IF(UV!B34="","-",UV!B34)</f>
        <v>-</v>
      </c>
      <c r="C842" s="780" t="str">
        <f t="shared" si="176"/>
        <v>Wert 31. Dez.</v>
      </c>
      <c r="D842" s="714" t="str">
        <f>IF('[1]E-UV'!$I34="","",'[1]E-UV'!$I34)</f>
        <v/>
      </c>
      <c r="E842" s="715"/>
      <c r="F842" s="715"/>
      <c r="H842" s="783" t="str">
        <f>IF(UV!$I34="","",UV!$I34)</f>
        <v/>
      </c>
      <c r="I842" s="717" t="str">
        <f>IF(OR(B842="-",AND(P842="",T842="")),"",IF(T842=P842,"Richtig!",IF(T842="","Fehlt","Falsch")))</f>
        <v/>
      </c>
      <c r="J842" s="718" t="str">
        <f t="shared" si="177"/>
        <v>-</v>
      </c>
      <c r="K842" s="711" t="str">
        <f t="shared" si="172"/>
        <v/>
      </c>
      <c r="L842" s="712" t="str">
        <f t="shared" si="168"/>
        <v/>
      </c>
      <c r="N842" s="719"/>
      <c r="P842" s="714" t="str">
        <f t="shared" si="156"/>
        <v/>
      </c>
      <c r="Q842" s="715"/>
      <c r="R842" s="715" t="str">
        <f t="shared" si="156"/>
        <v/>
      </c>
      <c r="T842" s="783" t="str">
        <f t="shared" si="156"/>
        <v/>
      </c>
    </row>
    <row r="843" spans="1:20" ht="12.75" hidden="1" customHeight="1" x14ac:dyDescent="0.2">
      <c r="A843" s="707"/>
      <c r="B843" s="2" t="str">
        <f>IF(UV!B35="","-",UV!B35)</f>
        <v>-</v>
      </c>
      <c r="C843" s="780" t="str">
        <f t="shared" si="176"/>
        <v>Wert 31. Dez.</v>
      </c>
      <c r="D843" s="714" t="str">
        <f>IF('[1]E-UV'!$I35="","",'[1]E-UV'!$I35)</f>
        <v/>
      </c>
      <c r="E843" s="715"/>
      <c r="F843" s="715"/>
      <c r="H843" s="783" t="str">
        <f>IF(UV!$I35="","",UV!$I35)</f>
        <v/>
      </c>
      <c r="I843" s="717" t="str">
        <f>IF(OR(B843="-",AND(P843="",T843="")),"",IF(T843=P843,"Richtig!",IF(T843="","Fehlt","Falsch")))</f>
        <v/>
      </c>
      <c r="J843" s="718" t="str">
        <f t="shared" si="177"/>
        <v>-</v>
      </c>
      <c r="K843" s="711" t="str">
        <f t="shared" si="172"/>
        <v/>
      </c>
      <c r="L843" s="712" t="str">
        <f t="shared" si="168"/>
        <v/>
      </c>
      <c r="N843" s="719"/>
      <c r="P843" s="714" t="str">
        <f t="shared" ref="P843:T906" si="178">IF(ISTEXT(D843),D843,IF(D843="","",ROUND(D843,$R$1)))</f>
        <v/>
      </c>
      <c r="Q843" s="715"/>
      <c r="R843" s="715" t="str">
        <f t="shared" si="178"/>
        <v/>
      </c>
      <c r="T843" s="783" t="str">
        <f t="shared" si="178"/>
        <v/>
      </c>
    </row>
    <row r="844" spans="1:20" ht="12.75" x14ac:dyDescent="0.2">
      <c r="A844" s="707"/>
      <c r="B844" s="779" t="str">
        <f>IF(UV!B36="","-",UV!B36)</f>
        <v>Summe selbst erzeugte Vorräte</v>
      </c>
      <c r="C844" s="780" t="str">
        <f t="shared" si="176"/>
        <v>Wert 31. Dez.</v>
      </c>
      <c r="D844" s="720">
        <f>IF('[1]E-UV'!$I36="","",'[1]E-UV'!$I36)</f>
        <v>153.25</v>
      </c>
      <c r="E844" s="715"/>
      <c r="F844" s="721">
        <f>IF(AND(H839="",H840="",H841="",H842="",H843=""),"-",SUM(H839:H843))</f>
        <v>153.25</v>
      </c>
      <c r="H844" s="784">
        <f>IF(UV!$I36="","",UV!$I36)</f>
        <v>153.25</v>
      </c>
      <c r="I844" s="717" t="str">
        <f>IF(B844="","",IF(T844=P844,"Richtig!",IF(AND(P844&lt;&gt;T844,R844=T844),"Formel: OK",IF(T844="","Fehlt","Falsch"))))</f>
        <v>Richtig!</v>
      </c>
      <c r="J844" s="718">
        <f t="shared" si="177"/>
        <v>1</v>
      </c>
      <c r="K844" s="711" t="str">
        <f t="shared" si="172"/>
        <v>│</v>
      </c>
      <c r="L844" s="712">
        <f t="shared" si="168"/>
        <v>1</v>
      </c>
      <c r="N844" s="719" t="str">
        <f>IF($L$1="","",$L$1)</f>
        <v>x</v>
      </c>
      <c r="P844" s="720">
        <f t="shared" si="178"/>
        <v>153.25</v>
      </c>
      <c r="Q844" s="715"/>
      <c r="R844" s="721">
        <f t="shared" si="178"/>
        <v>153.25</v>
      </c>
      <c r="T844" s="784">
        <f t="shared" si="178"/>
        <v>153.25</v>
      </c>
    </row>
    <row r="845" spans="1:20" ht="12.75" hidden="1" customHeight="1" x14ac:dyDescent="0.2">
      <c r="A845" s="707"/>
      <c r="B845" s="782" t="str">
        <f>IF(UV!B44="","-",UV!B44)</f>
        <v>Zugekaufte Vorräte</v>
      </c>
      <c r="C845" s="780"/>
      <c r="D845" s="708" t="str">
        <f>IF('[1]E-UV'!$I44="","",'[1]E-UV'!$I44)</f>
        <v/>
      </c>
      <c r="H845" s="691" t="str">
        <f>IF(UV!$I44="","",UV!$I44)</f>
        <v/>
      </c>
      <c r="I845" s="717"/>
      <c r="J845" s="717"/>
      <c r="K845" s="711" t="str">
        <f t="shared" si="172"/>
        <v/>
      </c>
      <c r="L845" s="712" t="str">
        <f t="shared" si="168"/>
        <v/>
      </c>
      <c r="N845" s="695"/>
      <c r="P845" s="708" t="str">
        <f t="shared" si="178"/>
        <v/>
      </c>
      <c r="R845" s="1" t="str">
        <f t="shared" si="178"/>
        <v/>
      </c>
      <c r="T845" s="691" t="str">
        <f t="shared" si="178"/>
        <v/>
      </c>
    </row>
    <row r="846" spans="1:20" ht="12.75" hidden="1" customHeight="1" x14ac:dyDescent="0.2">
      <c r="A846" s="707"/>
      <c r="B846" s="2" t="str">
        <f>IF(UV!B45="","-",UV!B45)</f>
        <v>Milchkraftfutter</v>
      </c>
      <c r="C846" s="780" t="str">
        <f t="shared" ref="C846:C851" si="179">MID($B$821,1,12)&amp;"."</f>
        <v>Wert 31. Dez.</v>
      </c>
      <c r="D846" s="714">
        <f>IF('[1]E-UV'!$I45="","",'[1]E-UV'!$I45)</f>
        <v>144</v>
      </c>
      <c r="E846" s="715"/>
      <c r="F846" s="715"/>
      <c r="H846" s="783">
        <f>IF(UV!$I45="","",UV!$I45)</f>
        <v>144</v>
      </c>
      <c r="I846" s="717" t="str">
        <f>IF(OR(B846="-",AND(P846="",T846="")),"",IF(T846=P846,"Richtig!",IF(T846="","Fehlt","Falsch")))</f>
        <v>Richtig!</v>
      </c>
      <c r="J846" s="718" t="str">
        <f t="shared" ref="J846:J851" si="180">IF(OR(B846="-",N846="",AND(P846="",T846="")),"-",IF(I846="Richtig!",1,IF(I846="Formel: OK",0.5,IF(OR(I846="Falsch",I846="Fehlt"),0,""))))</f>
        <v>-</v>
      </c>
      <c r="K846" s="711" t="str">
        <f t="shared" si="172"/>
        <v/>
      </c>
      <c r="L846" s="712" t="str">
        <f t="shared" si="168"/>
        <v/>
      </c>
      <c r="N846" s="719"/>
      <c r="P846" s="714">
        <f t="shared" si="178"/>
        <v>144</v>
      </c>
      <c r="Q846" s="715"/>
      <c r="R846" s="715" t="str">
        <f t="shared" si="178"/>
        <v/>
      </c>
      <c r="T846" s="783">
        <f t="shared" si="178"/>
        <v>144</v>
      </c>
    </row>
    <row r="847" spans="1:20" ht="12.75" hidden="1" customHeight="1" x14ac:dyDescent="0.2">
      <c r="A847" s="707"/>
      <c r="B847" s="2" t="str">
        <f>IF(UV!B46="","-",UV!B46)</f>
        <v>Weizenschrot</v>
      </c>
      <c r="C847" s="780" t="str">
        <f t="shared" si="179"/>
        <v>Wert 31. Dez.</v>
      </c>
      <c r="D847" s="714">
        <f>IF('[1]E-UV'!$I46="","",'[1]E-UV'!$I46)</f>
        <v>69</v>
      </c>
      <c r="E847" s="715"/>
      <c r="F847" s="715"/>
      <c r="H847" s="783">
        <f>IF(UV!$I46="","",UV!$I46)</f>
        <v>69</v>
      </c>
      <c r="I847" s="717" t="str">
        <f>IF(OR(B847="-",AND(P847="",T847="")),"",IF(T847=P847,"Richtig!",IF(T847="","Fehlt","Falsch")))</f>
        <v>Richtig!</v>
      </c>
      <c r="J847" s="718" t="str">
        <f t="shared" si="180"/>
        <v>-</v>
      </c>
      <c r="K847" s="711" t="str">
        <f t="shared" si="172"/>
        <v/>
      </c>
      <c r="L847" s="712" t="str">
        <f t="shared" si="168"/>
        <v/>
      </c>
      <c r="N847" s="719"/>
      <c r="P847" s="714">
        <f t="shared" si="178"/>
        <v>69</v>
      </c>
      <c r="Q847" s="715"/>
      <c r="R847" s="715" t="str">
        <f t="shared" si="178"/>
        <v/>
      </c>
      <c r="T847" s="783">
        <f t="shared" si="178"/>
        <v>69</v>
      </c>
    </row>
    <row r="848" spans="1:20" ht="12.75" hidden="1" customHeight="1" x14ac:dyDescent="0.2">
      <c r="A848" s="707"/>
      <c r="B848" s="2" t="str">
        <f>IF(UV!B47="","-",UV!B47)</f>
        <v>Erbsenschrot</v>
      </c>
      <c r="C848" s="780" t="str">
        <f t="shared" si="179"/>
        <v>Wert 31. Dez.</v>
      </c>
      <c r="D848" s="714">
        <f>IF('[1]E-UV'!$I47="","",'[1]E-UV'!$I47)</f>
        <v>20</v>
      </c>
      <c r="E848" s="715"/>
      <c r="F848" s="715"/>
      <c r="H848" s="783">
        <f>IF(UV!$I47="","",UV!$I47)</f>
        <v>20</v>
      </c>
      <c r="I848" s="717" t="str">
        <f>IF(OR(B848="-",AND(P848="",T848="")),"",IF(T848=P848,"Richtig!",IF(T848="","Fehlt","Falsch")))</f>
        <v>Richtig!</v>
      </c>
      <c r="J848" s="718" t="str">
        <f t="shared" si="180"/>
        <v>-</v>
      </c>
      <c r="K848" s="711" t="str">
        <f t="shared" si="172"/>
        <v/>
      </c>
      <c r="L848" s="712" t="str">
        <f t="shared" si="168"/>
        <v/>
      </c>
      <c r="N848" s="719"/>
      <c r="P848" s="714">
        <f t="shared" si="178"/>
        <v>20</v>
      </c>
      <c r="Q848" s="715"/>
      <c r="R848" s="715" t="str">
        <f t="shared" si="178"/>
        <v/>
      </c>
      <c r="T848" s="783">
        <f t="shared" si="178"/>
        <v>20</v>
      </c>
    </row>
    <row r="849" spans="1:20" ht="12.75" hidden="1" customHeight="1" x14ac:dyDescent="0.2">
      <c r="A849" s="707"/>
      <c r="B849" s="2" t="str">
        <f>IF(UV!B48="","-",UV!B48)</f>
        <v>-</v>
      </c>
      <c r="C849" s="780" t="str">
        <f t="shared" si="179"/>
        <v>Wert 31. Dez.</v>
      </c>
      <c r="D849" s="714" t="str">
        <f>IF('[1]E-UV'!$I48="","",'[1]E-UV'!$I48)</f>
        <v/>
      </c>
      <c r="E849" s="715"/>
      <c r="F849" s="715"/>
      <c r="H849" s="783" t="str">
        <f>IF(UV!$I48="","",UV!$I48)</f>
        <v/>
      </c>
      <c r="I849" s="717" t="str">
        <f>IF(OR(B849="-",AND(P849="",T849="")),"",IF(T849=P849,"Richtig!",IF(T849="","Fehlt","Falsch")))</f>
        <v/>
      </c>
      <c r="J849" s="718" t="str">
        <f t="shared" si="180"/>
        <v>-</v>
      </c>
      <c r="K849" s="711" t="str">
        <f t="shared" si="172"/>
        <v/>
      </c>
      <c r="L849" s="712" t="str">
        <f t="shared" si="168"/>
        <v/>
      </c>
      <c r="N849" s="719"/>
      <c r="P849" s="714" t="str">
        <f t="shared" si="178"/>
        <v/>
      </c>
      <c r="Q849" s="715"/>
      <c r="R849" s="715" t="str">
        <f t="shared" si="178"/>
        <v/>
      </c>
      <c r="T849" s="783" t="str">
        <f t="shared" si="178"/>
        <v/>
      </c>
    </row>
    <row r="850" spans="1:20" ht="12.75" hidden="1" customHeight="1" x14ac:dyDescent="0.2">
      <c r="A850" s="707"/>
      <c r="B850" s="2" t="str">
        <f>IF(UV!B49="","-",UV!B49)</f>
        <v>-</v>
      </c>
      <c r="C850" s="780" t="str">
        <f t="shared" si="179"/>
        <v>Wert 31. Dez.</v>
      </c>
      <c r="D850" s="714" t="str">
        <f>IF('[1]E-UV'!$I49="","",'[1]E-UV'!$I49)</f>
        <v/>
      </c>
      <c r="E850" s="715"/>
      <c r="F850" s="715"/>
      <c r="H850" s="783" t="str">
        <f>IF(UV!$I49="","",UV!$I49)</f>
        <v/>
      </c>
      <c r="I850" s="717" t="str">
        <f>IF(OR(B850="-",AND(P850="",T850="")),"",IF(T850=P850,"Richtig!",IF(T850="","Fehlt","Falsch")))</f>
        <v/>
      </c>
      <c r="J850" s="718" t="str">
        <f t="shared" si="180"/>
        <v>-</v>
      </c>
      <c r="K850" s="711" t="str">
        <f t="shared" si="172"/>
        <v/>
      </c>
      <c r="L850" s="712" t="str">
        <f t="shared" si="168"/>
        <v/>
      </c>
      <c r="N850" s="719"/>
      <c r="P850" s="714" t="str">
        <f t="shared" si="178"/>
        <v/>
      </c>
      <c r="Q850" s="715"/>
      <c r="R850" s="715" t="str">
        <f t="shared" si="178"/>
        <v/>
      </c>
      <c r="T850" s="783" t="str">
        <f t="shared" si="178"/>
        <v/>
      </c>
    </row>
    <row r="851" spans="1:20" ht="12.75" hidden="1" customHeight="1" x14ac:dyDescent="0.2">
      <c r="A851" s="707"/>
      <c r="B851" s="779" t="str">
        <f>IF(UV!B50="","-",UV!B50)</f>
        <v>Summe zugekaufte Vorräte</v>
      </c>
      <c r="C851" s="780" t="str">
        <f t="shared" si="179"/>
        <v>Wert 31. Dez.</v>
      </c>
      <c r="D851" s="720">
        <f>IF('[1]E-UV'!$I50="","",'[1]E-UV'!$I50)</f>
        <v>233</v>
      </c>
      <c r="E851" s="715"/>
      <c r="F851" s="721">
        <f>IF(AND(H846="",H847="",H848="",H849="",H850=""),"-",SUM(H846:H850))</f>
        <v>233</v>
      </c>
      <c r="H851" s="784">
        <f>IF(UV!$I50="","",UV!$I50)</f>
        <v>233</v>
      </c>
      <c r="I851" s="717" t="str">
        <f>IF(B851="","",IF(T851=P851,"Richtig!",IF(AND(P851&lt;&gt;T851,R851=T851),"Formel: OK",IF(T851="","Fehlt","Falsch"))))</f>
        <v>Richtig!</v>
      </c>
      <c r="J851" s="718" t="str">
        <f t="shared" si="180"/>
        <v>-</v>
      </c>
      <c r="K851" s="711" t="str">
        <f t="shared" si="172"/>
        <v/>
      </c>
      <c r="L851" s="712" t="str">
        <f t="shared" si="168"/>
        <v/>
      </c>
      <c r="N851" s="719"/>
      <c r="P851" s="720">
        <f t="shared" si="178"/>
        <v>233</v>
      </c>
      <c r="Q851" s="715"/>
      <c r="R851" s="721">
        <f t="shared" si="178"/>
        <v>233</v>
      </c>
      <c r="T851" s="784">
        <f t="shared" si="178"/>
        <v>233</v>
      </c>
    </row>
    <row r="852" spans="1:20" ht="12.75" x14ac:dyDescent="0.2">
      <c r="A852" s="707"/>
      <c r="B852" s="2"/>
      <c r="C852" s="780"/>
      <c r="D852" s="708"/>
      <c r="H852" s="691"/>
      <c r="I852" s="717"/>
      <c r="J852" s="717"/>
      <c r="K852" s="711"/>
      <c r="L852" s="712" t="str">
        <f t="shared" si="168"/>
        <v/>
      </c>
      <c r="N852" s="725" t="str">
        <f>IF($L$1="","",$L$1)</f>
        <v>x</v>
      </c>
      <c r="P852" s="708" t="str">
        <f t="shared" si="178"/>
        <v/>
      </c>
      <c r="R852" s="1" t="str">
        <f t="shared" si="178"/>
        <v/>
      </c>
      <c r="T852" s="691" t="str">
        <f t="shared" si="178"/>
        <v/>
      </c>
    </row>
    <row r="853" spans="1:20" ht="12.75" x14ac:dyDescent="0.2">
      <c r="A853" s="706" t="s">
        <v>370</v>
      </c>
      <c r="B853" s="706" t="s">
        <v>439</v>
      </c>
      <c r="C853" s="707"/>
      <c r="D853" s="708"/>
      <c r="H853" s="691"/>
      <c r="I853" s="710"/>
      <c r="J853" s="710"/>
      <c r="K853" s="711" t="str">
        <f t="shared" si="172"/>
        <v/>
      </c>
      <c r="L853" s="712" t="str">
        <f t="shared" ref="L853:L886" si="181">IF(OR(B853="-",N853="",AND(P853="",T853="")),"",1)</f>
        <v/>
      </c>
      <c r="N853" s="695" t="str">
        <f>IF($L$1="","",$L$1)</f>
        <v>x</v>
      </c>
      <c r="P853" s="708" t="str">
        <f t="shared" si="178"/>
        <v/>
      </c>
      <c r="R853" s="1" t="str">
        <f t="shared" si="178"/>
        <v/>
      </c>
      <c r="T853" s="691" t="str">
        <f t="shared" si="178"/>
        <v/>
      </c>
    </row>
    <row r="854" spans="1:20" ht="12.75" x14ac:dyDescent="0.2">
      <c r="B854" s="782" t="str">
        <f>IF(UV!B5="","-",UV!B5)</f>
        <v>RINDER</v>
      </c>
      <c r="C854" s="731"/>
      <c r="D854" s="708" t="str">
        <f>IF('[1]E-2NGeb'!Q252="","",'[1]E-2NGeb'!Q252)</f>
        <v/>
      </c>
      <c r="H854" s="691" t="str">
        <f>IF('2NGeb'!Q252="","",'2NGeb'!Q252)</f>
        <v/>
      </c>
      <c r="I854" s="717"/>
      <c r="J854" s="717"/>
      <c r="K854" s="711" t="str">
        <f t="shared" si="172"/>
        <v/>
      </c>
      <c r="L854" s="712" t="str">
        <f t="shared" si="181"/>
        <v/>
      </c>
      <c r="N854" s="695" t="str">
        <f>IF($L$1="","",$L$1)</f>
        <v>x</v>
      </c>
      <c r="P854" s="708" t="str">
        <f t="shared" si="178"/>
        <v/>
      </c>
      <c r="R854" s="1" t="str">
        <f t="shared" si="178"/>
        <v/>
      </c>
      <c r="T854" s="691" t="str">
        <f t="shared" si="178"/>
        <v/>
      </c>
    </row>
    <row r="855" spans="1:20" ht="12.75" hidden="1" customHeight="1" x14ac:dyDescent="0.2">
      <c r="A855" s="707"/>
      <c r="B855" s="2" t="str">
        <f>IF(UV!B6="","-",UV!B6)</f>
        <v>Milchkühe</v>
      </c>
      <c r="C855" s="780" t="str">
        <f t="shared" ref="C855:C862" si="182">MID($B$853,1,5)&amp;"./"&amp;MID($B$853,10,7)&amp;"."</f>
        <v>Mehrw./Minderw.</v>
      </c>
      <c r="D855" s="720">
        <f>IF('[1]E-UV'!$J6="","",'[1]E-UV'!$J6)</f>
        <v>0</v>
      </c>
      <c r="E855" s="715"/>
      <c r="F855" s="721">
        <f t="shared" ref="F855:F861" si="183">IF(AND(H823="",H791=""),"-",H823-H791)</f>
        <v>0</v>
      </c>
      <c r="H855" s="784">
        <f>IF(UV!$J6="","",UV!$J6)</f>
        <v>0</v>
      </c>
      <c r="I855" s="717" t="str">
        <f t="shared" ref="I855:I862" si="184">IF(B855="","",IF(T855=P855,"Richtig!",IF(AND(P855&lt;&gt;T855,R855=T855),"Formel: OK",IF(T855="","Fehlt","Falsch"))))</f>
        <v>Richtig!</v>
      </c>
      <c r="J855" s="718" t="str">
        <f t="shared" ref="J855:J862" si="185">IF(OR(B855="-",N855="",AND(P855="",T855="")),"-",IF(I855="Richtig!",1,IF(I855="Formel: OK",0.5,IF(OR(I855="Falsch",I855="Fehlt"),0,""))))</f>
        <v>-</v>
      </c>
      <c r="K855" s="711" t="str">
        <f t="shared" si="172"/>
        <v/>
      </c>
      <c r="L855" s="712" t="str">
        <f t="shared" si="181"/>
        <v/>
      </c>
      <c r="N855" s="719"/>
      <c r="P855" s="720">
        <f t="shared" si="178"/>
        <v>0</v>
      </c>
      <c r="Q855" s="715"/>
      <c r="R855" s="721">
        <f t="shared" si="178"/>
        <v>0</v>
      </c>
      <c r="T855" s="784">
        <f t="shared" si="178"/>
        <v>0</v>
      </c>
    </row>
    <row r="856" spans="1:20" ht="12.75" x14ac:dyDescent="0.2">
      <c r="A856" s="707"/>
      <c r="B856" s="2" t="str">
        <f>IF(UV!B7="","-",UV!B7)</f>
        <v>Kalbinnen</v>
      </c>
      <c r="C856" s="780" t="str">
        <f t="shared" si="182"/>
        <v>Mehrw./Minderw.</v>
      </c>
      <c r="D856" s="720">
        <f>IF('[1]E-UV'!$J7="","",'[1]E-UV'!$J7)</f>
        <v>1178</v>
      </c>
      <c r="E856" s="715"/>
      <c r="F856" s="721">
        <f t="shared" si="183"/>
        <v>1178</v>
      </c>
      <c r="H856" s="784">
        <f>IF(UV!$J7="","",UV!$J7)</f>
        <v>1178</v>
      </c>
      <c r="I856" s="717" t="str">
        <f t="shared" si="184"/>
        <v>Richtig!</v>
      </c>
      <c r="J856" s="718">
        <f t="shared" si="185"/>
        <v>1</v>
      </c>
      <c r="K856" s="711" t="str">
        <f t="shared" si="172"/>
        <v>│</v>
      </c>
      <c r="L856" s="712">
        <f t="shared" si="181"/>
        <v>1</v>
      </c>
      <c r="N856" s="719" t="str">
        <f>IF($L$1="","",$L$1)</f>
        <v>x</v>
      </c>
      <c r="P856" s="720">
        <f t="shared" si="178"/>
        <v>1178</v>
      </c>
      <c r="Q856" s="715"/>
      <c r="R856" s="721">
        <f t="shared" si="178"/>
        <v>1178</v>
      </c>
      <c r="T856" s="784">
        <f t="shared" si="178"/>
        <v>1178</v>
      </c>
    </row>
    <row r="857" spans="1:20" ht="12.75" x14ac:dyDescent="0.2">
      <c r="A857" s="707"/>
      <c r="B857" s="2" t="str">
        <f>IF(UV!B8="","-",UV!B8)</f>
        <v>Kälber</v>
      </c>
      <c r="C857" s="780" t="str">
        <f t="shared" si="182"/>
        <v>Mehrw./Minderw.</v>
      </c>
      <c r="D857" s="720">
        <f>IF('[1]E-UV'!$J8="","",'[1]E-UV'!$J8)</f>
        <v>171</v>
      </c>
      <c r="E857" s="715"/>
      <c r="F857" s="721">
        <f t="shared" si="183"/>
        <v>171</v>
      </c>
      <c r="H857" s="784">
        <f>IF(UV!$J8="","",UV!$J8)</f>
        <v>171</v>
      </c>
      <c r="I857" s="717" t="str">
        <f t="shared" si="184"/>
        <v>Richtig!</v>
      </c>
      <c r="J857" s="718">
        <f t="shared" si="185"/>
        <v>1</v>
      </c>
      <c r="K857" s="711" t="str">
        <f t="shared" si="172"/>
        <v>│</v>
      </c>
      <c r="L857" s="712">
        <f t="shared" si="181"/>
        <v>1</v>
      </c>
      <c r="N857" s="719" t="str">
        <f>IF($L$1="","",$L$1)</f>
        <v>x</v>
      </c>
      <c r="P857" s="720">
        <f t="shared" si="178"/>
        <v>171</v>
      </c>
      <c r="Q857" s="715"/>
      <c r="R857" s="721">
        <f t="shared" si="178"/>
        <v>171</v>
      </c>
      <c r="T857" s="784">
        <f t="shared" si="178"/>
        <v>171</v>
      </c>
    </row>
    <row r="858" spans="1:20" ht="12.75" hidden="1" customHeight="1" x14ac:dyDescent="0.2">
      <c r="A858" s="707"/>
      <c r="B858" s="2" t="str">
        <f>IF(UV!B9="","-",UV!B9)</f>
        <v>-</v>
      </c>
      <c r="C858" s="780" t="str">
        <f t="shared" si="182"/>
        <v>Mehrw./Minderw.</v>
      </c>
      <c r="D858" s="720" t="str">
        <f>IF('[1]E-UV'!$J9="","",'[1]E-UV'!$J9)</f>
        <v/>
      </c>
      <c r="E858" s="715"/>
      <c r="F858" s="721" t="str">
        <f t="shared" si="183"/>
        <v>-</v>
      </c>
      <c r="H858" s="784" t="str">
        <f>IF(UV!$J9="","",UV!$J9)</f>
        <v/>
      </c>
      <c r="I858" s="717" t="str">
        <f t="shared" si="184"/>
        <v>Richtig!</v>
      </c>
      <c r="J858" s="718" t="str">
        <f t="shared" si="185"/>
        <v>-</v>
      </c>
      <c r="K858" s="711" t="str">
        <f t="shared" si="172"/>
        <v/>
      </c>
      <c r="L858" s="712" t="str">
        <f t="shared" si="181"/>
        <v/>
      </c>
      <c r="N858" s="719"/>
      <c r="P858" s="720" t="str">
        <f t="shared" si="178"/>
        <v/>
      </c>
      <c r="Q858" s="715"/>
      <c r="R858" s="721" t="str">
        <f t="shared" si="178"/>
        <v>-</v>
      </c>
      <c r="T858" s="784" t="str">
        <f t="shared" si="178"/>
        <v/>
      </c>
    </row>
    <row r="859" spans="1:20" ht="12.75" hidden="1" customHeight="1" x14ac:dyDescent="0.2">
      <c r="A859" s="707"/>
      <c r="B859" s="2" t="str">
        <f>IF(UV!B10="","-",UV!B10)</f>
        <v>-</v>
      </c>
      <c r="C859" s="780" t="str">
        <f t="shared" si="182"/>
        <v>Mehrw./Minderw.</v>
      </c>
      <c r="D859" s="720" t="str">
        <f>IF('[1]E-UV'!$J10="","",'[1]E-UV'!$J10)</f>
        <v/>
      </c>
      <c r="E859" s="715"/>
      <c r="F859" s="721" t="str">
        <f t="shared" si="183"/>
        <v>-</v>
      </c>
      <c r="H859" s="784" t="str">
        <f>IF(UV!$J10="","",UV!$J10)</f>
        <v/>
      </c>
      <c r="I859" s="717" t="str">
        <f t="shared" si="184"/>
        <v>Richtig!</v>
      </c>
      <c r="J859" s="718" t="str">
        <f t="shared" si="185"/>
        <v>-</v>
      </c>
      <c r="K859" s="711" t="str">
        <f t="shared" si="172"/>
        <v/>
      </c>
      <c r="L859" s="712" t="str">
        <f t="shared" si="181"/>
        <v/>
      </c>
      <c r="N859" s="719"/>
      <c r="P859" s="720" t="str">
        <f t="shared" si="178"/>
        <v/>
      </c>
      <c r="Q859" s="715"/>
      <c r="R859" s="721" t="str">
        <f t="shared" si="178"/>
        <v>-</v>
      </c>
      <c r="T859" s="784" t="str">
        <f t="shared" si="178"/>
        <v/>
      </c>
    </row>
    <row r="860" spans="1:20" ht="12.75" hidden="1" customHeight="1" x14ac:dyDescent="0.2">
      <c r="A860" s="707"/>
      <c r="B860" s="2" t="str">
        <f>IF(UV!B11="","-",UV!B11)</f>
        <v>-</v>
      </c>
      <c r="C860" s="780" t="str">
        <f t="shared" si="182"/>
        <v>Mehrw./Minderw.</v>
      </c>
      <c r="D860" s="720" t="str">
        <f>IF('[1]E-UV'!$J11="","",'[1]E-UV'!$J11)</f>
        <v/>
      </c>
      <c r="E860" s="715"/>
      <c r="F860" s="721" t="str">
        <f t="shared" si="183"/>
        <v>-</v>
      </c>
      <c r="H860" s="784" t="str">
        <f>IF(UV!$J11="","",UV!$J11)</f>
        <v/>
      </c>
      <c r="I860" s="717" t="str">
        <f t="shared" si="184"/>
        <v>Richtig!</v>
      </c>
      <c r="J860" s="718" t="str">
        <f t="shared" si="185"/>
        <v>-</v>
      </c>
      <c r="K860" s="711" t="str">
        <f t="shared" si="172"/>
        <v/>
      </c>
      <c r="L860" s="712" t="str">
        <f t="shared" si="181"/>
        <v/>
      </c>
      <c r="N860" s="719"/>
      <c r="P860" s="720" t="str">
        <f t="shared" si="178"/>
        <v/>
      </c>
      <c r="Q860" s="715"/>
      <c r="R860" s="721" t="str">
        <f t="shared" si="178"/>
        <v>-</v>
      </c>
      <c r="T860" s="784" t="str">
        <f t="shared" si="178"/>
        <v/>
      </c>
    </row>
    <row r="861" spans="1:20" ht="12.75" hidden="1" customHeight="1" x14ac:dyDescent="0.2">
      <c r="A861" s="707"/>
      <c r="B861" s="2" t="str">
        <f>IF(UV!B12="","-",UV!B12)</f>
        <v>-</v>
      </c>
      <c r="C861" s="780" t="str">
        <f t="shared" si="182"/>
        <v>Mehrw./Minderw.</v>
      </c>
      <c r="D861" s="720" t="str">
        <f>IF('[1]E-UV'!$J12="","",'[1]E-UV'!$J12)</f>
        <v/>
      </c>
      <c r="E861" s="715"/>
      <c r="F861" s="721" t="str">
        <f t="shared" si="183"/>
        <v>-</v>
      </c>
      <c r="H861" s="784" t="str">
        <f>IF(UV!$J12="","",UV!$J12)</f>
        <v/>
      </c>
      <c r="I861" s="717" t="str">
        <f t="shared" si="184"/>
        <v>Richtig!</v>
      </c>
      <c r="J861" s="718" t="str">
        <f t="shared" si="185"/>
        <v>-</v>
      </c>
      <c r="K861" s="711" t="str">
        <f t="shared" si="172"/>
        <v/>
      </c>
      <c r="L861" s="712" t="str">
        <f t="shared" si="181"/>
        <v/>
      </c>
      <c r="N861" s="719"/>
      <c r="P861" s="720" t="str">
        <f t="shared" si="178"/>
        <v/>
      </c>
      <c r="Q861" s="715"/>
      <c r="R861" s="721" t="str">
        <f t="shared" si="178"/>
        <v>-</v>
      </c>
      <c r="T861" s="784" t="str">
        <f t="shared" si="178"/>
        <v/>
      </c>
    </row>
    <row r="862" spans="1:20" ht="12.75" x14ac:dyDescent="0.2">
      <c r="A862" s="707"/>
      <c r="B862" s="779" t="str">
        <f>IF(UV!B13="","-",UV!B13)</f>
        <v>Summe RINDER</v>
      </c>
      <c r="C862" s="780" t="str">
        <f t="shared" si="182"/>
        <v>Mehrw./Minderw.</v>
      </c>
      <c r="D862" s="720">
        <f>IF('[1]E-UV'!$J13="","",'[1]E-UV'!$J13)</f>
        <v>1349</v>
      </c>
      <c r="E862" s="715"/>
      <c r="F862" s="721">
        <f>IF(AND(H855="",H856="",H857="",H858="",H859="",H860="",H861=""),"-",SUM(H855:H861))</f>
        <v>1349</v>
      </c>
      <c r="H862" s="784">
        <f>IF(UV!$J13="","",UV!$J13)</f>
        <v>1349</v>
      </c>
      <c r="I862" s="717" t="str">
        <f t="shared" si="184"/>
        <v>Richtig!</v>
      </c>
      <c r="J862" s="718">
        <f t="shared" si="185"/>
        <v>1</v>
      </c>
      <c r="K862" s="711" t="str">
        <f t="shared" si="172"/>
        <v>│</v>
      </c>
      <c r="L862" s="712">
        <f t="shared" si="181"/>
        <v>1</v>
      </c>
      <c r="N862" s="719" t="str">
        <f>IF($L$1="","",$L$1)</f>
        <v>x</v>
      </c>
      <c r="P862" s="720">
        <f t="shared" si="178"/>
        <v>1349</v>
      </c>
      <c r="Q862" s="715"/>
      <c r="R862" s="721">
        <f t="shared" si="178"/>
        <v>1349</v>
      </c>
      <c r="T862" s="784">
        <f t="shared" si="178"/>
        <v>1349</v>
      </c>
    </row>
    <row r="863" spans="1:20" ht="12.75" x14ac:dyDescent="0.2">
      <c r="B863" s="782" t="str">
        <f>IF(UV!B21="","-",UV!B21)</f>
        <v>SCHWEINE</v>
      </c>
      <c r="C863" s="780"/>
      <c r="D863" s="708" t="str">
        <f>IF('[1]E-UV'!$J21="","",'[1]E-UV'!$J21)</f>
        <v/>
      </c>
      <c r="H863" s="691" t="str">
        <f>IF(UV!$J21="","",UV!$J21)</f>
        <v/>
      </c>
      <c r="I863" s="717"/>
      <c r="J863" s="717"/>
      <c r="K863" s="711" t="str">
        <f t="shared" si="172"/>
        <v/>
      </c>
      <c r="L863" s="712" t="str">
        <f t="shared" si="181"/>
        <v/>
      </c>
      <c r="N863" s="695" t="str">
        <f>IF($L$1="","",$L$1)</f>
        <v>x</v>
      </c>
      <c r="P863" s="708" t="str">
        <f t="shared" si="178"/>
        <v/>
      </c>
      <c r="R863" s="1" t="str">
        <f t="shared" si="178"/>
        <v/>
      </c>
      <c r="T863" s="691" t="str">
        <f t="shared" si="178"/>
        <v/>
      </c>
    </row>
    <row r="864" spans="1:20" ht="12.75" hidden="1" customHeight="1" x14ac:dyDescent="0.2">
      <c r="A864" s="707"/>
      <c r="B864" s="2" t="str">
        <f>IF(UV!B22="","-",UV!B22)</f>
        <v>-</v>
      </c>
      <c r="C864" s="780" t="str">
        <f t="shared" ref="C864:C869" si="186">MID($B$853,1,5)&amp;"./"&amp;MID($B$853,10,7)&amp;"."</f>
        <v>Mehrw./Minderw.</v>
      </c>
      <c r="D864" s="720" t="str">
        <f>IF('[1]E-UV'!$J22="","",'[1]E-UV'!$J22)</f>
        <v/>
      </c>
      <c r="E864" s="715"/>
      <c r="F864" s="721" t="str">
        <f>IF(AND(H832="",H800=""),"-",H832-H800)</f>
        <v>-</v>
      </c>
      <c r="H864" s="784" t="str">
        <f>IF(UV!$J22="","",UV!$J22)</f>
        <v/>
      </c>
      <c r="I864" s="717" t="str">
        <f t="shared" ref="I864:I869" si="187">IF(B864="","",IF(T864=P864,"Richtig!",IF(AND(P864&lt;&gt;T864,R864=T864),"Formel: OK",IF(T864="","Fehlt","Falsch"))))</f>
        <v>Richtig!</v>
      </c>
      <c r="J864" s="718" t="str">
        <f t="shared" ref="J864:J869" si="188">IF(OR(B864="-",N864="",AND(P864="",T864="")),"-",IF(I864="Richtig!",1,IF(I864="Formel: OK",0.5,IF(OR(I864="Falsch",I864="Fehlt"),0,""))))</f>
        <v>-</v>
      </c>
      <c r="K864" s="711" t="str">
        <f t="shared" si="172"/>
        <v/>
      </c>
      <c r="L864" s="712" t="str">
        <f t="shared" si="181"/>
        <v/>
      </c>
      <c r="N864" s="719"/>
      <c r="P864" s="720" t="str">
        <f t="shared" si="178"/>
        <v/>
      </c>
      <c r="Q864" s="715"/>
      <c r="R864" s="721" t="str">
        <f t="shared" si="178"/>
        <v>-</v>
      </c>
      <c r="T864" s="784" t="str">
        <f t="shared" si="178"/>
        <v/>
      </c>
    </row>
    <row r="865" spans="1:20" ht="12.75" hidden="1" customHeight="1" x14ac:dyDescent="0.2">
      <c r="A865" s="707"/>
      <c r="B865" s="2" t="str">
        <f>IF(UV!B23="","-",UV!B23)</f>
        <v>-</v>
      </c>
      <c r="C865" s="780" t="str">
        <f t="shared" si="186"/>
        <v>Mehrw./Minderw.</v>
      </c>
      <c r="D865" s="720" t="str">
        <f>IF('[1]E-UV'!$J23="","",'[1]E-UV'!$J23)</f>
        <v/>
      </c>
      <c r="E865" s="715"/>
      <c r="F865" s="721" t="str">
        <f>IF(AND(H833="",H801=""),"-",H833-H801)</f>
        <v>-</v>
      </c>
      <c r="H865" s="784" t="str">
        <f>IF(UV!$J23="","",UV!$J23)</f>
        <v/>
      </c>
      <c r="I865" s="717" t="str">
        <f t="shared" si="187"/>
        <v>Richtig!</v>
      </c>
      <c r="J865" s="718" t="str">
        <f t="shared" si="188"/>
        <v>-</v>
      </c>
      <c r="K865" s="711" t="str">
        <f t="shared" si="172"/>
        <v/>
      </c>
      <c r="L865" s="712" t="str">
        <f t="shared" si="181"/>
        <v/>
      </c>
      <c r="N865" s="719"/>
      <c r="P865" s="720" t="str">
        <f t="shared" si="178"/>
        <v/>
      </c>
      <c r="Q865" s="715"/>
      <c r="R865" s="721" t="str">
        <f t="shared" si="178"/>
        <v>-</v>
      </c>
      <c r="T865" s="784" t="str">
        <f t="shared" si="178"/>
        <v/>
      </c>
    </row>
    <row r="866" spans="1:20" ht="12.75" hidden="1" customHeight="1" x14ac:dyDescent="0.2">
      <c r="A866" s="707"/>
      <c r="B866" s="2" t="str">
        <f>IF(UV!B24="","-",UV!B24)</f>
        <v>-</v>
      </c>
      <c r="C866" s="780" t="str">
        <f t="shared" si="186"/>
        <v>Mehrw./Minderw.</v>
      </c>
      <c r="D866" s="720" t="str">
        <f>IF('[1]E-UV'!$J24="","",'[1]E-UV'!$J24)</f>
        <v/>
      </c>
      <c r="E866" s="715"/>
      <c r="F866" s="721" t="str">
        <f>IF(AND(H834="",H802=""),"-",H834-H802)</f>
        <v>-</v>
      </c>
      <c r="H866" s="784" t="str">
        <f>IF(UV!$J24="","",UV!$J24)</f>
        <v/>
      </c>
      <c r="I866" s="717" t="str">
        <f t="shared" si="187"/>
        <v>Richtig!</v>
      </c>
      <c r="J866" s="718" t="str">
        <f t="shared" si="188"/>
        <v>-</v>
      </c>
      <c r="K866" s="711" t="str">
        <f t="shared" si="172"/>
        <v/>
      </c>
      <c r="L866" s="712" t="str">
        <f t="shared" si="181"/>
        <v/>
      </c>
      <c r="N866" s="719"/>
      <c r="P866" s="720" t="str">
        <f t="shared" si="178"/>
        <v/>
      </c>
      <c r="Q866" s="715"/>
      <c r="R866" s="721" t="str">
        <f t="shared" si="178"/>
        <v>-</v>
      </c>
      <c r="T866" s="784" t="str">
        <f t="shared" si="178"/>
        <v/>
      </c>
    </row>
    <row r="867" spans="1:20" ht="12.75" hidden="1" customHeight="1" x14ac:dyDescent="0.2">
      <c r="A867" s="707"/>
      <c r="B867" s="2" t="str">
        <f>IF(UV!B25="","-",UV!B25)</f>
        <v>-</v>
      </c>
      <c r="C867" s="780" t="str">
        <f t="shared" si="186"/>
        <v>Mehrw./Minderw.</v>
      </c>
      <c r="D867" s="720" t="str">
        <f>IF('[1]E-UV'!$J25="","",'[1]E-UV'!$J25)</f>
        <v/>
      </c>
      <c r="E867" s="715"/>
      <c r="F867" s="721" t="str">
        <f>IF(AND(H835="",H803=""),"-",H835-H803)</f>
        <v>-</v>
      </c>
      <c r="H867" s="784" t="str">
        <f>IF(UV!$J25="","",UV!$J25)</f>
        <v/>
      </c>
      <c r="I867" s="717" t="str">
        <f t="shared" si="187"/>
        <v>Richtig!</v>
      </c>
      <c r="J867" s="718" t="str">
        <f t="shared" si="188"/>
        <v>-</v>
      </c>
      <c r="K867" s="711" t="str">
        <f t="shared" si="172"/>
        <v/>
      </c>
      <c r="L867" s="712" t="str">
        <f t="shared" si="181"/>
        <v/>
      </c>
      <c r="N867" s="719"/>
      <c r="P867" s="720" t="str">
        <f t="shared" si="178"/>
        <v/>
      </c>
      <c r="Q867" s="715"/>
      <c r="R867" s="721" t="str">
        <f t="shared" si="178"/>
        <v>-</v>
      </c>
      <c r="T867" s="784" t="str">
        <f t="shared" si="178"/>
        <v/>
      </c>
    </row>
    <row r="868" spans="1:20" ht="12.75" hidden="1" customHeight="1" x14ac:dyDescent="0.2">
      <c r="A868" s="707"/>
      <c r="B868" s="2" t="str">
        <f>IF(UV!B26="","-",UV!B26)</f>
        <v>-</v>
      </c>
      <c r="C868" s="780" t="str">
        <f t="shared" si="186"/>
        <v>Mehrw./Minderw.</v>
      </c>
      <c r="D868" s="720" t="str">
        <f>IF('[1]E-UV'!$J26="","",'[1]E-UV'!$J26)</f>
        <v/>
      </c>
      <c r="E868" s="715"/>
      <c r="F868" s="721" t="str">
        <f>IF(AND(H836="",H804=""),"-",H836-H804)</f>
        <v>-</v>
      </c>
      <c r="H868" s="784" t="str">
        <f>IF(UV!$J26="","",UV!$J26)</f>
        <v/>
      </c>
      <c r="I868" s="717" t="str">
        <f t="shared" si="187"/>
        <v>Richtig!</v>
      </c>
      <c r="J868" s="718" t="str">
        <f t="shared" si="188"/>
        <v>-</v>
      </c>
      <c r="K868" s="711" t="str">
        <f t="shared" si="172"/>
        <v/>
      </c>
      <c r="L868" s="712" t="str">
        <f t="shared" si="181"/>
        <v/>
      </c>
      <c r="N868" s="719"/>
      <c r="P868" s="720" t="str">
        <f t="shared" si="178"/>
        <v/>
      </c>
      <c r="Q868" s="715"/>
      <c r="R868" s="721" t="str">
        <f t="shared" si="178"/>
        <v>-</v>
      </c>
      <c r="T868" s="784" t="str">
        <f t="shared" si="178"/>
        <v/>
      </c>
    </row>
    <row r="869" spans="1:20" ht="12.75" hidden="1" customHeight="1" x14ac:dyDescent="0.2">
      <c r="A869" s="707"/>
      <c r="B869" s="779" t="str">
        <f>IF(UV!B27="","-",UV!B27)</f>
        <v>Summe SCHWEINE</v>
      </c>
      <c r="C869" s="780" t="str">
        <f t="shared" si="186"/>
        <v>Mehrw./Minderw.</v>
      </c>
      <c r="D869" s="720" t="str">
        <f>IF('[1]E-UV'!$J27="","",'[1]E-UV'!$J27)</f>
        <v/>
      </c>
      <c r="E869" s="715"/>
      <c r="F869" s="721" t="str">
        <f>IF(AND(H864="",H865="",H866="",H867="",H868=""),"-",SUM(H864:H868))</f>
        <v>-</v>
      </c>
      <c r="H869" s="784" t="str">
        <f>IF(UV!$J27="","",UV!$J27)</f>
        <v/>
      </c>
      <c r="I869" s="717" t="str">
        <f t="shared" si="187"/>
        <v>Richtig!</v>
      </c>
      <c r="J869" s="718" t="str">
        <f t="shared" si="188"/>
        <v>-</v>
      </c>
      <c r="K869" s="711" t="str">
        <f t="shared" si="172"/>
        <v/>
      </c>
      <c r="L869" s="712" t="str">
        <f t="shared" si="181"/>
        <v/>
      </c>
      <c r="N869" s="719"/>
      <c r="P869" s="720" t="str">
        <f t="shared" si="178"/>
        <v/>
      </c>
      <c r="Q869" s="715"/>
      <c r="R869" s="721" t="str">
        <f t="shared" si="178"/>
        <v>-</v>
      </c>
      <c r="T869" s="784" t="str">
        <f t="shared" si="178"/>
        <v/>
      </c>
    </row>
    <row r="870" spans="1:20" ht="12.75" x14ac:dyDescent="0.2">
      <c r="B870" s="782" t="str">
        <f>IF(UV!B30="","-",UV!B30)</f>
        <v>Selbst erzeugte Vorräte</v>
      </c>
      <c r="C870" s="780"/>
      <c r="D870" s="708" t="str">
        <f>IF('[1]E-UV'!$J30="","",'[1]E-UV'!$J30)</f>
        <v/>
      </c>
      <c r="H870" s="691" t="str">
        <f>IF(UV!$J30="","",UV!$J30)</f>
        <v/>
      </c>
      <c r="I870" s="717"/>
      <c r="J870" s="717"/>
      <c r="K870" s="711" t="str">
        <f t="shared" si="172"/>
        <v/>
      </c>
      <c r="L870" s="712" t="str">
        <f t="shared" si="181"/>
        <v/>
      </c>
      <c r="N870" s="695" t="str">
        <f>IF($L$1="","",$L$1)</f>
        <v>x</v>
      </c>
      <c r="P870" s="708" t="str">
        <f t="shared" si="178"/>
        <v/>
      </c>
      <c r="R870" s="1" t="str">
        <f t="shared" si="178"/>
        <v/>
      </c>
      <c r="T870" s="691" t="str">
        <f t="shared" si="178"/>
        <v/>
      </c>
    </row>
    <row r="871" spans="1:20" ht="12.75" hidden="1" customHeight="1" x14ac:dyDescent="0.2">
      <c r="A871" s="707"/>
      <c r="B871" s="2" t="str">
        <f>IF(UV!B31="","-",UV!B31)</f>
        <v>Gerste</v>
      </c>
      <c r="C871" s="780" t="str">
        <f t="shared" ref="C871:C876" si="189">MID($B$853,1,5)&amp;"./"&amp;MID($B$853,10,7)&amp;"."</f>
        <v>Mehrw./Minderw.</v>
      </c>
      <c r="D871" s="720">
        <f>IF('[1]E-UV'!$J31="","",'[1]E-UV'!$J31)</f>
        <v>9.75</v>
      </c>
      <c r="E871" s="715"/>
      <c r="F871" s="721">
        <f>IF(AND(H839="",H807=""),"-",H839-H807)</f>
        <v>9.75</v>
      </c>
      <c r="H871" s="784">
        <f>IF(UV!$J31="","",UV!$J31)</f>
        <v>9.75</v>
      </c>
      <c r="I871" s="717" t="str">
        <f t="shared" ref="I871:I876" si="190">IF(B871="","",IF(T871=P871,"Richtig!",IF(AND(P871&lt;&gt;T871,R871=T871),"Formel: OK",IF(T871="","Fehlt","Falsch"))))</f>
        <v>Richtig!</v>
      </c>
      <c r="J871" s="718" t="str">
        <f t="shared" ref="J871:J876" si="191">IF(OR(B871="-",N871="",AND(P871="",T871="")),"-",IF(I871="Richtig!",1,IF(I871="Formel: OK",0.5,IF(OR(I871="Falsch",I871="Fehlt"),0,""))))</f>
        <v>-</v>
      </c>
      <c r="K871" s="711" t="str">
        <f t="shared" si="172"/>
        <v/>
      </c>
      <c r="L871" s="712" t="str">
        <f t="shared" si="181"/>
        <v/>
      </c>
      <c r="N871" s="719"/>
      <c r="P871" s="720">
        <f t="shared" si="178"/>
        <v>9.75</v>
      </c>
      <c r="Q871" s="715"/>
      <c r="R871" s="721">
        <f t="shared" si="178"/>
        <v>9.75</v>
      </c>
      <c r="T871" s="784">
        <f t="shared" si="178"/>
        <v>9.75</v>
      </c>
    </row>
    <row r="872" spans="1:20" ht="12.75" hidden="1" customHeight="1" x14ac:dyDescent="0.2">
      <c r="A872" s="707"/>
      <c r="B872" s="2" t="str">
        <f>IF(UV!B32="","-",UV!B32)</f>
        <v>Hafer</v>
      </c>
      <c r="C872" s="780" t="str">
        <f t="shared" si="189"/>
        <v>Mehrw./Minderw.</v>
      </c>
      <c r="D872" s="720">
        <f>IF('[1]E-UV'!$J32="","",'[1]E-UV'!$J32)</f>
        <v>3.15</v>
      </c>
      <c r="E872" s="715"/>
      <c r="F872" s="721">
        <f>IF(AND(H840="",H808=""),"-",H840-H808)</f>
        <v>3.15</v>
      </c>
      <c r="H872" s="784">
        <f>IF(UV!$J32="","",UV!$J32)</f>
        <v>3.15</v>
      </c>
      <c r="I872" s="717" t="str">
        <f t="shared" si="190"/>
        <v>Richtig!</v>
      </c>
      <c r="J872" s="718" t="str">
        <f t="shared" si="191"/>
        <v>-</v>
      </c>
      <c r="K872" s="711" t="str">
        <f t="shared" si="172"/>
        <v/>
      </c>
      <c r="L872" s="712" t="str">
        <f t="shared" si="181"/>
        <v/>
      </c>
      <c r="N872" s="719"/>
      <c r="P872" s="720">
        <f t="shared" si="178"/>
        <v>3.15</v>
      </c>
      <c r="Q872" s="715"/>
      <c r="R872" s="721">
        <f t="shared" si="178"/>
        <v>3.15</v>
      </c>
      <c r="T872" s="784">
        <f t="shared" si="178"/>
        <v>3.15</v>
      </c>
    </row>
    <row r="873" spans="1:20" ht="12.75" x14ac:dyDescent="0.2">
      <c r="A873" s="707"/>
      <c r="B873" s="2" t="str">
        <f>IF(UV!B33="","-",UV!B33)</f>
        <v>Kartoffel</v>
      </c>
      <c r="C873" s="780" t="str">
        <f t="shared" si="189"/>
        <v>Mehrw./Minderw.</v>
      </c>
      <c r="D873" s="720">
        <f>IF('[1]E-UV'!$J33="","",'[1]E-UV'!$J33)</f>
        <v>-168</v>
      </c>
      <c r="E873" s="715"/>
      <c r="F873" s="721">
        <f>IF(AND(H841="",H809=""),"-",H841-H809)</f>
        <v>-168</v>
      </c>
      <c r="H873" s="784">
        <f>IF(UV!$J33="","",UV!$J33)</f>
        <v>-168</v>
      </c>
      <c r="I873" s="717" t="str">
        <f t="shared" si="190"/>
        <v>Richtig!</v>
      </c>
      <c r="J873" s="718">
        <f t="shared" si="191"/>
        <v>1</v>
      </c>
      <c r="K873" s="711" t="str">
        <f t="shared" si="172"/>
        <v>│</v>
      </c>
      <c r="L873" s="712">
        <f t="shared" si="181"/>
        <v>1</v>
      </c>
      <c r="N873" s="719" t="str">
        <f>IF($L$1="","",$L$1)</f>
        <v>x</v>
      </c>
      <c r="P873" s="720">
        <f t="shared" si="178"/>
        <v>-168</v>
      </c>
      <c r="Q873" s="715"/>
      <c r="R873" s="721">
        <f t="shared" si="178"/>
        <v>-168</v>
      </c>
      <c r="T873" s="784">
        <f t="shared" si="178"/>
        <v>-168</v>
      </c>
    </row>
    <row r="874" spans="1:20" ht="12.75" hidden="1" customHeight="1" x14ac:dyDescent="0.2">
      <c r="A874" s="707"/>
      <c r="B874" s="2" t="str">
        <f>IF(UV!B34="","-",UV!B34)</f>
        <v>-</v>
      </c>
      <c r="C874" s="780" t="str">
        <f t="shared" si="189"/>
        <v>Mehrw./Minderw.</v>
      </c>
      <c r="D874" s="720" t="str">
        <f>IF('[1]E-UV'!$J34="","",'[1]E-UV'!$J34)</f>
        <v/>
      </c>
      <c r="E874" s="715"/>
      <c r="F874" s="721" t="str">
        <f>IF(AND(H842="",H810=""),"-",H842-H810)</f>
        <v>-</v>
      </c>
      <c r="H874" s="784" t="str">
        <f>IF(UV!$J34="","",UV!$J34)</f>
        <v/>
      </c>
      <c r="I874" s="717" t="str">
        <f t="shared" si="190"/>
        <v>Richtig!</v>
      </c>
      <c r="J874" s="718" t="str">
        <f t="shared" si="191"/>
        <v>-</v>
      </c>
      <c r="K874" s="711" t="str">
        <f t="shared" si="172"/>
        <v/>
      </c>
      <c r="L874" s="712" t="str">
        <f t="shared" si="181"/>
        <v/>
      </c>
      <c r="N874" s="719"/>
      <c r="P874" s="720" t="str">
        <f t="shared" si="178"/>
        <v/>
      </c>
      <c r="Q874" s="715"/>
      <c r="R874" s="721" t="str">
        <f t="shared" si="178"/>
        <v>-</v>
      </c>
      <c r="T874" s="784" t="str">
        <f t="shared" si="178"/>
        <v/>
      </c>
    </row>
    <row r="875" spans="1:20" ht="12.75" hidden="1" customHeight="1" x14ac:dyDescent="0.2">
      <c r="A875" s="707"/>
      <c r="B875" s="2" t="str">
        <f>IF(UV!B35="","-",UV!B35)</f>
        <v>-</v>
      </c>
      <c r="C875" s="780" t="str">
        <f t="shared" si="189"/>
        <v>Mehrw./Minderw.</v>
      </c>
      <c r="D875" s="720" t="str">
        <f>IF('[1]E-UV'!$J35="","",'[1]E-UV'!$J35)</f>
        <v/>
      </c>
      <c r="E875" s="715"/>
      <c r="F875" s="721" t="str">
        <f>IF(AND(H843="",H811=""),"-",H843-H811)</f>
        <v>-</v>
      </c>
      <c r="H875" s="784" t="str">
        <f>IF(UV!$J35="","",UV!$J35)</f>
        <v/>
      </c>
      <c r="I875" s="717" t="str">
        <f t="shared" si="190"/>
        <v>Richtig!</v>
      </c>
      <c r="J875" s="718" t="str">
        <f t="shared" si="191"/>
        <v>-</v>
      </c>
      <c r="K875" s="711" t="str">
        <f t="shared" si="172"/>
        <v/>
      </c>
      <c r="L875" s="712" t="str">
        <f t="shared" si="181"/>
        <v/>
      </c>
      <c r="N875" s="719"/>
      <c r="P875" s="720" t="str">
        <f t="shared" si="178"/>
        <v/>
      </c>
      <c r="Q875" s="715"/>
      <c r="R875" s="721" t="str">
        <f t="shared" si="178"/>
        <v>-</v>
      </c>
      <c r="T875" s="784" t="str">
        <f t="shared" si="178"/>
        <v/>
      </c>
    </row>
    <row r="876" spans="1:20" ht="12.75" x14ac:dyDescent="0.2">
      <c r="A876" s="707"/>
      <c r="B876" s="779" t="str">
        <f>IF(UV!B36="","-",UV!B36)</f>
        <v>Summe selbst erzeugte Vorräte</v>
      </c>
      <c r="C876" s="780" t="str">
        <f t="shared" si="189"/>
        <v>Mehrw./Minderw.</v>
      </c>
      <c r="D876" s="720">
        <f>IF('[1]E-UV'!$J36="","",'[1]E-UV'!$J36)</f>
        <v>-155.1</v>
      </c>
      <c r="E876" s="715"/>
      <c r="F876" s="721">
        <f>IF(AND(H871="",H872="",H873="",H874="",H875=""),"-",SUM(H871:H875))</f>
        <v>-155.1</v>
      </c>
      <c r="H876" s="784">
        <f>IF(UV!$J36="","",UV!$J36)</f>
        <v>-155.1</v>
      </c>
      <c r="I876" s="717" t="str">
        <f t="shared" si="190"/>
        <v>Richtig!</v>
      </c>
      <c r="J876" s="718">
        <f t="shared" si="191"/>
        <v>1</v>
      </c>
      <c r="K876" s="711" t="str">
        <f t="shared" si="172"/>
        <v>│</v>
      </c>
      <c r="L876" s="712">
        <f t="shared" si="181"/>
        <v>1</v>
      </c>
      <c r="N876" s="719" t="str">
        <f>IF($L$1="","",$L$1)</f>
        <v>x</v>
      </c>
      <c r="P876" s="720">
        <f t="shared" si="178"/>
        <v>-155.1</v>
      </c>
      <c r="Q876" s="715"/>
      <c r="R876" s="721">
        <f t="shared" si="178"/>
        <v>-155.1</v>
      </c>
      <c r="T876" s="784">
        <f t="shared" si="178"/>
        <v>-155.1</v>
      </c>
    </row>
    <row r="877" spans="1:20" ht="12.75" hidden="1" customHeight="1" x14ac:dyDescent="0.2">
      <c r="A877" s="707"/>
      <c r="B877" s="782" t="str">
        <f>IF(UV!B44="","-",UV!B44)</f>
        <v>Zugekaufte Vorräte</v>
      </c>
      <c r="C877" s="780"/>
      <c r="D877" s="708" t="str">
        <f>IF('[1]E-UV'!$J44="","",'[1]E-UV'!$J44)</f>
        <v/>
      </c>
      <c r="H877" s="691" t="str">
        <f>IF(UV!$J44="","",UV!$J44)</f>
        <v/>
      </c>
      <c r="I877" s="717"/>
      <c r="J877" s="717"/>
      <c r="K877" s="711" t="str">
        <f t="shared" si="172"/>
        <v/>
      </c>
      <c r="L877" s="712" t="str">
        <f t="shared" si="181"/>
        <v/>
      </c>
      <c r="N877" s="695"/>
      <c r="P877" s="708" t="str">
        <f t="shared" si="178"/>
        <v/>
      </c>
      <c r="R877" s="1" t="str">
        <f t="shared" si="178"/>
        <v/>
      </c>
      <c r="T877" s="691" t="str">
        <f t="shared" si="178"/>
        <v/>
      </c>
    </row>
    <row r="878" spans="1:20" ht="12.75" hidden="1" customHeight="1" x14ac:dyDescent="0.2">
      <c r="A878" s="707"/>
      <c r="B878" s="2" t="str">
        <f>IF(UV!B45="","-",UV!B45)</f>
        <v>Milchkraftfutter</v>
      </c>
      <c r="C878" s="780" t="str">
        <f t="shared" ref="C878:C883" si="192">MID($B$853,1,5)&amp;"./"&amp;MID($B$853,10,7)&amp;"."</f>
        <v>Mehrw./Minderw.</v>
      </c>
      <c r="D878" s="720">
        <f>IF('[1]E-UV'!$J45="","",'[1]E-UV'!$J45)</f>
        <v>81.599999999999994</v>
      </c>
      <c r="E878" s="715"/>
      <c r="F878" s="721">
        <f>IF(AND(H846="",H814=""),"-",H846-H814)</f>
        <v>81.599999999999994</v>
      </c>
      <c r="H878" s="784">
        <f>IF(UV!$J45="","",UV!$J45)</f>
        <v>81.599999999999994</v>
      </c>
      <c r="I878" s="717" t="str">
        <f t="shared" ref="I878:I883" si="193">IF(B878="","",IF(T878=P878,"Richtig!",IF(AND(P878&lt;&gt;T878,R878=T878),"Formel: OK",IF(T878="","Fehlt","Falsch"))))</f>
        <v>Richtig!</v>
      </c>
      <c r="J878" s="718" t="str">
        <f t="shared" ref="J878:J883" si="194">IF(OR(B878="-",N878="",AND(P878="",T878="")),"-",IF(I878="Richtig!",1,IF(I878="Formel: OK",0.5,IF(OR(I878="Falsch",I878="Fehlt"),0,""))))</f>
        <v>-</v>
      </c>
      <c r="K878" s="711" t="str">
        <f t="shared" si="172"/>
        <v/>
      </c>
      <c r="L878" s="712" t="str">
        <f t="shared" si="181"/>
        <v/>
      </c>
      <c r="N878" s="719"/>
      <c r="P878" s="720">
        <f t="shared" si="178"/>
        <v>81.599999999999994</v>
      </c>
      <c r="Q878" s="715"/>
      <c r="R878" s="721">
        <f t="shared" si="178"/>
        <v>81.599999999999994</v>
      </c>
      <c r="T878" s="784">
        <f t="shared" si="178"/>
        <v>81.599999999999994</v>
      </c>
    </row>
    <row r="879" spans="1:20" ht="12.75" hidden="1" customHeight="1" x14ac:dyDescent="0.2">
      <c r="A879" s="707"/>
      <c r="B879" s="2" t="str">
        <f>IF(UV!B46="","-",UV!B46)</f>
        <v>Weizenschrot</v>
      </c>
      <c r="C879" s="780" t="str">
        <f t="shared" si="192"/>
        <v>Mehrw./Minderw.</v>
      </c>
      <c r="D879" s="720">
        <f>IF('[1]E-UV'!$J46="","",'[1]E-UV'!$J46)</f>
        <v>30.129999999999995</v>
      </c>
      <c r="E879" s="715"/>
      <c r="F879" s="721">
        <f>IF(AND(H847="",H815=""),"-",H847-H815)</f>
        <v>30.129999999999995</v>
      </c>
      <c r="H879" s="784">
        <f>IF(UV!$J46="","",UV!$J46)</f>
        <v>30.129999999999995</v>
      </c>
      <c r="I879" s="717" t="str">
        <f t="shared" si="193"/>
        <v>Richtig!</v>
      </c>
      <c r="J879" s="718" t="str">
        <f t="shared" si="194"/>
        <v>-</v>
      </c>
      <c r="K879" s="711" t="str">
        <f t="shared" si="172"/>
        <v/>
      </c>
      <c r="L879" s="712" t="str">
        <f t="shared" si="181"/>
        <v/>
      </c>
      <c r="N879" s="719"/>
      <c r="P879" s="720">
        <f t="shared" si="178"/>
        <v>30.13</v>
      </c>
      <c r="Q879" s="715"/>
      <c r="R879" s="721">
        <f t="shared" si="178"/>
        <v>30.13</v>
      </c>
      <c r="T879" s="784">
        <f t="shared" si="178"/>
        <v>30.13</v>
      </c>
    </row>
    <row r="880" spans="1:20" ht="12.75" hidden="1" customHeight="1" x14ac:dyDescent="0.2">
      <c r="A880" s="707"/>
      <c r="B880" s="2" t="str">
        <f>IF(UV!B47="","-",UV!B47)</f>
        <v>Erbsenschrot</v>
      </c>
      <c r="C880" s="780" t="str">
        <f t="shared" si="192"/>
        <v>Mehrw./Minderw.</v>
      </c>
      <c r="D880" s="720">
        <f>IF('[1]E-UV'!$J47="","",'[1]E-UV'!$J47)</f>
        <v>9</v>
      </c>
      <c r="E880" s="715"/>
      <c r="F880" s="721">
        <f>IF(AND(H848="",H816=""),"-",H848-H816)</f>
        <v>9</v>
      </c>
      <c r="H880" s="784">
        <f>IF(UV!$J47="","",UV!$J47)</f>
        <v>9</v>
      </c>
      <c r="I880" s="717" t="str">
        <f t="shared" si="193"/>
        <v>Richtig!</v>
      </c>
      <c r="J880" s="718" t="str">
        <f t="shared" si="194"/>
        <v>-</v>
      </c>
      <c r="K880" s="711" t="str">
        <f t="shared" si="172"/>
        <v/>
      </c>
      <c r="L880" s="712" t="str">
        <f t="shared" si="181"/>
        <v/>
      </c>
      <c r="N880" s="719"/>
      <c r="P880" s="720">
        <f t="shared" si="178"/>
        <v>9</v>
      </c>
      <c r="Q880" s="715"/>
      <c r="R880" s="721">
        <f t="shared" si="178"/>
        <v>9</v>
      </c>
      <c r="T880" s="784">
        <f t="shared" si="178"/>
        <v>9</v>
      </c>
    </row>
    <row r="881" spans="1:20" ht="12.75" hidden="1" customHeight="1" x14ac:dyDescent="0.2">
      <c r="A881" s="707"/>
      <c r="B881" s="2" t="str">
        <f>IF(UV!B48="","-",UV!B48)</f>
        <v>-</v>
      </c>
      <c r="C881" s="780" t="str">
        <f t="shared" si="192"/>
        <v>Mehrw./Minderw.</v>
      </c>
      <c r="D881" s="720" t="str">
        <f>IF('[1]E-UV'!$J48="","",'[1]E-UV'!$J48)</f>
        <v/>
      </c>
      <c r="E881" s="715"/>
      <c r="F881" s="721" t="str">
        <f>IF(AND(H849="",H817=""),"-",H849-H817)</f>
        <v>-</v>
      </c>
      <c r="H881" s="784" t="str">
        <f>IF(UV!$J48="","",UV!$J48)</f>
        <v/>
      </c>
      <c r="I881" s="717" t="str">
        <f t="shared" si="193"/>
        <v>Richtig!</v>
      </c>
      <c r="J881" s="718" t="str">
        <f t="shared" si="194"/>
        <v>-</v>
      </c>
      <c r="K881" s="711" t="str">
        <f t="shared" si="172"/>
        <v/>
      </c>
      <c r="L881" s="712" t="str">
        <f t="shared" si="181"/>
        <v/>
      </c>
      <c r="N881" s="719"/>
      <c r="P881" s="720" t="str">
        <f t="shared" si="178"/>
        <v/>
      </c>
      <c r="Q881" s="715"/>
      <c r="R881" s="721" t="str">
        <f t="shared" si="178"/>
        <v>-</v>
      </c>
      <c r="T881" s="784" t="str">
        <f t="shared" si="178"/>
        <v/>
      </c>
    </row>
    <row r="882" spans="1:20" ht="12.75" hidden="1" customHeight="1" x14ac:dyDescent="0.2">
      <c r="A882" s="707"/>
      <c r="B882" s="2" t="str">
        <f>IF(UV!B49="","-",UV!B49)</f>
        <v>-</v>
      </c>
      <c r="C882" s="780" t="str">
        <f t="shared" si="192"/>
        <v>Mehrw./Minderw.</v>
      </c>
      <c r="D882" s="720" t="str">
        <f>IF('[1]E-UV'!$J49="","",'[1]E-UV'!$J49)</f>
        <v/>
      </c>
      <c r="E882" s="715"/>
      <c r="F882" s="721" t="str">
        <f>IF(AND(H850="",H818=""),"-",H850-H818)</f>
        <v>-</v>
      </c>
      <c r="H882" s="784" t="str">
        <f>IF(UV!$J49="","",UV!$J49)</f>
        <v/>
      </c>
      <c r="I882" s="717" t="str">
        <f t="shared" si="193"/>
        <v>Richtig!</v>
      </c>
      <c r="J882" s="718" t="str">
        <f t="shared" si="194"/>
        <v>-</v>
      </c>
      <c r="K882" s="711" t="str">
        <f t="shared" si="172"/>
        <v/>
      </c>
      <c r="L882" s="712" t="str">
        <f t="shared" si="181"/>
        <v/>
      </c>
      <c r="N882" s="719"/>
      <c r="P882" s="720" t="str">
        <f t="shared" si="178"/>
        <v/>
      </c>
      <c r="Q882" s="715"/>
      <c r="R882" s="721" t="str">
        <f t="shared" si="178"/>
        <v>-</v>
      </c>
      <c r="T882" s="784" t="str">
        <f t="shared" si="178"/>
        <v/>
      </c>
    </row>
    <row r="883" spans="1:20" ht="12.75" hidden="1" customHeight="1" x14ac:dyDescent="0.2">
      <c r="A883" s="707"/>
      <c r="B883" s="779" t="str">
        <f>IF(UV!B50="","-",UV!B50)</f>
        <v>Summe zugekaufte Vorräte</v>
      </c>
      <c r="C883" s="780" t="str">
        <f t="shared" si="192"/>
        <v>Mehrw./Minderw.</v>
      </c>
      <c r="D883" s="720">
        <f>IF('[1]E-UV'!$J50="","",'[1]E-UV'!$J50)</f>
        <v>120.72999999999999</v>
      </c>
      <c r="E883" s="715"/>
      <c r="F883" s="721">
        <f>IF(AND(H878="",H879="",H880="",H881="",H882=""),"-",SUM(H878:H882))</f>
        <v>120.72999999999999</v>
      </c>
      <c r="H883" s="784">
        <f>IF(UV!$J50="","",UV!$J50)</f>
        <v>120.72999999999999</v>
      </c>
      <c r="I883" s="717" t="str">
        <f t="shared" si="193"/>
        <v>Richtig!</v>
      </c>
      <c r="J883" s="718" t="str">
        <f t="shared" si="194"/>
        <v>-</v>
      </c>
      <c r="K883" s="711" t="str">
        <f t="shared" si="172"/>
        <v/>
      </c>
      <c r="L883" s="712" t="str">
        <f t="shared" si="181"/>
        <v/>
      </c>
      <c r="N883" s="719"/>
      <c r="P883" s="720">
        <f t="shared" si="178"/>
        <v>120.73</v>
      </c>
      <c r="Q883" s="715"/>
      <c r="R883" s="721">
        <f t="shared" si="178"/>
        <v>120.73</v>
      </c>
      <c r="T883" s="784">
        <f t="shared" si="178"/>
        <v>120.73</v>
      </c>
    </row>
    <row r="884" spans="1:20" ht="12.75" x14ac:dyDescent="0.2">
      <c r="A884" s="707"/>
      <c r="B884" s="2"/>
      <c r="C884" s="780"/>
      <c r="D884" s="708"/>
      <c r="H884" s="691"/>
      <c r="I884" s="717"/>
      <c r="J884" s="717"/>
      <c r="K884" s="711"/>
      <c r="L884" s="712" t="str">
        <f t="shared" si="181"/>
        <v/>
      </c>
      <c r="N884" s="725" t="str">
        <f>IF($L$1="","",$L$1)</f>
        <v>x</v>
      </c>
      <c r="P884" s="708" t="str">
        <f t="shared" si="178"/>
        <v/>
      </c>
      <c r="R884" s="1" t="str">
        <f t="shared" si="178"/>
        <v/>
      </c>
      <c r="T884" s="691" t="str">
        <f t="shared" si="178"/>
        <v/>
      </c>
    </row>
    <row r="885" spans="1:20" ht="12.75" x14ac:dyDescent="0.2">
      <c r="A885" s="706" t="s">
        <v>373</v>
      </c>
      <c r="B885" s="706" t="s">
        <v>439</v>
      </c>
      <c r="C885" s="707"/>
      <c r="D885" s="708"/>
      <c r="H885" s="691"/>
      <c r="I885" s="710"/>
      <c r="J885" s="710"/>
      <c r="K885" s="711" t="str">
        <f t="shared" si="172"/>
        <v/>
      </c>
      <c r="L885" s="712" t="str">
        <f t="shared" si="181"/>
        <v/>
      </c>
      <c r="N885" s="695" t="str">
        <f>IF($L$1="","",$L$1)</f>
        <v>x</v>
      </c>
      <c r="P885" s="708" t="str">
        <f t="shared" si="178"/>
        <v/>
      </c>
      <c r="R885" s="1" t="str">
        <f t="shared" si="178"/>
        <v/>
      </c>
      <c r="T885" s="691" t="str">
        <f t="shared" si="178"/>
        <v/>
      </c>
    </row>
    <row r="886" spans="1:20" ht="12.75" x14ac:dyDescent="0.2">
      <c r="A886" s="707"/>
      <c r="B886" s="782" t="str">
        <f>IF(UV!B5="","-",UV!B5)</f>
        <v>RINDER</v>
      </c>
      <c r="C886" s="731"/>
      <c r="D886" s="708"/>
      <c r="H886" s="691"/>
      <c r="I886" s="717"/>
      <c r="J886" s="717"/>
      <c r="K886" s="711" t="str">
        <f t="shared" si="172"/>
        <v/>
      </c>
      <c r="L886" s="712" t="str">
        <f t="shared" si="181"/>
        <v/>
      </c>
      <c r="N886" s="695" t="str">
        <f>IF($L$1="","",$L$1)</f>
        <v>x</v>
      </c>
      <c r="P886" s="708" t="str">
        <f t="shared" si="178"/>
        <v/>
      </c>
      <c r="R886" s="1" t="str">
        <f t="shared" si="178"/>
        <v/>
      </c>
      <c r="T886" s="691" t="str">
        <f t="shared" si="178"/>
        <v/>
      </c>
    </row>
    <row r="887" spans="1:20" ht="12.75" x14ac:dyDescent="0.2">
      <c r="A887" s="707"/>
      <c r="B887" s="2" t="str">
        <f>IF(UV!D15="","-",UV!D15)</f>
        <v>Mehrwert</v>
      </c>
      <c r="C887" s="731" t="s">
        <v>440</v>
      </c>
      <c r="D887" s="720" t="str">
        <f>IF('[1]E-UV'!$C15="","",'[1]E-UV'!$C15)</f>
        <v>x</v>
      </c>
      <c r="E887" s="715"/>
      <c r="F887" s="721" t="str">
        <f>IF(H862="","-",IF(H862&gt;0,"x",""))</f>
        <v>x</v>
      </c>
      <c r="H887" s="784" t="str">
        <f>IF(UV!$C15="","",UV!$C15)</f>
        <v>x</v>
      </c>
      <c r="I887" s="717" t="str">
        <f>IF(AND(B887="",B888="",B889=""),"",IF(AND(T887=P887,T888=P888,T889=P889),"Richtig!",IF(AND(P887&lt;&gt;T887,R887=T887,P888&lt;&gt;T888,R888=T888,P889&lt;&gt;T889,R889=T889),"Formel: OK",IF(AND(T887="",T888="",T889=""),"Fehlt","Falsch"))))</f>
        <v>Richtig!</v>
      </c>
      <c r="J887" s="718">
        <f>IF(OR(N887&lt;&gt;"x",B887="-"),"-",IF(I887="Richtig!",1,IF(I887="Formel: OK",0.5,IF(OR(I887="Falsch",I887="Fehlt"),0,""))))</f>
        <v>1</v>
      </c>
      <c r="K887" s="711" t="s">
        <v>441</v>
      </c>
      <c r="L887" s="712">
        <f>IF(OR(N887&lt;&gt;"x",B887=""),"-",1)</f>
        <v>1</v>
      </c>
      <c r="N887" s="719" t="str">
        <f>IF($L$1="","",$L$1)</f>
        <v>x</v>
      </c>
      <c r="P887" s="720" t="str">
        <f t="shared" si="178"/>
        <v>x</v>
      </c>
      <c r="Q887" s="715"/>
      <c r="R887" s="721" t="str">
        <f t="shared" si="178"/>
        <v>x</v>
      </c>
      <c r="T887" s="784" t="str">
        <f t="shared" si="178"/>
        <v>x</v>
      </c>
    </row>
    <row r="888" spans="1:20" ht="12.75" x14ac:dyDescent="0.2">
      <c r="A888" s="707"/>
      <c r="B888" s="2" t="str">
        <f>IF(UV!D17="","-",UV!D17)</f>
        <v>gleich geblieben</v>
      </c>
      <c r="C888" s="731" t="s">
        <v>440</v>
      </c>
      <c r="D888" s="720" t="str">
        <f>IF('[1]E-UV'!$C17="","",'[1]E-UV'!$C17)</f>
        <v/>
      </c>
      <c r="E888" s="715"/>
      <c r="F888" s="721" t="str">
        <f>IF(H862="","-",IF(H862=0,"x",""))</f>
        <v/>
      </c>
      <c r="H888" s="784" t="str">
        <f>IF(UV!$C17="","",UV!$C17)</f>
        <v/>
      </c>
      <c r="I888" s="717"/>
      <c r="J888" s="5"/>
      <c r="K888" s="711"/>
      <c r="L888" s="712"/>
      <c r="P888" s="720" t="str">
        <f t="shared" si="178"/>
        <v/>
      </c>
      <c r="Q888" s="715"/>
      <c r="R888" s="721" t="str">
        <f t="shared" si="178"/>
        <v/>
      </c>
      <c r="T888" s="784" t="str">
        <f t="shared" si="178"/>
        <v/>
      </c>
    </row>
    <row r="889" spans="1:20" ht="12.75" x14ac:dyDescent="0.2">
      <c r="A889" s="707"/>
      <c r="B889" s="2" t="str">
        <f>IF(UV!D19="","-",UV!D19)</f>
        <v>Minderwert</v>
      </c>
      <c r="C889" s="731" t="s">
        <v>440</v>
      </c>
      <c r="D889" s="720" t="str">
        <f>IF('[1]E-UV'!$C19="","",'[1]E-UV'!$C19)</f>
        <v/>
      </c>
      <c r="E889" s="715"/>
      <c r="F889" s="721" t="str">
        <f>IF(H862="","-",IF(H862&lt;0,"x",""))</f>
        <v/>
      </c>
      <c r="H889" s="784" t="str">
        <f>IF(UV!$C19="","",UV!$C19)</f>
        <v/>
      </c>
      <c r="I889" s="717"/>
      <c r="J889" s="5"/>
      <c r="K889" s="711"/>
      <c r="L889" s="712"/>
      <c r="P889" s="720" t="str">
        <f t="shared" si="178"/>
        <v/>
      </c>
      <c r="Q889" s="715"/>
      <c r="R889" s="721" t="str">
        <f t="shared" si="178"/>
        <v/>
      </c>
      <c r="T889" s="784" t="str">
        <f t="shared" si="178"/>
        <v/>
      </c>
    </row>
    <row r="890" spans="1:20" ht="12.75" x14ac:dyDescent="0.2">
      <c r="A890" s="707"/>
      <c r="B890" s="782" t="str">
        <f>IF(B870="","-",B870)</f>
        <v>Selbst erzeugte Vorräte</v>
      </c>
      <c r="C890" s="731"/>
      <c r="D890" s="708"/>
      <c r="H890" s="691"/>
      <c r="I890" s="717"/>
      <c r="J890" s="5"/>
      <c r="K890" s="711"/>
      <c r="L890" s="712"/>
      <c r="N890" s="695" t="str">
        <f>IF($L$1="","",$L$1)</f>
        <v>x</v>
      </c>
      <c r="P890" s="708" t="str">
        <f t="shared" si="178"/>
        <v/>
      </c>
      <c r="R890" s="1" t="str">
        <f t="shared" si="178"/>
        <v/>
      </c>
      <c r="T890" s="691" t="str">
        <f t="shared" si="178"/>
        <v/>
      </c>
    </row>
    <row r="891" spans="1:20" ht="12.75" x14ac:dyDescent="0.2">
      <c r="A891" s="707"/>
      <c r="B891" s="2" t="str">
        <f>IF(UV!D38="","-",UV!D38)</f>
        <v>Mehrwert</v>
      </c>
      <c r="C891" s="731" t="s">
        <v>440</v>
      </c>
      <c r="D891" s="720" t="str">
        <f>IF('[1]E-UV'!$C38="","",'[1]E-UV'!$C38)</f>
        <v/>
      </c>
      <c r="E891" s="715"/>
      <c r="F891" s="721" t="str">
        <f>IF(H876="","-",IF(H876&gt;0,"x",""))</f>
        <v/>
      </c>
      <c r="H891" s="784" t="str">
        <f>IF(UV!$C38="","",UV!$C38)</f>
        <v/>
      </c>
      <c r="I891" s="717" t="str">
        <f>IF(AND(B891="",B892="",B893=""),"",IF(AND(T891=P891,T892=P892,T893=P893),"Richtig!",IF(AND(P891&lt;&gt;T891,R891=T891,P892&lt;&gt;T892,R892=T892,P893&lt;&gt;T893,R893=T893),"Formel: OK",IF(AND(T891="",T892="",T893=""),"Fehlt","Falsch"))))</f>
        <v>Richtig!</v>
      </c>
      <c r="J891" s="718">
        <f>IF(OR(N891&lt;&gt;"x",B891="-"),"-",IF(I891="Richtig!",1,IF(I891="Formel: OK",0.5,IF(OR(I891="Falsch",I891="Fehlt"),0,""))))</f>
        <v>1</v>
      </c>
      <c r="K891" s="711" t="s">
        <v>441</v>
      </c>
      <c r="L891" s="712">
        <f>IF(OR(N891&lt;&gt;"x",B891=""),"-",1)</f>
        <v>1</v>
      </c>
      <c r="N891" s="719" t="str">
        <f>IF($L$1="","",$L$1)</f>
        <v>x</v>
      </c>
      <c r="P891" s="720" t="str">
        <f t="shared" si="178"/>
        <v/>
      </c>
      <c r="Q891" s="715"/>
      <c r="R891" s="721" t="str">
        <f t="shared" si="178"/>
        <v/>
      </c>
      <c r="T891" s="784" t="str">
        <f t="shared" si="178"/>
        <v/>
      </c>
    </row>
    <row r="892" spans="1:20" ht="12.75" x14ac:dyDescent="0.2">
      <c r="A892" s="707"/>
      <c r="B892" s="2" t="str">
        <f>IF(UV!D40="","-",UV!D40)</f>
        <v>gleich geblieben</v>
      </c>
      <c r="C892" s="731" t="s">
        <v>440</v>
      </c>
      <c r="D892" s="720" t="str">
        <f>IF('[1]E-UV'!$C40="","",'[1]E-UV'!$C40)</f>
        <v/>
      </c>
      <c r="E892" s="715"/>
      <c r="F892" s="721" t="str">
        <f>IF(H876="","-",IF(H876=0,"x",""))</f>
        <v/>
      </c>
      <c r="H892" s="784" t="str">
        <f>IF(UV!$C40="","",UV!$C40)</f>
        <v/>
      </c>
      <c r="I892" s="717"/>
      <c r="J892" s="5"/>
      <c r="K892" s="711"/>
      <c r="L892" s="712"/>
      <c r="P892" s="720" t="str">
        <f t="shared" si="178"/>
        <v/>
      </c>
      <c r="Q892" s="715"/>
      <c r="R892" s="721" t="str">
        <f t="shared" si="178"/>
        <v/>
      </c>
      <c r="T892" s="784" t="str">
        <f t="shared" si="178"/>
        <v/>
      </c>
    </row>
    <row r="893" spans="1:20" ht="12.75" x14ac:dyDescent="0.2">
      <c r="A893" s="707"/>
      <c r="B893" s="2" t="str">
        <f>IF(UV!D42="","-",UV!D42)</f>
        <v>Minderwert</v>
      </c>
      <c r="C893" s="731" t="s">
        <v>440</v>
      </c>
      <c r="D893" s="720" t="str">
        <f>IF('[1]E-UV'!$C42="","",'[1]E-UV'!$C42)</f>
        <v>x</v>
      </c>
      <c r="E893" s="715"/>
      <c r="F893" s="721" t="str">
        <f>IF(H876="","-",IF(H876&lt;0,"x",""))</f>
        <v>x</v>
      </c>
      <c r="H893" s="784" t="str">
        <f>IF(UV!$C42="","",UV!$C42)</f>
        <v>x</v>
      </c>
      <c r="I893" s="717"/>
      <c r="J893" s="5"/>
      <c r="K893" s="711"/>
      <c r="L893" s="712"/>
      <c r="P893" s="720" t="str">
        <f t="shared" si="178"/>
        <v>x</v>
      </c>
      <c r="Q893" s="715"/>
      <c r="R893" s="721" t="str">
        <f t="shared" si="178"/>
        <v>x</v>
      </c>
      <c r="T893" s="784" t="str">
        <f t="shared" si="178"/>
        <v>x</v>
      </c>
    </row>
    <row r="894" spans="1:20" ht="12.75" x14ac:dyDescent="0.2">
      <c r="A894" s="707"/>
      <c r="B894" s="707"/>
      <c r="C894" s="707"/>
      <c r="D894" s="708"/>
      <c r="H894" s="709"/>
      <c r="I894" s="710"/>
      <c r="J894" s="710"/>
      <c r="K894" s="711" t="str">
        <f t="shared" ref="K894:K897" si="195">IF(L894="","","│")</f>
        <v/>
      </c>
      <c r="L894" s="712" t="str">
        <f>IF(OR(B894="-",N894="",AND(P894="",T894="")),"",1)</f>
        <v/>
      </c>
      <c r="N894" s="725" t="str">
        <f>IF($L$1="","",$L$1)</f>
        <v>x</v>
      </c>
      <c r="P894" s="708" t="str">
        <f t="shared" si="178"/>
        <v/>
      </c>
      <c r="R894" s="1" t="str">
        <f t="shared" si="178"/>
        <v/>
      </c>
      <c r="T894" s="709" t="str">
        <f t="shared" si="178"/>
        <v/>
      </c>
    </row>
    <row r="895" spans="1:20" ht="22.5" x14ac:dyDescent="0.2">
      <c r="A895" s="698" t="s">
        <v>442</v>
      </c>
      <c r="B895" s="699"/>
      <c r="C895" s="700"/>
      <c r="D895" s="701" t="s">
        <v>0</v>
      </c>
      <c r="E895" s="701"/>
      <c r="F895" s="702" t="s">
        <v>363</v>
      </c>
      <c r="G895" s="700"/>
      <c r="H895" s="702" t="s">
        <v>364</v>
      </c>
      <c r="I895" s="703" t="str">
        <f>"Fehler"</f>
        <v>Fehler</v>
      </c>
      <c r="J895" s="704" t="s">
        <v>365</v>
      </c>
      <c r="K895" s="704"/>
      <c r="L895" s="704"/>
      <c r="N895" s="705" t="str">
        <f>IF($L$1="","",$L$1)</f>
        <v>x</v>
      </c>
      <c r="P895" s="701" t="str">
        <f t="shared" si="178"/>
        <v>Ergebnis</v>
      </c>
      <c r="Q895" s="701"/>
      <c r="R895" s="702" t="str">
        <f t="shared" si="178"/>
        <v>Formel-
prüfung</v>
      </c>
      <c r="S895" s="700"/>
      <c r="T895" s="702" t="str">
        <f t="shared" si="178"/>
        <v>Deine Be-rechnung</v>
      </c>
    </row>
    <row r="896" spans="1:20" ht="12.75" customHeight="1" x14ac:dyDescent="0.2">
      <c r="A896" s="706" t="s">
        <v>366</v>
      </c>
      <c r="B896" s="706" t="str">
        <f>IF('[1]E-2NGeb'!A11="","-",'[1]E-2NGeb'!A11)</f>
        <v>Gesamte(r) Stadel</v>
      </c>
      <c r="C896" s="707"/>
      <c r="D896" s="708"/>
      <c r="H896" s="709"/>
      <c r="I896" s="710"/>
      <c r="J896" s="710"/>
      <c r="K896" s="711" t="str">
        <f t="shared" si="195"/>
        <v/>
      </c>
      <c r="L896" s="712" t="str">
        <f>IF(OR(B896="-",N896="",AND(P896="",T896="")),"",1)</f>
        <v/>
      </c>
      <c r="N896" s="695" t="str">
        <f>IF($L$1="","",$L$1)</f>
        <v>x</v>
      </c>
      <c r="P896" s="708" t="str">
        <f t="shared" si="178"/>
        <v/>
      </c>
      <c r="R896" s="1" t="str">
        <f t="shared" si="178"/>
        <v/>
      </c>
      <c r="T896" s="709" t="str">
        <f t="shared" si="178"/>
        <v/>
      </c>
    </row>
    <row r="897" spans="2:20" ht="12.75" customHeight="1" x14ac:dyDescent="0.2">
      <c r="B897" s="782" t="str">
        <f>'[1]E-2NGeb'!P14&amp;" "&amp;'[1]E-2NGeb'!B14</f>
        <v>Formel Kubatur</v>
      </c>
      <c r="C897" s="707"/>
      <c r="D897" s="708"/>
      <c r="H897" s="709"/>
      <c r="I897" s="717" t="str">
        <f>IF(AND(P897="",T897=""),"",IF(T897=P897,"Richtig!",IF(T897="","Fehlt","Falsch")))</f>
        <v/>
      </c>
      <c r="J897" s="717"/>
      <c r="K897" s="711" t="str">
        <f t="shared" si="195"/>
        <v/>
      </c>
      <c r="L897" s="712" t="str">
        <f>IF(OR(B897="-",N897="",AND(P897="",T897="")),"",1)</f>
        <v/>
      </c>
      <c r="N897" s="695" t="str">
        <f>IF($L$1="","",$L$1)</f>
        <v>x</v>
      </c>
      <c r="P897" s="708" t="str">
        <f t="shared" si="178"/>
        <v/>
      </c>
      <c r="R897" s="1" t="str">
        <f t="shared" si="178"/>
        <v/>
      </c>
      <c r="T897" s="709" t="str">
        <f t="shared" si="178"/>
        <v/>
      </c>
    </row>
    <row r="898" spans="2:20" ht="12.75" customHeight="1" x14ac:dyDescent="0.2">
      <c r="B898" s="2" t="s">
        <v>443</v>
      </c>
      <c r="C898" s="731" t="str">
        <f>IF('[1]E-2NGeb'!$C$14="","",'[1]E-2NGeb'!$C$14)</f>
        <v>St</v>
      </c>
      <c r="D898" s="714" t="str">
        <f>IF('[1]E-2NGeb'!F14="","",'[1]E-2NGeb'!F14)</f>
        <v>Länge</v>
      </c>
      <c r="E898" s="715"/>
      <c r="F898" s="715"/>
      <c r="H898" s="783" t="str">
        <f>IF('2NGeb'!F14="","",'2NGeb'!F14)</f>
        <v>Breite</v>
      </c>
      <c r="I898" s="717" t="str">
        <f>IF(T898="","Fehlt",IF(OR(P899&lt;&gt;T899,P901&lt;&gt;T901),"Falsch",IF(AND(P898="",T898=""),"",IF(AND(T898&lt;&gt;T900,T898&lt;&gt;T902,OR(T898=P898,T898=P900,T898=P902)),"Richtig!","Falsch"))))</f>
        <v>Richtig!</v>
      </c>
      <c r="J898" s="718">
        <f>IF(OR(N898&lt;&gt;"x",AND(P898="",T898="")),"-",IF(I898="Richtig!",0.2,IF(I898="Formel: OK",0.1,IF(OR(I898="Falsch",I898="Fehlt"),0,""))))</f>
        <v>0.2</v>
      </c>
      <c r="K898" s="711" t="s">
        <v>441</v>
      </c>
      <c r="L898" s="712">
        <f>IF(OR(N898&lt;&gt;"x",AND(P898="",T898="")),"-",0.2)</f>
        <v>0.2</v>
      </c>
      <c r="N898" s="719" t="str">
        <f t="shared" ref="N898:N910" si="196">IF($L$1="","",$L$1)</f>
        <v>x</v>
      </c>
      <c r="P898" s="714" t="str">
        <f t="shared" si="178"/>
        <v>Länge</v>
      </c>
      <c r="Q898" s="715"/>
      <c r="R898" s="715" t="str">
        <f t="shared" si="178"/>
        <v/>
      </c>
      <c r="T898" s="783" t="str">
        <f t="shared" si="178"/>
        <v>Breite</v>
      </c>
    </row>
    <row r="899" spans="2:20" ht="12.75" customHeight="1" x14ac:dyDescent="0.2">
      <c r="B899" s="713" t="s">
        <v>444</v>
      </c>
      <c r="C899" s="731" t="str">
        <f>IF('[1]E-2NGeb'!$C$14="","",'[1]E-2NGeb'!$C$14)</f>
        <v>St</v>
      </c>
      <c r="D899" s="714" t="str">
        <f>IF('[1]E-2NGeb'!H14="","",'[1]E-2NGeb'!H14)</f>
        <v>x</v>
      </c>
      <c r="E899" s="715"/>
      <c r="F899" s="715"/>
      <c r="H899" s="783" t="str">
        <f>IF('2NGeb'!H14="","",'2NGeb'!H14)</f>
        <v>x</v>
      </c>
      <c r="I899" s="717" t="str">
        <f>IF(AND(P899="",T899=""),"",IF(T899=P899,"Richtig!",IF(T899="","Fehlt","Falsch")))</f>
        <v>Richtig!</v>
      </c>
      <c r="J899" s="718">
        <f>IF(OR(N899&lt;&gt;"x",AND(P899="",T899="")),"-",IF(I899="Richtig!",0.2,IF(I899="Formel: OK",0.1,IF(OR(I899="Falsch",I899="Fehlt"),0,""))))</f>
        <v>0.2</v>
      </c>
      <c r="K899" s="711" t="s">
        <v>441</v>
      </c>
      <c r="L899" s="712">
        <f>IF(OR(N899&lt;&gt;"x",AND(P899="",T899="")),"-",0.2)</f>
        <v>0.2</v>
      </c>
      <c r="N899" s="719" t="str">
        <f t="shared" si="196"/>
        <v>x</v>
      </c>
      <c r="P899" s="714" t="str">
        <f t="shared" si="178"/>
        <v>x</v>
      </c>
      <c r="Q899" s="715"/>
      <c r="R899" s="715" t="str">
        <f t="shared" si="178"/>
        <v/>
      </c>
      <c r="T899" s="783" t="str">
        <f t="shared" si="178"/>
        <v>x</v>
      </c>
    </row>
    <row r="900" spans="2:20" ht="12.75" customHeight="1" x14ac:dyDescent="0.2">
      <c r="B900" s="2" t="s">
        <v>445</v>
      </c>
      <c r="C900" s="731" t="str">
        <f>IF('[1]E-2NGeb'!$C$14="","",'[1]E-2NGeb'!$C$14)</f>
        <v>St</v>
      </c>
      <c r="D900" s="714" t="str">
        <f>IF('[1]E-2NGeb'!J14="","",'[1]E-2NGeb'!J14)</f>
        <v>Breite</v>
      </c>
      <c r="E900" s="715"/>
      <c r="F900" s="715"/>
      <c r="H900" s="783" t="str">
        <f>IF('2NGeb'!J14="","",'2NGeb'!J14)</f>
        <v>Höhe</v>
      </c>
      <c r="I900" s="717" t="str">
        <f>IF(T900="","Fehlt",IF(OR(P899&lt;&gt;T899,P901&lt;&gt;T901),"Falsch",IF(AND(P900="",T900=""),"",IF(AND(T900&lt;&gt;T898,T900&lt;&gt;T902,OR(T900=P898,T900=P900,T900=P902)),"Richtig!","Falsch"))))</f>
        <v>Richtig!</v>
      </c>
      <c r="J900" s="718">
        <f>IF(OR(N900&lt;&gt;"x",AND(P900="",T900="")),"-",IF(I900="Richtig!",0.2,IF(I900="Formel: OK",0.1,IF(OR(I900="Falsch",I900="Fehlt"),0,""))))</f>
        <v>0.2</v>
      </c>
      <c r="K900" s="711" t="s">
        <v>441</v>
      </c>
      <c r="L900" s="712">
        <f>IF(OR(N900&lt;&gt;"x",AND(P900="",T900="")),"-",0.2)</f>
        <v>0.2</v>
      </c>
      <c r="N900" s="719" t="str">
        <f t="shared" si="196"/>
        <v>x</v>
      </c>
      <c r="P900" s="714" t="str">
        <f t="shared" si="178"/>
        <v>Breite</v>
      </c>
      <c r="Q900" s="715"/>
      <c r="R900" s="715" t="str">
        <f t="shared" si="178"/>
        <v/>
      </c>
      <c r="T900" s="783" t="str">
        <f t="shared" si="178"/>
        <v>Höhe</v>
      </c>
    </row>
    <row r="901" spans="2:20" ht="12.75" customHeight="1" x14ac:dyDescent="0.2">
      <c r="B901" s="713" t="s">
        <v>446</v>
      </c>
      <c r="C901" s="731" t="str">
        <f>IF('[1]E-2NGeb'!$C$14="","",'[1]E-2NGeb'!$C$14)</f>
        <v>St</v>
      </c>
      <c r="D901" s="714" t="str">
        <f>IF('[1]E-2NGeb'!L14="","",'[1]E-2NGeb'!L14)</f>
        <v>x</v>
      </c>
      <c r="E901" s="715"/>
      <c r="F901" s="715"/>
      <c r="H901" s="783" t="str">
        <f>IF('2NGeb'!L14="","",'2NGeb'!L14)</f>
        <v>x</v>
      </c>
      <c r="I901" s="717" t="str">
        <f>IF(AND(P901="",T901=""),"",IF(T901=P901,"Richtig!",IF(T901="","Fehlt","Falsch")))</f>
        <v>Richtig!</v>
      </c>
      <c r="J901" s="718">
        <f>IF(OR(N901&lt;&gt;"x",AND(P901="",T901="")),"-",IF(I901="Richtig!",0.2,IF(I901="Formel: OK",0.1,IF(OR(I901="Falsch",I901="Fehlt"),0,""))))</f>
        <v>0.2</v>
      </c>
      <c r="K901" s="711" t="s">
        <v>441</v>
      </c>
      <c r="L901" s="712">
        <f>IF(OR(N901&lt;&gt;"x",AND(P901="",T901="")),"-",0.2)</f>
        <v>0.2</v>
      </c>
      <c r="N901" s="719" t="str">
        <f t="shared" si="196"/>
        <v>x</v>
      </c>
      <c r="P901" s="714" t="str">
        <f t="shared" si="178"/>
        <v>x</v>
      </c>
      <c r="Q901" s="715"/>
      <c r="R901" s="715" t="str">
        <f t="shared" si="178"/>
        <v/>
      </c>
      <c r="T901" s="783" t="str">
        <f t="shared" si="178"/>
        <v>x</v>
      </c>
    </row>
    <row r="902" spans="2:20" ht="12.75" customHeight="1" x14ac:dyDescent="0.2">
      <c r="B902" s="2" t="s">
        <v>447</v>
      </c>
      <c r="C902" s="731" t="str">
        <f>IF('[1]E-2NGeb'!$C$14="","",'[1]E-2NGeb'!$C$14)</f>
        <v>St</v>
      </c>
      <c r="D902" s="714" t="str">
        <f>IF('[1]E-2NGeb'!N14="","",'[1]E-2NGeb'!N14)</f>
        <v>Höhe</v>
      </c>
      <c r="E902" s="715"/>
      <c r="F902" s="715"/>
      <c r="H902" s="783" t="str">
        <f>IF('2NGeb'!N14="","",'2NGeb'!N14)</f>
        <v>Länge</v>
      </c>
      <c r="I902" s="717" t="str">
        <f>IF(T902="","Fehlt",IF(OR(P899&lt;&gt;T899,P901&lt;&gt;T901),"Falsch",IF(AND(P902="",T902=""),"",IF(AND(T902&lt;&gt;T900,T902&lt;&gt;T898,OR(T902=P898,T902=P900,T902=P902)),"Richtig!","Falsch"))))</f>
        <v>Richtig!</v>
      </c>
      <c r="J902" s="718">
        <f>IF(OR(N902&lt;&gt;"x",AND(P902="",T902="")),"-",IF(I902="Richtig!",0.2,IF(I902="Formel: OK",0.1,IF(OR(I902="Falsch",I902="Fehlt"),0,""))))</f>
        <v>0.2</v>
      </c>
      <c r="K902" s="711" t="s">
        <v>441</v>
      </c>
      <c r="L902" s="712">
        <f>IF(OR(N902&lt;&gt;"x",AND(P902="",T902="")),"-",0.2)</f>
        <v>0.2</v>
      </c>
      <c r="N902" s="719" t="str">
        <f t="shared" si="196"/>
        <v>x</v>
      </c>
      <c r="P902" s="714" t="str">
        <f t="shared" si="178"/>
        <v>Höhe</v>
      </c>
      <c r="Q902" s="715"/>
      <c r="R902" s="715" t="str">
        <f t="shared" si="178"/>
        <v/>
      </c>
      <c r="T902" s="783" t="str">
        <f t="shared" si="178"/>
        <v>Länge</v>
      </c>
    </row>
    <row r="903" spans="2:20" ht="12.75" customHeight="1" x14ac:dyDescent="0.2">
      <c r="B903" s="785" t="str">
        <f>'[1]E-2NGeb'!P17&amp;" "&amp;'[1]E-2NGeb'!B17</f>
        <v>Ergebnis Kubatur</v>
      </c>
      <c r="C903" s="731" t="str">
        <f>IF('[1]E-2NGeb'!$C$14="","",'[1]E-2NGeb'!$C$14)</f>
        <v>St</v>
      </c>
      <c r="D903" s="714">
        <f>IF('[1]E-2NGeb'!F17="","",'[1]E-2NGeb'!F17)</f>
        <v>1440</v>
      </c>
      <c r="E903" s="715"/>
      <c r="F903" s="715"/>
      <c r="H903" s="783">
        <f>IF('2NGeb'!F17="","",'2NGeb'!F17)</f>
        <v>1440</v>
      </c>
      <c r="I903" s="717" t="str">
        <f>IF(AND(P903="",T903=""),"",IF(T903=P903,"Richtig!",IF(T903="","Fehlt","Falsch")))</f>
        <v>Richtig!</v>
      </c>
      <c r="J903" s="718">
        <f>IF(OR($N903&lt;&gt;"x",AND(P903="",T903="")),"-",IF(I903="Richtig!",1,IF(I903="Formel: OK",0.5,IF(OR(I903="Falsch",I903="Fehlt"),0,""))))</f>
        <v>1</v>
      </c>
      <c r="K903" s="711" t="s">
        <v>441</v>
      </c>
      <c r="L903" s="712">
        <f>IF(OR($N903&lt;&gt;"x",AND(P903="",T903="")),"-",1)</f>
        <v>1</v>
      </c>
      <c r="N903" s="719" t="str">
        <f t="shared" si="196"/>
        <v>x</v>
      </c>
      <c r="P903" s="714">
        <f t="shared" si="178"/>
        <v>1440</v>
      </c>
      <c r="Q903" s="715"/>
      <c r="R903" s="715" t="str">
        <f t="shared" si="178"/>
        <v/>
      </c>
      <c r="T903" s="783">
        <f t="shared" si="178"/>
        <v>1440</v>
      </c>
    </row>
    <row r="904" spans="2:20" ht="12.75" customHeight="1" x14ac:dyDescent="0.2">
      <c r="B904" s="782" t="str">
        <f>'[1]E-2NGeb'!P14&amp;" "&amp;'[1]E-2NGeb'!B21</f>
        <v>Formel Alter</v>
      </c>
      <c r="C904" s="731"/>
      <c r="D904" s="708"/>
      <c r="H904" s="691"/>
      <c r="I904" s="717" t="str">
        <f>IF(AND(P904="",T904=""),"",IF(T904=P904,"Richtig!",IF(T904="","Fehlt","Falsch")))</f>
        <v/>
      </c>
      <c r="J904" s="5" t="str">
        <f>IF(AND(P904="",T904=""),"",IF(I904="Richtig!",1,IF(I904="Formel: OK",0.5,IF(OR(I904="Falsch",I904="Fehlt"),0,""))))</f>
        <v/>
      </c>
      <c r="K904" s="711"/>
      <c r="L904" s="712" t="str">
        <f>IF(AND(P904="",T904=""),"",1)</f>
        <v/>
      </c>
      <c r="N904" s="695" t="str">
        <f t="shared" si="196"/>
        <v>x</v>
      </c>
      <c r="P904" s="708" t="str">
        <f t="shared" si="178"/>
        <v/>
      </c>
      <c r="R904" s="1" t="str">
        <f t="shared" si="178"/>
        <v/>
      </c>
      <c r="T904" s="691" t="str">
        <f t="shared" si="178"/>
        <v/>
      </c>
    </row>
    <row r="905" spans="2:20" ht="12.75" customHeight="1" x14ac:dyDescent="0.2">
      <c r="B905" s="2" t="s">
        <v>443</v>
      </c>
      <c r="C905" s="731" t="str">
        <f>IF('[1]E-2NGeb'!$C$14="","",'[1]E-2NGeb'!$C$14)</f>
        <v>St</v>
      </c>
      <c r="D905" s="714" t="str">
        <f>IF('[1]E-2NGeb'!F21="","",'[1]E-2NGeb'!F21)</f>
        <v>akt. Jahr</v>
      </c>
      <c r="E905" s="715"/>
      <c r="F905" s="715"/>
      <c r="H905" s="783" t="str">
        <f>IF('2NGeb'!F21="","",'2NGeb'!F21)</f>
        <v>akt. Jahr</v>
      </c>
      <c r="I905" s="717" t="str">
        <f>IF(T905="","Fehlt",IF(P906&lt;&gt;T906,"Falsch",IF(AND(P905="",T905=""),"",IF(T905=P905,"Richtig!","Falsch"))))</f>
        <v>Richtig!</v>
      </c>
      <c r="J905" s="786">
        <f>IF(OR(N905&lt;&gt;"x",AND(P905="",T905="")),"-",IF(I905="Richtig!",1/3,IF(I905="Formel: OK",1/6,IF(OR(I905="Falsch",I905="Fehlt"),0,""))))</f>
        <v>0.33333333333333331</v>
      </c>
      <c r="K905" s="711" t="s">
        <v>441</v>
      </c>
      <c r="L905" s="787">
        <f>IF(OR(N905&lt;&gt;"x",AND(P905="",T905="")),"-",1/3)</f>
        <v>0.33333333333333331</v>
      </c>
      <c r="N905" s="719" t="str">
        <f t="shared" si="196"/>
        <v>x</v>
      </c>
      <c r="P905" s="714" t="str">
        <f t="shared" si="178"/>
        <v>akt. Jahr</v>
      </c>
      <c r="Q905" s="715"/>
      <c r="R905" s="715" t="str">
        <f t="shared" si="178"/>
        <v/>
      </c>
      <c r="T905" s="783" t="str">
        <f t="shared" si="178"/>
        <v>akt. Jahr</v>
      </c>
    </row>
    <row r="906" spans="2:20" ht="12.75" customHeight="1" x14ac:dyDescent="0.2">
      <c r="B906" s="713" t="s">
        <v>444</v>
      </c>
      <c r="C906" s="731" t="str">
        <f>IF('[1]E-2NGeb'!$C$14="","",'[1]E-2NGeb'!$C$14)</f>
        <v>St</v>
      </c>
      <c r="D906" s="714" t="str">
        <f>IF('[1]E-2NGeb'!H21="","",'[1]E-2NGeb'!H21)</f>
        <v>-</v>
      </c>
      <c r="E906" s="715"/>
      <c r="F906" s="715"/>
      <c r="H906" s="783" t="str">
        <f>IF('2NGeb'!H21="","",'2NGeb'!H21)</f>
        <v>-</v>
      </c>
      <c r="I906" s="717" t="str">
        <f>IF(AND(P906="",T906=""),"",IF(T906=P906,"Richtig!",IF(T906="","Fehlt","Falsch")))</f>
        <v>Richtig!</v>
      </c>
      <c r="J906" s="786">
        <f>IF(OR(N906&lt;&gt;"x",AND(P906="",T906="")),"-",IF(I906="Richtig!",1/3,IF(I906="Formel: OK",1/6,IF(OR(I906="Falsch",I906="Fehlt"),0,""))))</f>
        <v>0.33333333333333331</v>
      </c>
      <c r="K906" s="711" t="s">
        <v>441</v>
      </c>
      <c r="L906" s="787">
        <f>IF(OR(N906&lt;&gt;"x",AND(P906="",T906="")),"-",1/3)</f>
        <v>0.33333333333333331</v>
      </c>
      <c r="N906" s="719" t="str">
        <f t="shared" si="196"/>
        <v>x</v>
      </c>
      <c r="P906" s="714" t="str">
        <f t="shared" si="178"/>
        <v>-</v>
      </c>
      <c r="Q906" s="715"/>
      <c r="R906" s="715" t="str">
        <f t="shared" si="178"/>
        <v/>
      </c>
      <c r="T906" s="783" t="str">
        <f t="shared" si="178"/>
        <v>-</v>
      </c>
    </row>
    <row r="907" spans="2:20" ht="12.75" customHeight="1" x14ac:dyDescent="0.2">
      <c r="B907" s="2" t="s">
        <v>445</v>
      </c>
      <c r="C907" s="731" t="str">
        <f>IF('[1]E-2NGeb'!$C$14="","",'[1]E-2NGeb'!$C$14)</f>
        <v>St</v>
      </c>
      <c r="D907" s="714" t="str">
        <f>IF('[1]E-2NGeb'!J21="","",'[1]E-2NGeb'!J21)</f>
        <v>AJ</v>
      </c>
      <c r="E907" s="715"/>
      <c r="F907" s="715"/>
      <c r="H907" s="783" t="str">
        <f>IF('2NGeb'!J21="","",'2NGeb'!J21)</f>
        <v>AJ</v>
      </c>
      <c r="I907" s="717" t="str">
        <f>IF(T907="","Fehlt",IF(P906&lt;&gt;T906,"Falsch",IF(AND(P907="",T907=""),"",IF(T907=P907,"Richtig!","Falsch"))))</f>
        <v>Richtig!</v>
      </c>
      <c r="J907" s="786">
        <f>IF(OR(N907&lt;&gt;"x",AND(P907="",T907="")),"-",IF(I907="Richtig!",1/3,IF(I907="Formel: OK",1/6,IF(OR(I907="Falsch",I907="Fehlt"),0,""))))</f>
        <v>0.33333333333333331</v>
      </c>
      <c r="K907" s="711" t="s">
        <v>441</v>
      </c>
      <c r="L907" s="787">
        <f>IF(OR(N907&lt;&gt;"x",AND(P907="",T907="")),"-",1/3)</f>
        <v>0.33333333333333331</v>
      </c>
      <c r="N907" s="719" t="str">
        <f t="shared" si="196"/>
        <v>x</v>
      </c>
      <c r="P907" s="714" t="str">
        <f t="shared" ref="P907:T958" si="197">IF(ISTEXT(D907),D907,IF(D907="","",ROUND(D907,$R$1)))</f>
        <v>AJ</v>
      </c>
      <c r="Q907" s="715"/>
      <c r="R907" s="715" t="str">
        <f t="shared" si="197"/>
        <v/>
      </c>
      <c r="T907" s="783" t="str">
        <f t="shared" si="197"/>
        <v>AJ</v>
      </c>
    </row>
    <row r="908" spans="2:20" ht="12.75" customHeight="1" x14ac:dyDescent="0.2">
      <c r="B908" s="785" t="str">
        <f>'[1]E-2NGeb'!P17&amp;" "&amp;'[1]E-2NGeb'!B24</f>
        <v>Ergebnis Alter</v>
      </c>
      <c r="C908" s="731" t="str">
        <f>IF('[1]E-2NGeb'!$C$14="","",'[1]E-2NGeb'!$C$14)</f>
        <v>St</v>
      </c>
      <c r="D908" s="714">
        <f>IF('[1]E-2NGeb'!F24="","",'[1]E-2NGeb'!F24)</f>
        <v>27</v>
      </c>
      <c r="E908" s="715"/>
      <c r="F908" s="715"/>
      <c r="H908" s="783">
        <f>IF('2NGeb'!F24="","",'2NGeb'!F24)</f>
        <v>27</v>
      </c>
      <c r="I908" s="717" t="str">
        <f>IF(AND(P908="",T908=""),"",IF(T908=P908,"Richtig!",IF(T908="","Fehlt","Falsch")))</f>
        <v>Richtig!</v>
      </c>
      <c r="J908" s="718">
        <f>IF(OR($N908&lt;&gt;"x",AND(P908="",T908="")),"-",IF(I908="Richtig!",1,IF(I908="Formel: OK",0.5,IF(OR(I908="Falsch",I908="Fehlt"),0,""))))</f>
        <v>1</v>
      </c>
      <c r="K908" s="711" t="s">
        <v>441</v>
      </c>
      <c r="L908" s="712">
        <f>IF(OR($N908&lt;&gt;"x",AND(P908="",T908="")),"-",1)</f>
        <v>1</v>
      </c>
      <c r="N908" s="719" t="str">
        <f t="shared" si="196"/>
        <v>x</v>
      </c>
      <c r="P908" s="714">
        <f t="shared" si="197"/>
        <v>27</v>
      </c>
      <c r="Q908" s="715"/>
      <c r="R908" s="715" t="str">
        <f t="shared" si="197"/>
        <v/>
      </c>
      <c r="T908" s="783">
        <f t="shared" si="197"/>
        <v>27</v>
      </c>
    </row>
    <row r="909" spans="2:20" ht="12.75" customHeight="1" x14ac:dyDescent="0.2">
      <c r="B909" s="782" t="str">
        <f>"Vergleich - Nutzungsdauer und "&amp;'[1]E-2NGeb'!B24</f>
        <v>Vergleich - Nutzungsdauer und Alter</v>
      </c>
      <c r="C909" s="731"/>
      <c r="D909" s="708"/>
      <c r="H909" s="691"/>
      <c r="I909" s="717"/>
      <c r="J909" s="5"/>
      <c r="K909" s="711"/>
      <c r="L909" s="712" t="str">
        <f>IF(AND(P909="",T909=""),"",1)</f>
        <v/>
      </c>
      <c r="N909" s="695" t="str">
        <f t="shared" si="196"/>
        <v>x</v>
      </c>
      <c r="P909" s="708" t="str">
        <f t="shared" si="197"/>
        <v/>
      </c>
      <c r="R909" s="1" t="str">
        <f t="shared" si="197"/>
        <v/>
      </c>
      <c r="T909" s="691" t="str">
        <f t="shared" si="197"/>
        <v/>
      </c>
    </row>
    <row r="910" spans="2:20" ht="12.75" customHeight="1" x14ac:dyDescent="0.2">
      <c r="B910" s="713" t="str">
        <f>IF('[1]E-2NGeb'!N24="","-",'[1]E-2NGeb'!N24)</f>
        <v>≤ 1/4 Nutzungsdauer</v>
      </c>
      <c r="C910" s="731" t="str">
        <f>IF('[1]E-2NGeb'!$C$14="","",'[1]E-2NGeb'!$C$14)</f>
        <v>St</v>
      </c>
      <c r="D910" s="720" t="str">
        <f>IF(AND('[1]E-2NGeb'!L24="",'[1]E-2NGeb'!L26="",'[1]E-2NGeb'!L28=""),"-",IF('[1]E-2NGeb'!L24="","",'[1]E-2NGeb'!L24))</f>
        <v/>
      </c>
      <c r="E910" s="715"/>
      <c r="F910" s="721" t="str">
        <f>IF(AND(H910="",H911="",H912=""),"-",IF(D908&lt;='2NGeb'!B7/4,"x",""))</f>
        <v/>
      </c>
      <c r="H910" s="784" t="str">
        <f>IF(AND('2NGeb'!L24="",'2NGeb'!L26="",'2NGeb'!L28=""),"",IF('2NGeb'!L24="","",'2NGeb'!L24))</f>
        <v/>
      </c>
      <c r="I910" s="717" t="str">
        <f>IF(AND(T910=P910,P911=T911,P912=T912),"Richtig!",IF(AND(AND(P910&lt;&gt;T910,R910=T910),AND(P911&lt;&gt;T911,R911=T911),AND(P912&lt;&gt;T912,R912=T912)),"Formel: OK",IF(AND(T910="",T911="",T912=""),"Fehlt","Falsch")))</f>
        <v>Richtig!</v>
      </c>
      <c r="J910" s="718">
        <f>IF(OR(N910&lt;&gt;"x",B910="-"),"-",IF(I910="Richtig!",1,IF(I910="Formel: OK",0.5,IF(OR(I910="Falsch",I910="Fehlt"),0,""))))</f>
        <v>1</v>
      </c>
      <c r="K910" s="711" t="s">
        <v>441</v>
      </c>
      <c r="L910" s="712">
        <f>IF(OR(N910&lt;&gt;"x",AND(P910="",T910="",P911="",T911="",P912="",T912="")),"-",1)</f>
        <v>1</v>
      </c>
      <c r="N910" s="719" t="str">
        <f t="shared" si="196"/>
        <v>x</v>
      </c>
      <c r="P910" s="720" t="str">
        <f t="shared" si="197"/>
        <v/>
      </c>
      <c r="Q910" s="715"/>
      <c r="R910" s="721" t="str">
        <f t="shared" si="197"/>
        <v/>
      </c>
      <c r="T910" s="784" t="str">
        <f t="shared" si="197"/>
        <v/>
      </c>
    </row>
    <row r="911" spans="2:20" ht="12.75" customHeight="1" x14ac:dyDescent="0.2">
      <c r="B911" s="713" t="str">
        <f>IF('[1]E-2NGeb'!N26="","-",'[1]E-2NGeb'!N26)</f>
        <v>&gt; 1/4 und &lt;1/2 Nutzungsdauer</v>
      </c>
      <c r="C911" s="731" t="str">
        <f>IF('[1]E-2NGeb'!$C$14="","",'[1]E-2NGeb'!$C$14)</f>
        <v>St</v>
      </c>
      <c r="D911" s="720" t="str">
        <f>IF(AND('[1]E-2NGeb'!L24="",'[1]E-2NGeb'!L26="",'[1]E-2NGeb'!L28=""),"-",IF('[1]E-2NGeb'!L26="","",'[1]E-2NGeb'!L26))</f>
        <v/>
      </c>
      <c r="E911" s="715"/>
      <c r="F911" s="721" t="str">
        <f>IF(AND(H910="",H911="",H912=""),"-",IF(AND(D908&gt;'2NGeb'!B7/4,D908&lt;'2NGeb'!B7/2),"x",""))</f>
        <v/>
      </c>
      <c r="H911" s="784" t="str">
        <f>IF(AND('2NGeb'!L24="",'2NGeb'!L26="",'2NGeb'!L28=""),"",IF('2NGeb'!L26="","",'2NGeb'!L26))</f>
        <v/>
      </c>
      <c r="I911" s="717"/>
      <c r="J911" s="5"/>
      <c r="K911" s="711"/>
      <c r="L911" s="712"/>
      <c r="P911" s="720" t="str">
        <f t="shared" si="197"/>
        <v/>
      </c>
      <c r="Q911" s="715"/>
      <c r="R911" s="721" t="str">
        <f t="shared" si="197"/>
        <v/>
      </c>
      <c r="T911" s="784" t="str">
        <f t="shared" si="197"/>
        <v/>
      </c>
    </row>
    <row r="912" spans="2:20" ht="12.75" customHeight="1" x14ac:dyDescent="0.2">
      <c r="B912" s="713" t="str">
        <f>IF('[1]E-2NGeb'!N28="","-",'[1]E-2NGeb'!N28)</f>
        <v>≥ 1/2 Nutzungsdauer</v>
      </c>
      <c r="C912" s="731" t="str">
        <f>IF('[1]E-2NGeb'!$C$14="","",'[1]E-2NGeb'!$C$14)</f>
        <v>St</v>
      </c>
      <c r="D912" s="720" t="str">
        <f>IF(AND('[1]E-2NGeb'!L24="",'[1]E-2NGeb'!L26="",'[1]E-2NGeb'!L28=""),"-",IF('[1]E-2NGeb'!L28="","",'[1]E-2NGeb'!L28))</f>
        <v>x</v>
      </c>
      <c r="E912" s="715"/>
      <c r="F912" s="721" t="str">
        <f>IF(AND(H910="",H911="",H912=""),"-",IF(D908&gt;='2NGeb'!B7/24,"x",""))</f>
        <v>x</v>
      </c>
      <c r="H912" s="784" t="str">
        <f>IF(AND('2NGeb'!L24="",'2NGeb'!L26="",'2NGeb'!L28=""),"",IF('2NGeb'!L28="","",'2NGeb'!L28))</f>
        <v>x</v>
      </c>
      <c r="I912" s="717"/>
      <c r="J912" s="5"/>
      <c r="K912" s="711"/>
      <c r="L912" s="712"/>
      <c r="P912" s="720" t="str">
        <f t="shared" si="197"/>
        <v>x</v>
      </c>
      <c r="Q912" s="715"/>
      <c r="R912" s="721" t="str">
        <f t="shared" si="197"/>
        <v>x</v>
      </c>
      <c r="T912" s="784" t="str">
        <f t="shared" si="197"/>
        <v>x</v>
      </c>
    </row>
    <row r="913" spans="1:20" ht="12.75" x14ac:dyDescent="0.2">
      <c r="A913" s="707"/>
      <c r="B913" s="707"/>
      <c r="C913" s="707"/>
      <c r="D913" s="708"/>
      <c r="H913" s="691"/>
      <c r="I913" s="710"/>
      <c r="J913" s="5"/>
      <c r="K913" s="711"/>
      <c r="L913" s="712"/>
      <c r="N913" s="725" t="str">
        <f t="shared" ref="N913:N918" si="198">IF($L$1="","",$L$1)</f>
        <v>x</v>
      </c>
      <c r="P913" s="708" t="str">
        <f t="shared" si="197"/>
        <v/>
      </c>
      <c r="R913" s="1" t="str">
        <f t="shared" si="197"/>
        <v/>
      </c>
      <c r="T913" s="691" t="str">
        <f t="shared" si="197"/>
        <v/>
      </c>
    </row>
    <row r="914" spans="1:20" ht="12.75" customHeight="1" x14ac:dyDescent="0.2">
      <c r="A914" s="706" t="s">
        <v>368</v>
      </c>
      <c r="B914" s="706" t="str">
        <f>IF('[1]E-2NGeb'!A32="","-",'[1]E-2NGeb'!A32)</f>
        <v>Eingebaute(r) Rinderstall (Warmstall)</v>
      </c>
      <c r="C914" s="707"/>
      <c r="D914" s="708"/>
      <c r="H914" s="691"/>
      <c r="I914" s="710"/>
      <c r="J914" s="5"/>
      <c r="K914" s="711"/>
      <c r="L914" s="712"/>
      <c r="N914" s="695" t="str">
        <f t="shared" si="198"/>
        <v>x</v>
      </c>
      <c r="P914" s="708" t="str">
        <f t="shared" si="197"/>
        <v/>
      </c>
      <c r="R914" s="1" t="str">
        <f t="shared" si="197"/>
        <v/>
      </c>
      <c r="T914" s="691" t="str">
        <f t="shared" si="197"/>
        <v/>
      </c>
    </row>
    <row r="915" spans="1:20" ht="12.75" x14ac:dyDescent="0.2">
      <c r="B915" s="785" t="str">
        <f>'[1]E-2NGeb'!P17&amp;" "&amp;'[1]E-2NGeb'!B34</f>
        <v>Ergebnis Kubatur</v>
      </c>
      <c r="C915" s="731" t="str">
        <f>IF('[1]E-2NGeb'!$C$34="","",'[1]E-2NGeb'!$C$34)</f>
        <v>Ri</v>
      </c>
      <c r="D915" s="714">
        <f>IF('[1]E-2NGeb'!F34="","",'[1]E-2NGeb'!F34)</f>
        <v>768</v>
      </c>
      <c r="E915" s="715"/>
      <c r="F915" s="715"/>
      <c r="H915" s="783">
        <f>IF('2NGeb'!F34="","",'2NGeb'!F34)</f>
        <v>768</v>
      </c>
      <c r="I915" s="717" t="str">
        <f>IF(AND(P915="",T915=""),"",IF(T915=P915,"Richtig!",IF(T915="","Fehlt","Falsch")))</f>
        <v>Richtig!</v>
      </c>
      <c r="J915" s="718">
        <f>IF(OR($N915&lt;&gt;"x",AND(P915="",T915="")),"-",IF(I915="Richtig!",1,IF(I915="Formel: OK",0.5,IF(OR(I915="Falsch",I915="Fehlt"),0,""))))</f>
        <v>1</v>
      </c>
      <c r="K915" s="711" t="s">
        <v>441</v>
      </c>
      <c r="L915" s="712">
        <f>IF(OR($N915&lt;&gt;"x",AND(P915="",T915="")),"-",1)</f>
        <v>1</v>
      </c>
      <c r="N915" s="719" t="str">
        <f t="shared" si="198"/>
        <v>x</v>
      </c>
      <c r="P915" s="714">
        <f t="shared" si="197"/>
        <v>768</v>
      </c>
      <c r="Q915" s="715"/>
      <c r="R915" s="715" t="str">
        <f t="shared" si="197"/>
        <v/>
      </c>
      <c r="T915" s="783">
        <f t="shared" si="197"/>
        <v>768</v>
      </c>
    </row>
    <row r="916" spans="1:20" ht="12.75" x14ac:dyDescent="0.2">
      <c r="B916" s="785" t="str">
        <f>'[1]E-2NGeb'!P17&amp;" "&amp;'[1]E-2NGeb'!B37</f>
        <v>Ergebnis Alter</v>
      </c>
      <c r="C916" s="731" t="str">
        <f>IF('[1]E-2NGeb'!$C$34="","",'[1]E-2NGeb'!$C$34)</f>
        <v>Ri</v>
      </c>
      <c r="D916" s="714">
        <f>IF('[1]E-2NGeb'!F37="","",'[1]E-2NGeb'!F37)</f>
        <v>16</v>
      </c>
      <c r="E916" s="715"/>
      <c r="F916" s="715"/>
      <c r="H916" s="783">
        <f>IF('2NGeb'!F37="","",'2NGeb'!F37)</f>
        <v>16</v>
      </c>
      <c r="I916" s="717" t="str">
        <f>IF(AND(P916="",T916=""),"",IF(T916=P916,"Richtig!",IF(T916="","Fehlt","Falsch")))</f>
        <v>Richtig!</v>
      </c>
      <c r="J916" s="718">
        <f>IF(OR($N916&lt;&gt;"x",AND(P916="",T916="")),"-",IF(I916="Richtig!",1,IF(I916="Formel: OK",0.5,IF(OR(I916="Falsch",I916="Fehlt"),0,""))))</f>
        <v>1</v>
      </c>
      <c r="K916" s="711" t="s">
        <v>441</v>
      </c>
      <c r="L916" s="712">
        <f>IF(OR($N916&lt;&gt;"x",AND(P916="",T916="")),"-",1)</f>
        <v>1</v>
      </c>
      <c r="N916" s="719" t="str">
        <f t="shared" si="198"/>
        <v>x</v>
      </c>
      <c r="P916" s="714">
        <f t="shared" si="197"/>
        <v>16</v>
      </c>
      <c r="Q916" s="715"/>
      <c r="R916" s="715" t="str">
        <f t="shared" si="197"/>
        <v/>
      </c>
      <c r="T916" s="783">
        <f t="shared" si="197"/>
        <v>16</v>
      </c>
    </row>
    <row r="917" spans="1:20" ht="12.75" customHeight="1" x14ac:dyDescent="0.2">
      <c r="B917" s="782" t="str">
        <f>"Vergleich - Nutzungsdauer und "&amp;'[1]E-2NGeb'!B24</f>
        <v>Vergleich - Nutzungsdauer und Alter</v>
      </c>
      <c r="C917" s="731"/>
      <c r="D917" s="708"/>
      <c r="H917" s="691"/>
      <c r="I917" s="717"/>
      <c r="J917" s="5"/>
      <c r="K917" s="711"/>
      <c r="L917" s="712"/>
      <c r="N917" s="695" t="str">
        <f t="shared" si="198"/>
        <v>x</v>
      </c>
      <c r="P917" s="708" t="str">
        <f t="shared" si="197"/>
        <v/>
      </c>
      <c r="R917" s="1" t="str">
        <f t="shared" si="197"/>
        <v/>
      </c>
      <c r="T917" s="691" t="str">
        <f t="shared" si="197"/>
        <v/>
      </c>
    </row>
    <row r="918" spans="1:20" ht="12.75" x14ac:dyDescent="0.2">
      <c r="B918" s="713" t="str">
        <f>IF('[1]E-2NGeb'!N37="","-",'[1]E-2NGeb'!N37)</f>
        <v>≤ 1/4 Nutzungsdauer</v>
      </c>
      <c r="C918" s="731" t="str">
        <f>IF('[1]E-2NGeb'!$C$34="","",'[1]E-2NGeb'!$C$34)</f>
        <v>Ri</v>
      </c>
      <c r="D918" s="720" t="str">
        <f>IF(AND('[1]E-2NGeb'!L37="",'[1]E-2NGeb'!L39="",'[1]E-2NGeb'!L41=""),"-",IF('[1]E-2NGeb'!L37="","",'[1]E-2NGeb'!L37))</f>
        <v/>
      </c>
      <c r="E918" s="715"/>
      <c r="F918" s="721" t="str">
        <f>IF(AND(H918="",H919="",H920=""),"-",IF(D916&lt;='2NGeb'!B7/4,"x",""))</f>
        <v/>
      </c>
      <c r="H918" s="784" t="str">
        <f>IF(AND('2NGeb'!L37="",'2NGeb'!L39="",'2NGeb'!L41=""),"",IF('2NGeb'!L37="","",'2NGeb'!L37))</f>
        <v/>
      </c>
      <c r="I918" s="717" t="str">
        <f>IF(AND(T918=P918,P919=T919,P920=T920),"Richtig!",IF(AND(AND(P918&lt;&gt;T918,R918=T918),AND(P919&lt;&gt;T919,R919=T919),AND(P920&lt;&gt;T920,R920=T920)),"Formel: OK",IF(AND(T918="",T919="",T920=""),"Fehlt","Falsch")))</f>
        <v>Richtig!</v>
      </c>
      <c r="J918" s="718">
        <f>IF(OR(N918&lt;&gt;"x",B918="-"),"-",IF(I918="Richtig!",1,IF(I918="Formel: OK",0.5,IF(OR(I918="Falsch",I918="Fehlt"),0,""))))</f>
        <v>1</v>
      </c>
      <c r="K918" s="711" t="s">
        <v>441</v>
      </c>
      <c r="L918" s="712">
        <f>IF(OR(N918&lt;&gt;"x",AND(P918="",T918="",P919="",T919="",P920="",T920="")),"-",1)</f>
        <v>1</v>
      </c>
      <c r="N918" s="719" t="str">
        <f t="shared" si="198"/>
        <v>x</v>
      </c>
      <c r="P918" s="720" t="str">
        <f t="shared" si="197"/>
        <v/>
      </c>
      <c r="Q918" s="715"/>
      <c r="R918" s="721" t="str">
        <f t="shared" si="197"/>
        <v/>
      </c>
      <c r="T918" s="784" t="str">
        <f t="shared" si="197"/>
        <v/>
      </c>
    </row>
    <row r="919" spans="1:20" ht="12.75" x14ac:dyDescent="0.2">
      <c r="A919" s="707"/>
      <c r="B919" s="713" t="str">
        <f>IF('[1]E-2NGeb'!N39="","-",'[1]E-2NGeb'!N39)</f>
        <v>&gt; 1/4 und &lt;1/2 Nutzungsdauer</v>
      </c>
      <c r="C919" s="731" t="str">
        <f>IF('[1]E-2NGeb'!$C$34="","",'[1]E-2NGeb'!$C$34)</f>
        <v>Ri</v>
      </c>
      <c r="D919" s="720" t="str">
        <f>IF(AND('[1]E-2NGeb'!L37="",'[1]E-2NGeb'!L39="",'[1]E-2NGeb'!L41=""),"-",IF('[1]E-2NGeb'!L39="","",'[1]E-2NGeb'!L39))</f>
        <v>x</v>
      </c>
      <c r="E919" s="715"/>
      <c r="F919" s="721" t="str">
        <f>IF(AND(H918="",H919="",H920=""),"-",IF(AND(D916&gt;'2NGeb'!B7/4,D916&lt;'2NGeb'!B7/2),"x",""))</f>
        <v>x</v>
      </c>
      <c r="H919" s="784" t="str">
        <f>IF(AND('2NGeb'!L37="",'2NGeb'!L39="",'2NGeb'!L41=""),"",IF('2NGeb'!L39="","",'2NGeb'!L39))</f>
        <v>x</v>
      </c>
      <c r="I919" s="717"/>
      <c r="J919" s="5"/>
      <c r="K919" s="711"/>
      <c r="L919" s="712"/>
      <c r="P919" s="720" t="str">
        <f t="shared" si="197"/>
        <v>x</v>
      </c>
      <c r="Q919" s="715"/>
      <c r="R919" s="721" t="str">
        <f t="shared" si="197"/>
        <v>x</v>
      </c>
      <c r="T919" s="784" t="str">
        <f t="shared" si="197"/>
        <v>x</v>
      </c>
    </row>
    <row r="920" spans="1:20" ht="12.75" x14ac:dyDescent="0.2">
      <c r="A920" s="707"/>
      <c r="B920" s="713" t="str">
        <f>IF('[1]E-2NGeb'!N41="","-",'[1]E-2NGeb'!N41)</f>
        <v>≥ 1/2 Nutzungsdauer</v>
      </c>
      <c r="C920" s="731" t="str">
        <f>IF('[1]E-2NGeb'!$C$34="","",'[1]E-2NGeb'!$C$34)</f>
        <v>Ri</v>
      </c>
      <c r="D920" s="720" t="str">
        <f>IF(AND('[1]E-2NGeb'!L37="",'[1]E-2NGeb'!L39="",'[1]E-2NGeb'!L41=""),"-",IF('[1]E-2NGeb'!L41="","",'[1]E-2NGeb'!L41))</f>
        <v/>
      </c>
      <c r="E920" s="715"/>
      <c r="F920" s="721" t="str">
        <f>IF(AND(H918="",H919="",H920=""),"-",IF(D916&gt;='2NGeb'!B7/2,"x",""))</f>
        <v/>
      </c>
      <c r="H920" s="784" t="str">
        <f>IF(AND('2NGeb'!L37="",'2NGeb'!L39="",'2NGeb'!L41=""),"",IF('2NGeb'!L41="","",'2NGeb'!L41))</f>
        <v/>
      </c>
      <c r="I920" s="717"/>
      <c r="J920" s="5"/>
      <c r="K920" s="711"/>
      <c r="L920" s="712"/>
      <c r="P920" s="720" t="str">
        <f t="shared" si="197"/>
        <v/>
      </c>
      <c r="Q920" s="715"/>
      <c r="R920" s="721" t="str">
        <f t="shared" si="197"/>
        <v/>
      </c>
      <c r="T920" s="784" t="str">
        <f t="shared" si="197"/>
        <v/>
      </c>
    </row>
    <row r="921" spans="1:20" ht="12.75" x14ac:dyDescent="0.2">
      <c r="A921" s="707"/>
      <c r="B921" s="2" t="s">
        <v>448</v>
      </c>
      <c r="C921" s="731" t="str">
        <f>IF('[1]E-2NGeb'!$C$34="","",'[1]E-2NGeb'!$C$34)</f>
        <v>Ri</v>
      </c>
      <c r="D921" s="720">
        <f>IF('[1]E-2NGeb'!N45="","",'[1]E-2NGeb'!N45)</f>
        <v>0.8</v>
      </c>
      <c r="E921" s="715"/>
      <c r="F921" s="721">
        <f>IF(H918="x",0.9,IF(H919="x",0.8,IF(H920="x",0.67,"-")))</f>
        <v>0.8</v>
      </c>
      <c r="H921" s="784">
        <f>IF('2NGeb'!N45="","",'2NGeb'!N45)</f>
        <v>0.8</v>
      </c>
      <c r="I921" s="717" t="str">
        <f>IF(AND(P921="",T921=""),"",IF(T921=P921,"Richtig!",IF(T921="","Fehlt","Falsch")))</f>
        <v>Richtig!</v>
      </c>
      <c r="J921" s="718">
        <f>IF(OR($N921&lt;&gt;"x",AND(P921="",T921="")),"-",IF(I921="Richtig!",1,IF(I921="Formel: OK",0.5,IF(OR(I921="Falsch",I921="Fehlt"),0,""))))</f>
        <v>1</v>
      </c>
      <c r="K921" s="711" t="s">
        <v>441</v>
      </c>
      <c r="L921" s="712">
        <f>IF(OR($N921&lt;&gt;"x",AND(P921="",T921="")),"-",1)</f>
        <v>1</v>
      </c>
      <c r="N921" s="719" t="str">
        <f t="shared" ref="N921:N963" si="199">IF($L$1="","",$L$1)</f>
        <v>x</v>
      </c>
      <c r="P921" s="720">
        <f t="shared" si="197"/>
        <v>0.8</v>
      </c>
      <c r="Q921" s="715"/>
      <c r="R921" s="721">
        <f t="shared" si="197"/>
        <v>0.8</v>
      </c>
      <c r="T921" s="784">
        <f t="shared" si="197"/>
        <v>0.8</v>
      </c>
    </row>
    <row r="922" spans="1:20" ht="12.75" customHeight="1" x14ac:dyDescent="0.2">
      <c r="B922" s="782" t="str">
        <f>'[1]E-2NGeb'!P14&amp;" Wiederbeschaffungswert"</f>
        <v>Formel Wiederbeschaffungswert</v>
      </c>
      <c r="C922" s="731"/>
      <c r="D922" s="708"/>
      <c r="H922" s="691"/>
      <c r="I922" s="717" t="str">
        <f>IF(OR(B922="-",AND(P922="",T922="")),"",IF(T922=P922,"Richtig!",IF(T922="","Fehlt","Falsch")))</f>
        <v/>
      </c>
      <c r="J922" s="5" t="str">
        <f>IF(B922="-","",IF(I922="Richtig!",1,IF(I922="Formel: OK",0.5,IF(OR(I922="Falsch",I922="Fehlt"),0,""))))</f>
        <v/>
      </c>
      <c r="K922" s="711"/>
      <c r="L922" s="712" t="str">
        <f>IF(AND(P922="",T922=""),"",1)</f>
        <v/>
      </c>
      <c r="N922" s="695" t="str">
        <f t="shared" si="199"/>
        <v>x</v>
      </c>
      <c r="P922" s="708" t="str">
        <f t="shared" si="197"/>
        <v/>
      </c>
      <c r="R922" s="1" t="str">
        <f t="shared" si="197"/>
        <v/>
      </c>
      <c r="T922" s="691" t="str">
        <f t="shared" si="197"/>
        <v/>
      </c>
    </row>
    <row r="923" spans="1:20" ht="12.75" x14ac:dyDescent="0.2">
      <c r="A923" s="707"/>
      <c r="B923" s="2" t="s">
        <v>443</v>
      </c>
      <c r="C923" s="731" t="str">
        <f>IF('[1]E-2NGeb'!$C$34="","",'[1]E-2NGeb'!$C$34)</f>
        <v>Ri</v>
      </c>
      <c r="D923" s="714" t="str">
        <f>IF('[1]E-2NGeb'!F48="","",'[1]E-2NGeb'!F48)</f>
        <v>Kubatur</v>
      </c>
      <c r="E923" s="715"/>
      <c r="F923" s="715"/>
      <c r="H923" s="783" t="str">
        <f>IF('2NGeb'!F48="","",'2NGeb'!F48)</f>
        <v>Kubatur</v>
      </c>
      <c r="I923" s="717" t="str">
        <f>IF(T923="","Fehlt",IF(OR(P924&lt;&gt;T924),"Falsch",IF(AND(P923="",T923=""),"",IF(AND(T923&lt;&gt;T925,OR(T923=P923,T923=P925)),"Richtig!","Falsch"))))</f>
        <v>Richtig!</v>
      </c>
      <c r="J923" s="786">
        <f>IF(OR(N923&lt;&gt;"x",AND(P923="",T923="")),"-",IF(I923="Richtig!",1/3,IF(I923="Formel: OK",1/6,IF(OR(I923="Falsch",I923="Fehlt"),0,""))))</f>
        <v>0.33333333333333331</v>
      </c>
      <c r="K923" s="711" t="s">
        <v>441</v>
      </c>
      <c r="L923" s="787">
        <f>IF(OR(N923&lt;&gt;"x",AND(P923="",T923="")),"-",1/3)</f>
        <v>0.33333333333333331</v>
      </c>
      <c r="N923" s="719" t="str">
        <f t="shared" si="199"/>
        <v>x</v>
      </c>
      <c r="P923" s="714" t="str">
        <f t="shared" si="197"/>
        <v>Kubatur</v>
      </c>
      <c r="Q923" s="715"/>
      <c r="R923" s="715" t="str">
        <f t="shared" si="197"/>
        <v/>
      </c>
      <c r="T923" s="783" t="str">
        <f t="shared" si="197"/>
        <v>Kubatur</v>
      </c>
    </row>
    <row r="924" spans="1:20" ht="12.75" x14ac:dyDescent="0.2">
      <c r="A924" s="707"/>
      <c r="B924" s="713" t="s">
        <v>444</v>
      </c>
      <c r="C924" s="731" t="str">
        <f>IF('[1]E-2NGeb'!$C$34="","",'[1]E-2NGeb'!$C$34)</f>
        <v>Ri</v>
      </c>
      <c r="D924" s="714" t="str">
        <f>IF('[1]E-2NGeb'!H48="","",'[1]E-2NGeb'!H48)</f>
        <v>x</v>
      </c>
      <c r="E924" s="715"/>
      <c r="F924" s="715"/>
      <c r="H924" s="783" t="str">
        <f>IF('2NGeb'!H48="","",'2NGeb'!H48)</f>
        <v>x</v>
      </c>
      <c r="I924" s="717" t="str">
        <f>IF(AND(P924="",T924=""),"",IF(T924=P924,"Richtig!",IF(T924="","Fehlt","Falsch")))</f>
        <v>Richtig!</v>
      </c>
      <c r="J924" s="786">
        <f>IF(OR(N924&lt;&gt;"x",AND(P924="",T924="")),"-",IF(I924="Richtig!",1/3,IF(I924="Formel: OK",1/6,IF(OR(I924="Falsch",I924="Fehlt"),0,""))))</f>
        <v>0.33333333333333331</v>
      </c>
      <c r="K924" s="711" t="s">
        <v>441</v>
      </c>
      <c r="L924" s="787">
        <f>IF(OR(N924&lt;&gt;"x",AND(P924="",T924="")),"-",1/3)</f>
        <v>0.33333333333333331</v>
      </c>
      <c r="N924" s="719" t="str">
        <f t="shared" si="199"/>
        <v>x</v>
      </c>
      <c r="P924" s="714" t="str">
        <f t="shared" si="197"/>
        <v>x</v>
      </c>
      <c r="Q924" s="715"/>
      <c r="R924" s="715" t="str">
        <f t="shared" si="197"/>
        <v/>
      </c>
      <c r="T924" s="783" t="str">
        <f t="shared" si="197"/>
        <v>x</v>
      </c>
    </row>
    <row r="925" spans="1:20" ht="12.75" x14ac:dyDescent="0.2">
      <c r="A925" s="707"/>
      <c r="B925" s="2" t="s">
        <v>445</v>
      </c>
      <c r="C925" s="731" t="str">
        <f>IF('[1]E-2NGeb'!$C$34="","",'[1]E-2NGeb'!$C$34)</f>
        <v>Ri</v>
      </c>
      <c r="D925" s="714" t="str">
        <f>IF('[1]E-2NGeb'!J48="","",'[1]E-2NGeb'!J48)</f>
        <v>red. BK-Richtsatz</v>
      </c>
      <c r="E925" s="715"/>
      <c r="F925" s="715"/>
      <c r="H925" s="783" t="str">
        <f>IF('2NGeb'!J48="","",'2NGeb'!J48)</f>
        <v>red. BK-Richtsatz</v>
      </c>
      <c r="I925" s="717" t="str">
        <f>IF(T925="","Fehlt",IF(OR(P924&lt;&gt;T924),"Falsch",IF(AND(P925="",T925=""),"",IF(AND(T925&lt;&gt;T923,OR(T925=P923,T925=P925)),"Richtig!","Falsch"))))</f>
        <v>Richtig!</v>
      </c>
      <c r="J925" s="786">
        <f>IF(OR(N925&lt;&gt;"x",AND(P925="",T925="")),"-",IF(I925="Richtig!",1/3,IF(I925="Formel: OK",1/6,IF(OR(I925="Falsch",I925="Fehlt"),0,""))))</f>
        <v>0.33333333333333331</v>
      </c>
      <c r="K925" s="711" t="s">
        <v>441</v>
      </c>
      <c r="L925" s="787">
        <f>IF(OR(N925&lt;&gt;"x",AND(P925="",T925="")),"-",1/3)</f>
        <v>0.33333333333333331</v>
      </c>
      <c r="N925" s="719" t="str">
        <f t="shared" si="199"/>
        <v>x</v>
      </c>
      <c r="P925" s="714" t="str">
        <f t="shared" si="197"/>
        <v>red. BK-Richtsatz</v>
      </c>
      <c r="Q925" s="715"/>
      <c r="R925" s="715" t="str">
        <f t="shared" si="197"/>
        <v/>
      </c>
      <c r="T925" s="783" t="str">
        <f t="shared" si="197"/>
        <v>red. BK-Richtsatz</v>
      </c>
    </row>
    <row r="926" spans="1:20" ht="12.75" x14ac:dyDescent="0.2">
      <c r="A926" s="707"/>
      <c r="B926" s="779" t="str">
        <f>'[1]E-2NGeb'!P17&amp;" Wiederbeschaffungswert"</f>
        <v>Ergebnis Wiederbeschaffungswert</v>
      </c>
      <c r="C926" s="731" t="str">
        <f>IF('[1]E-2NGeb'!$C$34="","",'[1]E-2NGeb'!$C$34)</f>
        <v>Ri</v>
      </c>
      <c r="D926" s="720">
        <f>IF('[1]E-2NGeb'!F51="","",'[1]E-2NGeb'!F51)</f>
        <v>93388.800000000003</v>
      </c>
      <c r="E926" s="715"/>
      <c r="F926" s="721">
        <f>IF(OR(H915="",'2NGeb'!F45=""),"-",H915*'2NGeb'!F45)</f>
        <v>93388.800000000003</v>
      </c>
      <c r="H926" s="784">
        <f>IF('2NGeb'!F51="","",'2NGeb'!F51)</f>
        <v>93388.800000000003</v>
      </c>
      <c r="I926" s="717" t="str">
        <f>IF(AND(P926="",T926=""),"",IF(T926=P926,"Richtig!",IF(T926="","Fehlt","Falsch")))</f>
        <v>Richtig!</v>
      </c>
      <c r="J926" s="718">
        <f>IF(OR($N926&lt;&gt;"x",AND(P926="",T926="")),"-",IF(I926="Richtig!",1,IF(I926="Formel: OK",0.5,IF(OR(I926="Falsch",I926="Fehlt"),0,""))))</f>
        <v>1</v>
      </c>
      <c r="K926" s="711" t="s">
        <v>441</v>
      </c>
      <c r="L926" s="712">
        <f>IF(OR($N926&lt;&gt;"x",AND(P926="",T926="")),"-",1)</f>
        <v>1</v>
      </c>
      <c r="N926" s="719" t="str">
        <f t="shared" si="199"/>
        <v>x</v>
      </c>
      <c r="P926" s="720">
        <f t="shared" si="197"/>
        <v>93388.800000000003</v>
      </c>
      <c r="Q926" s="715"/>
      <c r="R926" s="721">
        <f t="shared" si="197"/>
        <v>93388.800000000003</v>
      </c>
      <c r="T926" s="784">
        <f t="shared" si="197"/>
        <v>93388.800000000003</v>
      </c>
    </row>
    <row r="927" spans="1:20" ht="12.75" x14ac:dyDescent="0.2">
      <c r="A927" s="707"/>
      <c r="B927" s="707"/>
      <c r="C927" s="707"/>
      <c r="D927" s="708"/>
      <c r="H927" s="691"/>
      <c r="I927" s="710"/>
      <c r="J927" s="5"/>
      <c r="K927" s="711"/>
      <c r="L927" s="712" t="str">
        <f>IF(AND(P927="",T927=""),"",1)</f>
        <v/>
      </c>
      <c r="N927" s="725" t="str">
        <f t="shared" si="199"/>
        <v>x</v>
      </c>
      <c r="P927" s="708" t="str">
        <f t="shared" si="197"/>
        <v/>
      </c>
      <c r="R927" s="1" t="str">
        <f t="shared" si="197"/>
        <v/>
      </c>
      <c r="T927" s="691" t="str">
        <f t="shared" si="197"/>
        <v/>
      </c>
    </row>
    <row r="928" spans="1:20" ht="12.75" x14ac:dyDescent="0.2">
      <c r="A928" s="706" t="s">
        <v>370</v>
      </c>
      <c r="B928" s="706" t="str">
        <f>IF('[1]E-2NGeb'!N54="","-",'[1]E-2NGeb'!N54)</f>
        <v>Bergeraum (erdlastig)</v>
      </c>
      <c r="C928" s="707"/>
      <c r="D928" s="708"/>
      <c r="H928" s="691"/>
      <c r="I928" s="710"/>
      <c r="J928" s="5"/>
      <c r="K928" s="711"/>
      <c r="L928" s="712" t="str">
        <f>IF(AND(P928="",T928=""),"",1)</f>
        <v/>
      </c>
      <c r="N928" s="695" t="str">
        <f t="shared" si="199"/>
        <v>x</v>
      </c>
      <c r="P928" s="708" t="str">
        <f t="shared" si="197"/>
        <v/>
      </c>
      <c r="R928" s="1" t="str">
        <f t="shared" si="197"/>
        <v/>
      </c>
      <c r="T928" s="691" t="str">
        <f t="shared" si="197"/>
        <v/>
      </c>
    </row>
    <row r="929" spans="1:20" ht="12.75" x14ac:dyDescent="0.2">
      <c r="A929" s="707"/>
      <c r="B929" s="788" t="str">
        <f>'[1]E-2NGeb'!P14&amp;" "&amp;'[1]E-2NGeb'!R61</f>
        <v>Formel Bergeraum (erdlastig)</v>
      </c>
      <c r="C929" s="731" t="str">
        <f>IF('[1]E-2NGeb'!$R$65="","",'[1]E-2NGeb'!$R$65)</f>
        <v>Be</v>
      </c>
      <c r="D929" s="714" t="str">
        <f>IF('[1]E-2NGeb'!Q58="","",'[1]E-2NGeb'!Q58)</f>
        <v>-</v>
      </c>
      <c r="E929" s="715"/>
      <c r="F929" s="715"/>
      <c r="H929" s="783" t="str">
        <f>IF('2NGeb'!Q58="","",'2NGeb'!Q58)</f>
        <v>-</v>
      </c>
      <c r="I929" s="717" t="str">
        <f>IF(AND(P929="",T929=""),"",IF(T929=P929,"Richtig!",IF(T929="","Fehlt","Falsch")))</f>
        <v>Richtig!</v>
      </c>
      <c r="J929" s="718">
        <f>IF(OR($N929&lt;&gt;"x",AND(P929="",T929="")),"-",IF(I929="Richtig!",1,IF(I929="Formel: OK",0.5,IF(OR(I929="Falsch",I929="Fehlt"),0,""))))</f>
        <v>1</v>
      </c>
      <c r="K929" s="711" t="s">
        <v>441</v>
      </c>
      <c r="L929" s="712">
        <f>IF(OR($N929&lt;&gt;"x",AND(P929="",T929="")),"-",1)</f>
        <v>1</v>
      </c>
      <c r="N929" s="719" t="str">
        <f t="shared" si="199"/>
        <v>x</v>
      </c>
      <c r="P929" s="714" t="str">
        <f t="shared" si="197"/>
        <v>-</v>
      </c>
      <c r="Q929" s="715"/>
      <c r="R929" s="715" t="str">
        <f t="shared" si="197"/>
        <v/>
      </c>
      <c r="T929" s="783" t="str">
        <f t="shared" si="197"/>
        <v>-</v>
      </c>
    </row>
    <row r="930" spans="1:20" ht="12.75" x14ac:dyDescent="0.2">
      <c r="A930" s="707"/>
      <c r="B930" s="2" t="s">
        <v>448</v>
      </c>
      <c r="C930" s="731" t="str">
        <f>IF('[1]E-2NGeb'!$R$65="","",'[1]E-2NGeb'!$R$65)</f>
        <v>Be</v>
      </c>
      <c r="D930" s="720">
        <f>IF('[1]E-2NGeb'!X67="","",'[1]E-2NGeb'!X67)</f>
        <v>0.67</v>
      </c>
      <c r="E930" s="715"/>
      <c r="F930" s="721">
        <f>IF(H910="x",0.9,IF(H911="x",0.8,IF(H912="x",0.67,"-")))</f>
        <v>0.67</v>
      </c>
      <c r="H930" s="784">
        <f>IF('2NGeb'!X67="","",'2NGeb'!X67)</f>
        <v>0.67</v>
      </c>
      <c r="I930" s="717" t="str">
        <f>IF(AND(P930="",T930=""),"",IF(T930=P930,"Richtig!",IF(T930="","Fehlt","Falsch")))</f>
        <v>Richtig!</v>
      </c>
      <c r="J930" s="718">
        <f>IF(OR($N930&lt;&gt;"x",AND(P930="",T930="")),"-",IF(I930="Richtig!",1,IF(I930="Formel: OK",0.5,IF(OR(I930="Falsch",I930="Fehlt"),0,""))))</f>
        <v>1</v>
      </c>
      <c r="K930" s="711" t="s">
        <v>441</v>
      </c>
      <c r="L930" s="712">
        <f>IF(OR($N930&lt;&gt;"x",AND(P930="",T930="")),"-",1)</f>
        <v>1</v>
      </c>
      <c r="N930" s="719" t="str">
        <f t="shared" si="199"/>
        <v>x</v>
      </c>
      <c r="P930" s="720">
        <f t="shared" si="197"/>
        <v>0.67</v>
      </c>
      <c r="Q930" s="715"/>
      <c r="R930" s="721">
        <f t="shared" si="197"/>
        <v>0.67</v>
      </c>
      <c r="T930" s="784">
        <f t="shared" si="197"/>
        <v>0.67</v>
      </c>
    </row>
    <row r="931" spans="1:20" ht="12.75" x14ac:dyDescent="0.2">
      <c r="A931" s="707"/>
      <c r="B931" s="779" t="str">
        <f>'[1]E-2NGeb'!P17&amp;" Wiederbeschaffungswert"</f>
        <v>Ergebnis Wiederbeschaffungswert</v>
      </c>
      <c r="C931" s="731" t="str">
        <f>IF('[1]E-2NGeb'!$R$65="","",'[1]E-2NGeb'!$R$65)</f>
        <v>Be</v>
      </c>
      <c r="D931" s="720">
        <f>IF('[1]E-2NGeb'!T69="","",'[1]E-2NGeb'!T69)</f>
        <v>20260.800000000003</v>
      </c>
      <c r="E931" s="715"/>
      <c r="F931" s="721">
        <f>IF(OR('2NGeb'!X61="",'2NGeb'!T67=""),"-",'2NGeb'!X61*'2NGeb'!T67)</f>
        <v>20260.800000000003</v>
      </c>
      <c r="H931" s="784">
        <f>IF('2NGeb'!T69="","",'2NGeb'!T69)</f>
        <v>20260.800000000003</v>
      </c>
      <c r="I931" s="717" t="str">
        <f>IF(AND(P931="",T931=""),"",IF(T931=P931,"Richtig!",IF(T931="","Fehlt","Falsch")))</f>
        <v>Richtig!</v>
      </c>
      <c r="J931" s="718">
        <f>IF(OR($N931&lt;&gt;"x",AND(P931="",T931="")),"-",IF(I931="Richtig!",1,IF(I931="Formel: OK",0.5,IF(OR(I931="Falsch",I931="Fehlt"),0,""))))</f>
        <v>1</v>
      </c>
      <c r="K931" s="711" t="s">
        <v>441</v>
      </c>
      <c r="L931" s="712">
        <f>IF(OR($N931&lt;&gt;"x",AND(P931="",T931="")),"-",1)</f>
        <v>1</v>
      </c>
      <c r="N931" s="719" t="str">
        <f t="shared" si="199"/>
        <v>x</v>
      </c>
      <c r="P931" s="720">
        <f t="shared" si="197"/>
        <v>20260.8</v>
      </c>
      <c r="Q931" s="715"/>
      <c r="R931" s="721">
        <f t="shared" si="197"/>
        <v>20260.8</v>
      </c>
      <c r="T931" s="784">
        <f t="shared" si="197"/>
        <v>20260.8</v>
      </c>
    </row>
    <row r="932" spans="1:20" ht="12.75" x14ac:dyDescent="0.2">
      <c r="A932" s="707"/>
      <c r="B932" s="707"/>
      <c r="C932" s="707"/>
      <c r="D932" s="708"/>
      <c r="H932" s="691"/>
      <c r="I932" s="710" t="str">
        <f>IF(OR(B932="-",AND(P932="",T932="")),"",IF(T932=P932,"Richtig!",IF(T932="","Fehlt","Falsch")))</f>
        <v/>
      </c>
      <c r="J932" s="5" t="str">
        <f>IF(B932="-","",IF(I932="Richtig!",1,IF(I932="Formel: OK",0.5,IF(OR(I932="Falsch",I932="Fehlt"),0,""))))</f>
        <v/>
      </c>
      <c r="K932" s="711"/>
      <c r="L932" s="712" t="str">
        <f>IF(AND(P932="",T932=""),"",1)</f>
        <v/>
      </c>
      <c r="N932" s="725" t="str">
        <f t="shared" si="199"/>
        <v>x</v>
      </c>
      <c r="P932" s="708" t="str">
        <f t="shared" si="197"/>
        <v/>
      </c>
      <c r="R932" s="1" t="str">
        <f t="shared" si="197"/>
        <v/>
      </c>
      <c r="T932" s="691" t="str">
        <f t="shared" si="197"/>
        <v/>
      </c>
    </row>
    <row r="933" spans="1:20" ht="12.75" x14ac:dyDescent="0.2">
      <c r="A933" s="706" t="s">
        <v>373</v>
      </c>
      <c r="B933" s="706" t="str">
        <f>"Afa und Zeitwert: "&amp;'[1]E-2NGeb'!A72</f>
        <v>Afa und Zeitwert: Eingebaute(r) Rinderstall (Warmstall)</v>
      </c>
      <c r="C933" s="707"/>
      <c r="D933" s="708"/>
      <c r="H933" s="691"/>
      <c r="I933" s="710" t="str">
        <f>IF(OR(B933="-",AND(P933="",T933="")),"",IF(T933=P933,"Richtig!",IF(T933="","Fehlt","Falsch")))</f>
        <v/>
      </c>
      <c r="J933" s="5" t="str">
        <f>IF(B933="-","",IF(I933="Richtig!",1,IF(I933="Formel: OK",0.5,IF(OR(I933="Falsch",I933="Fehlt"),0,""))))</f>
        <v/>
      </c>
      <c r="K933" s="711"/>
      <c r="L933" s="712" t="str">
        <f>IF(AND(P933="",T933=""),"",1)</f>
        <v/>
      </c>
      <c r="N933" s="695" t="str">
        <f t="shared" si="199"/>
        <v>x</v>
      </c>
      <c r="P933" s="708" t="str">
        <f t="shared" si="197"/>
        <v/>
      </c>
      <c r="R933" s="1" t="str">
        <f t="shared" si="197"/>
        <v/>
      </c>
      <c r="T933" s="691" t="str">
        <f t="shared" si="197"/>
        <v/>
      </c>
    </row>
    <row r="934" spans="1:20" ht="12.75" customHeight="1" x14ac:dyDescent="0.2">
      <c r="B934" s="782" t="str">
        <f>'[1]E-2NGeb'!P14&amp;" "&amp;'[1]E-2NGeb'!B75</f>
        <v>Formel jAfa</v>
      </c>
      <c r="C934" s="731"/>
      <c r="D934" s="708"/>
      <c r="H934" s="691"/>
      <c r="I934" s="717"/>
      <c r="J934" s="5"/>
      <c r="K934" s="711"/>
      <c r="L934" s="712"/>
      <c r="N934" s="695" t="str">
        <f t="shared" si="199"/>
        <v>x</v>
      </c>
      <c r="P934" s="708" t="str">
        <f t="shared" si="197"/>
        <v/>
      </c>
      <c r="R934" s="1" t="str">
        <f t="shared" si="197"/>
        <v/>
      </c>
      <c r="T934" s="691" t="str">
        <f t="shared" si="197"/>
        <v/>
      </c>
    </row>
    <row r="935" spans="1:20" ht="12.75" x14ac:dyDescent="0.2">
      <c r="A935" s="707"/>
      <c r="B935" s="2" t="s">
        <v>443</v>
      </c>
      <c r="C935" s="731" t="str">
        <f>IF('[1]E-2NGeb'!$C$78="","",'[1]E-2NGeb'!$C$78)</f>
        <v>Ri</v>
      </c>
      <c r="D935" s="714" t="str">
        <f>IF('[1]E-2NGeb'!F75="","",'[1]E-2NGeb'!F75)</f>
        <v>WW</v>
      </c>
      <c r="E935" s="715"/>
      <c r="F935" s="715"/>
      <c r="H935" s="783" t="str">
        <f>IF('2NGeb'!F75="","",'2NGeb'!F75)</f>
        <v>WW</v>
      </c>
      <c r="I935" s="717" t="str">
        <f>IF(OR(B935="-",AND(P935="",T935="")),"",IF(T935=P935,"Richtig!",IF(T935="","Fehlt","Falsch")))</f>
        <v>Richtig!</v>
      </c>
      <c r="J935" s="786">
        <f>IF(OR(N935&lt;&gt;"x",B935="-"),"-",IF(I935="Richtig!",1/2,IF(I935="Formel: OK",1/4,IF(OR(I935="Falsch",I935="Fehlt"),0,""))))</f>
        <v>0.5</v>
      </c>
      <c r="K935" s="711" t="s">
        <v>441</v>
      </c>
      <c r="L935" s="712">
        <f>IF(OR(N935&lt;&gt;"x",AND(P935="",T935="")),"-",1/2)</f>
        <v>0.5</v>
      </c>
      <c r="N935" s="719" t="str">
        <f t="shared" si="199"/>
        <v>x</v>
      </c>
      <c r="P935" s="714" t="str">
        <f t="shared" si="197"/>
        <v>WW</v>
      </c>
      <c r="Q935" s="715"/>
      <c r="R935" s="715" t="str">
        <f t="shared" si="197"/>
        <v/>
      </c>
      <c r="T935" s="783" t="str">
        <f t="shared" si="197"/>
        <v>WW</v>
      </c>
    </row>
    <row r="936" spans="1:20" ht="12.75" x14ac:dyDescent="0.2">
      <c r="A936" s="707"/>
      <c r="B936" s="2" t="s">
        <v>444</v>
      </c>
      <c r="C936" s="731" t="str">
        <f>IF('[1]E-2NGeb'!$C$78="","",'[1]E-2NGeb'!$C$78)</f>
        <v>Ri</v>
      </c>
      <c r="D936" s="714" t="str">
        <f>IF('[1]E-2NGeb'!F78="","",'[1]E-2NGeb'!F78)</f>
        <v>ND</v>
      </c>
      <c r="E936" s="715"/>
      <c r="F936" s="715"/>
      <c r="H936" s="783" t="str">
        <f>IF('2NGeb'!F78="","",'2NGeb'!F78)</f>
        <v>ND</v>
      </c>
      <c r="I936" s="717" t="str">
        <f>IF(OR(B936="-",AND(P936="",T936="")),"",IF(T936=P936,"Richtig!",IF(T936="","Fehlt","Falsch")))</f>
        <v>Richtig!</v>
      </c>
      <c r="J936" s="786">
        <f>IF(OR(N936&lt;&gt;"x",B936="-"),"-",IF(I936="Richtig!",1/2,IF(I936="Formel: OK",1/4,IF(OR(I936="Falsch",I936="Fehlt"),0,""))))</f>
        <v>0.5</v>
      </c>
      <c r="K936" s="711" t="s">
        <v>441</v>
      </c>
      <c r="L936" s="712">
        <f>IF(OR(N936&lt;&gt;"x",AND(P936="",T936="")),"-",1/2)</f>
        <v>0.5</v>
      </c>
      <c r="N936" s="719" t="str">
        <f t="shared" si="199"/>
        <v>x</v>
      </c>
      <c r="P936" s="714" t="str">
        <f t="shared" si="197"/>
        <v>ND</v>
      </c>
      <c r="Q936" s="715"/>
      <c r="R936" s="715" t="str">
        <f t="shared" si="197"/>
        <v/>
      </c>
      <c r="T936" s="783" t="str">
        <f t="shared" si="197"/>
        <v>ND</v>
      </c>
    </row>
    <row r="937" spans="1:20" ht="12.75" x14ac:dyDescent="0.2">
      <c r="A937" s="707"/>
      <c r="B937" s="779" t="str">
        <f>'[1]E-2NGeb'!$P$17&amp;" "&amp;'[1]E-2NGeb'!B75</f>
        <v>Ergebnis jAfa</v>
      </c>
      <c r="C937" s="731" t="str">
        <f>IF('[1]E-2NGeb'!$C$78="","",'[1]E-2NGeb'!$C$78)</f>
        <v>Ri</v>
      </c>
      <c r="D937" s="720">
        <f>IF('[1]E-2NGeb'!F81="","",'[1]E-2NGeb'!F81)</f>
        <v>2171.8325581395347</v>
      </c>
      <c r="E937" s="715"/>
      <c r="F937" s="721">
        <f>IF(OR(H926="",'2NGeb'!B7=""),"-",H926/'2NGeb'!B7)</f>
        <v>2171.8325581395347</v>
      </c>
      <c r="H937" s="784">
        <f>IF('2NGeb'!F81="","",'2NGeb'!F81)</f>
        <v>2171.8325581395347</v>
      </c>
      <c r="I937" s="717" t="str">
        <f>IF(AND(P937="",T937=""),"",IF(T937=P937,"Richtig!",IF(T937="","Fehlt","Falsch")))</f>
        <v>Richtig!</v>
      </c>
      <c r="J937" s="718">
        <f>IF(OR($N937&lt;&gt;"x",AND(P937="",T937="")),"-",IF(I937="Richtig!",1,IF(I937="Formel: OK",0.5,IF(OR(I937="Falsch",I937="Fehlt"),0,""))))</f>
        <v>1</v>
      </c>
      <c r="K937" s="711" t="s">
        <v>441</v>
      </c>
      <c r="L937" s="712">
        <f>IF(OR($N937&lt;&gt;"x",AND(P937="",T937="")),"-",1)</f>
        <v>1</v>
      </c>
      <c r="N937" s="719" t="str">
        <f t="shared" si="199"/>
        <v>x</v>
      </c>
      <c r="P937" s="720">
        <f t="shared" si="197"/>
        <v>2171.8325599999998</v>
      </c>
      <c r="Q937" s="715"/>
      <c r="R937" s="721">
        <f t="shared" si="197"/>
        <v>2171.8325599999998</v>
      </c>
      <c r="T937" s="784">
        <f t="shared" si="197"/>
        <v>2171.8325599999998</v>
      </c>
    </row>
    <row r="938" spans="1:20" ht="12.75" customHeight="1" x14ac:dyDescent="0.2">
      <c r="B938" s="782" t="str">
        <f>'[1]E-2NGeb'!$P$14&amp;" "&amp;'[1]E-2NGeb'!B84</f>
        <v>Formel bAfa</v>
      </c>
      <c r="C938" s="731"/>
      <c r="D938" s="708"/>
      <c r="H938" s="691"/>
      <c r="I938" s="717"/>
      <c r="J938" s="5"/>
      <c r="K938" s="711"/>
      <c r="L938" s="712"/>
      <c r="N938" s="695" t="str">
        <f t="shared" si="199"/>
        <v>x</v>
      </c>
      <c r="P938" s="708" t="str">
        <f t="shared" si="197"/>
        <v/>
      </c>
      <c r="R938" s="1" t="str">
        <f t="shared" si="197"/>
        <v/>
      </c>
      <c r="T938" s="691" t="str">
        <f t="shared" si="197"/>
        <v/>
      </c>
    </row>
    <row r="939" spans="1:20" ht="12.75" x14ac:dyDescent="0.2">
      <c r="A939" s="707"/>
      <c r="B939" s="2" t="s">
        <v>443</v>
      </c>
      <c r="C939" s="731" t="str">
        <f>IF('[1]E-2NGeb'!$C$78="","",'[1]E-2NGeb'!$C$78)</f>
        <v>Ri</v>
      </c>
      <c r="D939" s="714" t="str">
        <f>IF('[1]E-2NGeb'!F84="","",'[1]E-2NGeb'!F84)</f>
        <v>jährl. Afa</v>
      </c>
      <c r="E939" s="715"/>
      <c r="F939" s="715"/>
      <c r="H939" s="783" t="str">
        <f>IF('2NGeb'!F84="","",'2NGeb'!F84)</f>
        <v>jährl. Afa</v>
      </c>
      <c r="I939" s="717" t="str">
        <f>IF(T939="","Fehlt",IF(OR(P940&lt;&gt;T940),"Falsch",IF(AND(P939="",T939=""),"",IF(AND(T939&lt;&gt;T941,OR(T939=P939,T939=P941)),"Richtig!","Falsch"))))</f>
        <v>Richtig!</v>
      </c>
      <c r="J939" s="786">
        <f>IF(OR(N939&lt;&gt;"x",AND(P939="",T939="")),"-",IF(I939="Richtig!",1/3,IF(I939="Formel: OK",1/6,IF(OR(I939="Falsch",I939="Fehlt"),0,""))))</f>
        <v>0.33333333333333331</v>
      </c>
      <c r="K939" s="711" t="s">
        <v>441</v>
      </c>
      <c r="L939" s="787">
        <f>IF(OR(N939&lt;&gt;"x",AND(P939="",T939="")),"-",1/3)</f>
        <v>0.33333333333333331</v>
      </c>
      <c r="N939" s="719" t="str">
        <f t="shared" si="199"/>
        <v>x</v>
      </c>
      <c r="P939" s="714" t="str">
        <f t="shared" si="197"/>
        <v>jährl. Afa</v>
      </c>
      <c r="Q939" s="715"/>
      <c r="R939" s="715" t="str">
        <f t="shared" si="197"/>
        <v/>
      </c>
      <c r="T939" s="783" t="str">
        <f t="shared" si="197"/>
        <v>jährl. Afa</v>
      </c>
    </row>
    <row r="940" spans="1:20" ht="12.75" x14ac:dyDescent="0.2">
      <c r="A940" s="707"/>
      <c r="B940" s="2" t="s">
        <v>444</v>
      </c>
      <c r="C940" s="731" t="str">
        <f>IF('[1]E-2NGeb'!$C$78="","",'[1]E-2NGeb'!$C$78)</f>
        <v>Ri</v>
      </c>
      <c r="D940" s="714" t="str">
        <f>IF('[1]E-2NGeb'!H84="","",'[1]E-2NGeb'!H84)</f>
        <v>x</v>
      </c>
      <c r="E940" s="715"/>
      <c r="F940" s="715"/>
      <c r="H940" s="783" t="str">
        <f>IF('2NGeb'!H84="","",'2NGeb'!H84)</f>
        <v>x</v>
      </c>
      <c r="I940" s="717" t="str">
        <f>IF(AND(P940="",T940=""),"",IF(T940=P940,"Richtig!",IF(T940="","Fehlt","Falsch")))</f>
        <v>Richtig!</v>
      </c>
      <c r="J940" s="786">
        <f>IF(OR(N940&lt;&gt;"x",AND(P940="",T940="")),"-",IF(I940="Richtig!",1/3,IF(I940="Formel: OK",1/6,IF(OR(I940="Falsch",I940="Fehlt"),0,""))))</f>
        <v>0.33333333333333331</v>
      </c>
      <c r="K940" s="711" t="s">
        <v>441</v>
      </c>
      <c r="L940" s="787">
        <f>IF(OR(N940&lt;&gt;"x",AND(P940="",T940="")),"-",1/3)</f>
        <v>0.33333333333333331</v>
      </c>
      <c r="N940" s="719" t="str">
        <f t="shared" si="199"/>
        <v>x</v>
      </c>
      <c r="P940" s="714" t="str">
        <f t="shared" si="197"/>
        <v>x</v>
      </c>
      <c r="Q940" s="715"/>
      <c r="R940" s="715" t="str">
        <f t="shared" si="197"/>
        <v/>
      </c>
      <c r="T940" s="783" t="str">
        <f t="shared" si="197"/>
        <v>x</v>
      </c>
    </row>
    <row r="941" spans="1:20" ht="12.75" x14ac:dyDescent="0.2">
      <c r="A941" s="707"/>
      <c r="B941" s="2" t="s">
        <v>445</v>
      </c>
      <c r="C941" s="731" t="str">
        <f>IF('[1]E-2NGeb'!$C$78="","",'[1]E-2NGeb'!$C$78)</f>
        <v>Ri</v>
      </c>
      <c r="D941" s="714" t="str">
        <f>IF('[1]E-2NGeb'!J84="","",'[1]E-2NGeb'!J84)</f>
        <v>Alter</v>
      </c>
      <c r="E941" s="715"/>
      <c r="F941" s="715"/>
      <c r="H941" s="783" t="str">
        <f>IF('2NGeb'!J84="","",'2NGeb'!J84)</f>
        <v>Alter</v>
      </c>
      <c r="I941" s="717" t="str">
        <f>IF(T941="","Fehlt",IF(OR(P940&lt;&gt;T940),"Falsch",IF(AND(P941="",T941=""),"",IF(AND(T941&lt;&gt;T939,OR(T941=P939,T941=P941)),"Richtig!","Falsch"))))</f>
        <v>Richtig!</v>
      </c>
      <c r="J941" s="786">
        <f>IF(OR(N941&lt;&gt;"x",AND(P941="",T941="")),"-",IF(I941="Richtig!",1/3,IF(I941="Formel: OK",1/6,IF(OR(I941="Falsch",I941="Fehlt"),0,""))))</f>
        <v>0.33333333333333331</v>
      </c>
      <c r="K941" s="711" t="s">
        <v>441</v>
      </c>
      <c r="L941" s="787">
        <f>IF(OR(N941&lt;&gt;"x",AND(P941="",T941="")),"-",1/3)</f>
        <v>0.33333333333333331</v>
      </c>
      <c r="N941" s="719" t="str">
        <f t="shared" si="199"/>
        <v>x</v>
      </c>
      <c r="P941" s="714" t="str">
        <f t="shared" si="197"/>
        <v>Alter</v>
      </c>
      <c r="Q941" s="715"/>
      <c r="R941" s="715" t="str">
        <f t="shared" si="197"/>
        <v/>
      </c>
      <c r="T941" s="783" t="str">
        <f t="shared" si="197"/>
        <v>Alter</v>
      </c>
    </row>
    <row r="942" spans="1:20" ht="12.75" x14ac:dyDescent="0.2">
      <c r="A942" s="707"/>
      <c r="B942" s="779" t="str">
        <f>'[1]E-2NGeb'!$P$17&amp;" "&amp;'[1]E-2NGeb'!B84</f>
        <v>Ergebnis bAfa</v>
      </c>
      <c r="C942" s="731" t="str">
        <f>IF('[1]E-2NGeb'!$C$78="","",'[1]E-2NGeb'!$C$78)</f>
        <v>Ri</v>
      </c>
      <c r="D942" s="720">
        <f>IF('[1]E-2NGeb'!F89="","",'[1]E-2NGeb'!F89)</f>
        <v>34749.320930232556</v>
      </c>
      <c r="E942" s="715"/>
      <c r="F942" s="721">
        <f>IF(OR(H937="",H916=""),"-",H937*H916)</f>
        <v>34749.320930232556</v>
      </c>
      <c r="H942" s="784">
        <f>IF('2NGeb'!L89&lt;&gt;"","abgeschrieben",IF('2NGeb'!F89="","",'2NGeb'!F89))</f>
        <v>34749.320930232556</v>
      </c>
      <c r="I942" s="717" t="str">
        <f>IF(AND(P942="",T942=""),"",IF(T942=P942,"Richtig!",IF(T942="","Fehlt","Falsch")))</f>
        <v>Richtig!</v>
      </c>
      <c r="J942" s="718">
        <f>IF(OR($N942&lt;&gt;"x",AND(P942="",T942="")),"-",IF(I942="Richtig!",1,IF(I942="Formel: OK",0.5,IF(OR(I942="Falsch",I942="Fehlt"),0,""))))</f>
        <v>1</v>
      </c>
      <c r="K942" s="711" t="s">
        <v>441</v>
      </c>
      <c r="L942" s="712">
        <f>IF(OR($N942&lt;&gt;"x",AND(P942="",T942="")),"-",1)</f>
        <v>1</v>
      </c>
      <c r="N942" s="719" t="str">
        <f t="shared" si="199"/>
        <v>x</v>
      </c>
      <c r="P942" s="720">
        <f t="shared" si="197"/>
        <v>34749.320930000002</v>
      </c>
      <c r="Q942" s="715"/>
      <c r="R942" s="721">
        <f t="shared" si="197"/>
        <v>34749.320930000002</v>
      </c>
      <c r="T942" s="784">
        <f t="shared" si="197"/>
        <v>34749.320930000002</v>
      </c>
    </row>
    <row r="943" spans="1:20" ht="12.75" customHeight="1" x14ac:dyDescent="0.2">
      <c r="B943" s="782" t="str">
        <f>'[1]E-2NGeb'!$P$14&amp;" "&amp;'[1]E-2NGeb'!B94</f>
        <v>Formel ZW1.1.</v>
      </c>
      <c r="C943" s="731"/>
      <c r="D943" s="708"/>
      <c r="H943" s="691"/>
      <c r="I943" s="717"/>
      <c r="J943" s="5"/>
      <c r="K943" s="711"/>
      <c r="L943" s="712"/>
      <c r="N943" s="695" t="str">
        <f t="shared" si="199"/>
        <v>x</v>
      </c>
      <c r="P943" s="708" t="str">
        <f t="shared" si="197"/>
        <v/>
      </c>
      <c r="R943" s="1" t="str">
        <f t="shared" si="197"/>
        <v/>
      </c>
      <c r="T943" s="691" t="str">
        <f t="shared" si="197"/>
        <v/>
      </c>
    </row>
    <row r="944" spans="1:20" ht="12.75" x14ac:dyDescent="0.2">
      <c r="A944" s="707"/>
      <c r="B944" s="2" t="s">
        <v>443</v>
      </c>
      <c r="C944" s="731" t="str">
        <f>IF('[1]E-2NGeb'!$C$78="","",'[1]E-2NGeb'!$C$78)</f>
        <v>Ri</v>
      </c>
      <c r="D944" s="714" t="str">
        <f>IF('[1]E-2NGeb'!F94="","",'[1]E-2NGeb'!F94)</f>
        <v>WW</v>
      </c>
      <c r="E944" s="715"/>
      <c r="F944" s="715"/>
      <c r="H944" s="783" t="str">
        <f>IF('2NGeb'!F94="","",'2NGeb'!F94)</f>
        <v>WW</v>
      </c>
      <c r="I944" s="717" t="str">
        <f>IF(T944="","Fehlt",IF(P945&lt;&gt;T945,"Falsch",IF(AND(P944="",T944=""),"",IF(T944=P944,"Richtig!","Falsch"))))</f>
        <v>Richtig!</v>
      </c>
      <c r="J944" s="786">
        <f>IF(OR(N944&lt;&gt;"x",AND(P944="",T944="")),"-",IF(I944="Richtig!",1/3,IF(I944="Formel: OK",1/6,IF(OR(I944="Falsch",I944="Fehlt"),0,""))))</f>
        <v>0.33333333333333331</v>
      </c>
      <c r="K944" s="711" t="s">
        <v>441</v>
      </c>
      <c r="L944" s="787">
        <f>IF(OR(N944&lt;&gt;"x",AND(P944="",T944="")),"-",1/3)</f>
        <v>0.33333333333333331</v>
      </c>
      <c r="N944" s="719" t="str">
        <f t="shared" si="199"/>
        <v>x</v>
      </c>
      <c r="P944" s="714" t="str">
        <f t="shared" si="197"/>
        <v>WW</v>
      </c>
      <c r="Q944" s="715"/>
      <c r="R944" s="715" t="str">
        <f t="shared" si="197"/>
        <v/>
      </c>
      <c r="T944" s="783" t="str">
        <f t="shared" si="197"/>
        <v>WW</v>
      </c>
    </row>
    <row r="945" spans="1:20" ht="12.75" x14ac:dyDescent="0.2">
      <c r="A945" s="707"/>
      <c r="B945" s="2" t="s">
        <v>444</v>
      </c>
      <c r="C945" s="731" t="str">
        <f>IF('[1]E-2NGeb'!$C$78="","",'[1]E-2NGeb'!$C$78)</f>
        <v>Ri</v>
      </c>
      <c r="D945" s="714" t="str">
        <f>IF('[1]E-2NGeb'!H94="","",'[1]E-2NGeb'!H94)</f>
        <v>-</v>
      </c>
      <c r="E945" s="715"/>
      <c r="F945" s="715"/>
      <c r="H945" s="783" t="str">
        <f>IF('2NGeb'!H94="","",'2NGeb'!H94)</f>
        <v>-</v>
      </c>
      <c r="I945" s="717" t="str">
        <f>IF(AND(P945="",T945=""),"",IF(T945=P945,"Richtig!",IF(T945="","Fehlt","Falsch")))</f>
        <v>Richtig!</v>
      </c>
      <c r="J945" s="786">
        <f>IF(OR(N945&lt;&gt;"x",AND(P945="",T945="")),"-",IF(I945="Richtig!",1/3,IF(I945="Formel: OK",1/6,IF(OR(I945="Falsch",I945="Fehlt"),0,""))))</f>
        <v>0.33333333333333331</v>
      </c>
      <c r="K945" s="711" t="s">
        <v>441</v>
      </c>
      <c r="L945" s="787">
        <f>IF(OR(N945&lt;&gt;"x",AND(P945="",T945="")),"-",1/3)</f>
        <v>0.33333333333333331</v>
      </c>
      <c r="N945" s="719" t="str">
        <f t="shared" si="199"/>
        <v>x</v>
      </c>
      <c r="P945" s="714" t="str">
        <f t="shared" si="197"/>
        <v>-</v>
      </c>
      <c r="Q945" s="715"/>
      <c r="R945" s="715" t="str">
        <f t="shared" si="197"/>
        <v/>
      </c>
      <c r="T945" s="783" t="str">
        <f t="shared" si="197"/>
        <v>-</v>
      </c>
    </row>
    <row r="946" spans="1:20" ht="12.75" x14ac:dyDescent="0.2">
      <c r="A946" s="707"/>
      <c r="B946" s="2" t="s">
        <v>445</v>
      </c>
      <c r="C946" s="731" t="str">
        <f>IF('[1]E-2NGeb'!$C$78="","",'[1]E-2NGeb'!$C$78)</f>
        <v>Ri</v>
      </c>
      <c r="D946" s="714" t="str">
        <f>IF('[1]E-2NGeb'!J94="","",'[1]E-2NGeb'!J94)</f>
        <v>bish. Afa</v>
      </c>
      <c r="E946" s="715"/>
      <c r="F946" s="715"/>
      <c r="H946" s="783" t="str">
        <f>IF('2NGeb'!J94="","",'2NGeb'!J94)</f>
        <v>bish. Afa</v>
      </c>
      <c r="I946" s="717" t="str">
        <f>IF(T946="","Fehlt",IF(P945&lt;&gt;T945,"Falsch",IF(AND(P946="",T946=""),"",IF(T946=P946,"Richtig!","Falsch"))))</f>
        <v>Richtig!</v>
      </c>
      <c r="J946" s="786">
        <f>IF(OR(N946&lt;&gt;"x",AND(P946="",T946="")),"-",IF(I946="Richtig!",1/3,IF(I946="Formel: OK",1/6,IF(OR(I946="Falsch",I946="Fehlt"),0,""))))</f>
        <v>0.33333333333333331</v>
      </c>
      <c r="K946" s="711" t="s">
        <v>441</v>
      </c>
      <c r="L946" s="787">
        <f>IF(OR(N946&lt;&gt;"x",AND(P946="",T946="")),"-",1/3)</f>
        <v>0.33333333333333331</v>
      </c>
      <c r="N946" s="719" t="str">
        <f t="shared" si="199"/>
        <v>x</v>
      </c>
      <c r="P946" s="714" t="str">
        <f t="shared" si="197"/>
        <v>bish. Afa</v>
      </c>
      <c r="Q946" s="715"/>
      <c r="R946" s="715" t="str">
        <f t="shared" si="197"/>
        <v/>
      </c>
      <c r="T946" s="783" t="str">
        <f t="shared" si="197"/>
        <v>bish. Afa</v>
      </c>
    </row>
    <row r="947" spans="1:20" ht="12.75" x14ac:dyDescent="0.2">
      <c r="A947" s="707"/>
      <c r="B947" s="779" t="str">
        <f>'[1]E-2NGeb'!$P$17&amp;" "&amp;'[1]E-2NGeb'!B94</f>
        <v>Ergebnis ZW1.1.</v>
      </c>
      <c r="C947" s="731" t="str">
        <f>IF('[1]E-2NGeb'!$C$78="","",'[1]E-2NGeb'!$C$78)</f>
        <v>Ri</v>
      </c>
      <c r="D947" s="720">
        <f>IF('[1]E-2NGeb'!F97="","",'[1]E-2NGeb'!F97)</f>
        <v>58639.479069767447</v>
      </c>
      <c r="E947" s="715"/>
      <c r="F947" s="721">
        <f>IF(OR(H926="",H942="",H942="abgeschrieben"),"-",H926-H942)</f>
        <v>58639.479069767447</v>
      </c>
      <c r="H947" s="784">
        <f>IF('2NGeb'!F97="","",'2NGeb'!F97)</f>
        <v>58639.479069767447</v>
      </c>
      <c r="I947" s="717" t="str">
        <f>IF(AND(P947="",T947=""),"",IF(T947=P947,"Richtig!",IF(T947="","Fehlt","Falsch")))</f>
        <v>Richtig!</v>
      </c>
      <c r="J947" s="718">
        <f>IF(OR($N947&lt;&gt;"x",AND(P947="",T947="")),"-",IF(I947="Richtig!",1,IF(I947="Formel: OK",0.5,IF(OR(I947="Falsch",I947="Fehlt"),0,""))))</f>
        <v>1</v>
      </c>
      <c r="K947" s="711" t="s">
        <v>441</v>
      </c>
      <c r="L947" s="712">
        <f>IF(OR($N947&lt;&gt;"x",AND(P947="",T947="")),"-",1)</f>
        <v>1</v>
      </c>
      <c r="N947" s="719" t="str">
        <f t="shared" si="199"/>
        <v>x</v>
      </c>
      <c r="P947" s="720">
        <f t="shared" si="197"/>
        <v>58639.479070000001</v>
      </c>
      <c r="Q947" s="715"/>
      <c r="R947" s="721">
        <f t="shared" si="197"/>
        <v>58639.479070000001</v>
      </c>
      <c r="T947" s="784">
        <f t="shared" si="197"/>
        <v>58639.479070000001</v>
      </c>
    </row>
    <row r="948" spans="1:20" ht="12.75" customHeight="1" x14ac:dyDescent="0.2">
      <c r="B948" s="782" t="str">
        <f>'[1]E-2NGeb'!$P$14&amp;" "&amp;'[1]E-2NGeb'!B100</f>
        <v>Formel ZW31.12.</v>
      </c>
      <c r="C948" s="731"/>
      <c r="D948" s="708"/>
      <c r="H948" s="691"/>
      <c r="I948" s="717"/>
      <c r="J948" s="5"/>
      <c r="K948" s="711"/>
      <c r="L948" s="712"/>
      <c r="N948" s="695" t="str">
        <f t="shared" si="199"/>
        <v>x</v>
      </c>
      <c r="P948" s="708" t="str">
        <f t="shared" si="197"/>
        <v/>
      </c>
      <c r="R948" s="1" t="str">
        <f t="shared" si="197"/>
        <v/>
      </c>
      <c r="T948" s="691" t="str">
        <f t="shared" si="197"/>
        <v/>
      </c>
    </row>
    <row r="949" spans="1:20" ht="12.75" x14ac:dyDescent="0.2">
      <c r="A949" s="707"/>
      <c r="B949" s="2" t="s">
        <v>443</v>
      </c>
      <c r="C949" s="731" t="str">
        <f>IF('[1]E-2NGeb'!$C$78="","",'[1]E-2NGeb'!$C$78)</f>
        <v>Ri</v>
      </c>
      <c r="D949" s="714" t="str">
        <f>IF('[1]E-2NGeb'!F100="","",'[1]E-2NGeb'!F100)</f>
        <v>ZW1.1.</v>
      </c>
      <c r="E949" s="715"/>
      <c r="F949" s="715"/>
      <c r="H949" s="783" t="str">
        <f>IF('2NGeb'!F100="","",'2NGeb'!F100)</f>
        <v>ZW1.1.</v>
      </c>
      <c r="I949" s="717" t="str">
        <f>IF(T949="","Fehlt",IF(P950&lt;&gt;T950,"Falsch",IF(AND(P949="",T949=""),"",IF(T949=P949,"Richtig!","Falsch"))))</f>
        <v>Richtig!</v>
      </c>
      <c r="J949" s="786">
        <f>IF(OR(N949&lt;&gt;"x",AND(P949="",T949="")),"-",IF(I949="Richtig!",1/3,IF(I949="Formel: OK",1/6,IF(OR(I949="Falsch",I949="Fehlt"),0,""))))</f>
        <v>0.33333333333333331</v>
      </c>
      <c r="K949" s="711" t="s">
        <v>441</v>
      </c>
      <c r="L949" s="787">
        <f>IF(OR(N949&lt;&gt;"x",AND(P949="",T949="")),"-",1/3)</f>
        <v>0.33333333333333331</v>
      </c>
      <c r="N949" s="719" t="str">
        <f t="shared" si="199"/>
        <v>x</v>
      </c>
      <c r="P949" s="714" t="str">
        <f t="shared" si="197"/>
        <v>ZW1.1.</v>
      </c>
      <c r="Q949" s="715"/>
      <c r="R949" s="715" t="str">
        <f t="shared" si="197"/>
        <v/>
      </c>
      <c r="T949" s="783" t="str">
        <f t="shared" si="197"/>
        <v>ZW1.1.</v>
      </c>
    </row>
    <row r="950" spans="1:20" ht="12.75" x14ac:dyDescent="0.2">
      <c r="A950" s="707"/>
      <c r="B950" s="2" t="s">
        <v>444</v>
      </c>
      <c r="C950" s="731" t="str">
        <f>IF('[1]E-2NGeb'!$C$78="","",'[1]E-2NGeb'!$C$78)</f>
        <v>Ri</v>
      </c>
      <c r="D950" s="714" t="str">
        <f>IF('[1]E-2NGeb'!H100="","",'[1]E-2NGeb'!H100)</f>
        <v>-</v>
      </c>
      <c r="E950" s="715"/>
      <c r="F950" s="715"/>
      <c r="H950" s="783" t="str">
        <f>IF('2NGeb'!H100="","",'2NGeb'!H100)</f>
        <v>-</v>
      </c>
      <c r="I950" s="717" t="str">
        <f>IF(AND(P950="",T950=""),"",IF(T950=P950,"Richtig!",IF(T950="","Fehlt","Falsch")))</f>
        <v>Richtig!</v>
      </c>
      <c r="J950" s="786">
        <f>IF(OR(N950&lt;&gt;"x",AND(P950="",T950="")),"-",IF(I950="Richtig!",1/3,IF(I950="Formel: OK",1/6,IF(OR(I950="Falsch",I950="Fehlt"),0,""))))</f>
        <v>0.33333333333333331</v>
      </c>
      <c r="K950" s="711" t="s">
        <v>441</v>
      </c>
      <c r="L950" s="787">
        <f>IF(OR(N950&lt;&gt;"x",AND(P950="",T950="")),"-",1/3)</f>
        <v>0.33333333333333331</v>
      </c>
      <c r="N950" s="719" t="str">
        <f t="shared" si="199"/>
        <v>x</v>
      </c>
      <c r="P950" s="714" t="str">
        <f t="shared" si="197"/>
        <v>-</v>
      </c>
      <c r="Q950" s="715"/>
      <c r="R950" s="715" t="str">
        <f t="shared" si="197"/>
        <v/>
      </c>
      <c r="T950" s="783" t="str">
        <f t="shared" si="197"/>
        <v>-</v>
      </c>
    </row>
    <row r="951" spans="1:20" ht="12.75" x14ac:dyDescent="0.2">
      <c r="A951" s="707"/>
      <c r="B951" s="2" t="s">
        <v>445</v>
      </c>
      <c r="C951" s="731" t="str">
        <f>IF('[1]E-2NGeb'!$C$78="","",'[1]E-2NGeb'!$C$78)</f>
        <v>Ri</v>
      </c>
      <c r="D951" s="714" t="str">
        <f>IF('[1]E-2NGeb'!J100="","",'[1]E-2NGeb'!J100)</f>
        <v>jährl. Afa</v>
      </c>
      <c r="E951" s="715"/>
      <c r="F951" s="715"/>
      <c r="H951" s="783" t="str">
        <f>IF('2NGeb'!J100="","",'2NGeb'!J100)</f>
        <v>jährl. Afa</v>
      </c>
      <c r="I951" s="717" t="str">
        <f>IF(T951="","Fehlt",IF(P950&lt;&gt;T950,"Falsch",IF(AND(P951="",T951=""),"",IF(T951=P951,"Richtig!","Falsch"))))</f>
        <v>Richtig!</v>
      </c>
      <c r="J951" s="786">
        <f>IF(OR(N951&lt;&gt;"x",AND(P951="",T951="")),"-",IF(I951="Richtig!",1/3,IF(I951="Formel: OK",1/6,IF(OR(I951="Falsch",I951="Fehlt"),0,""))))</f>
        <v>0.33333333333333331</v>
      </c>
      <c r="K951" s="711" t="s">
        <v>441</v>
      </c>
      <c r="L951" s="787">
        <f>IF(OR(N951&lt;&gt;"x",AND(P951="",T951="")),"-",1/3)</f>
        <v>0.33333333333333331</v>
      </c>
      <c r="N951" s="719" t="str">
        <f t="shared" si="199"/>
        <v>x</v>
      </c>
      <c r="P951" s="714" t="str">
        <f t="shared" si="197"/>
        <v>jährl. Afa</v>
      </c>
      <c r="Q951" s="715"/>
      <c r="R951" s="715" t="str">
        <f t="shared" si="197"/>
        <v/>
      </c>
      <c r="T951" s="783" t="str">
        <f t="shared" si="197"/>
        <v>jährl. Afa</v>
      </c>
    </row>
    <row r="952" spans="1:20" ht="12.75" x14ac:dyDescent="0.2">
      <c r="A952" s="707"/>
      <c r="B952" s="779" t="str">
        <f>'[1]E-2NGeb'!$P$17&amp;" "&amp;'[1]E-2NGeb'!B100</f>
        <v>Ergebnis ZW31.12.</v>
      </c>
      <c r="C952" s="731" t="str">
        <f>IF('[1]E-2NGeb'!$C$78="","",'[1]E-2NGeb'!$C$78)</f>
        <v>Ri</v>
      </c>
      <c r="D952" s="720">
        <f>IF('[1]E-2NGeb'!F103="","",'[1]E-2NGeb'!F103)</f>
        <v>56467.646511627914</v>
      </c>
      <c r="E952" s="715"/>
      <c r="F952" s="721">
        <f>IF(OR(H947="",H937=""),"-",H947-H937)</f>
        <v>56467.646511627914</v>
      </c>
      <c r="H952" s="784">
        <f>IF('2NGeb'!F103="","",'2NGeb'!F103)</f>
        <v>56467.646511627914</v>
      </c>
      <c r="I952" s="717" t="str">
        <f>IF(AND(P952="",T952=""),"",IF(T952=P952,"Richtig!",IF(T952="","Fehlt","Falsch")))</f>
        <v>Richtig!</v>
      </c>
      <c r="J952" s="718">
        <f>IF(OR($N952&lt;&gt;"x",AND(P952="",T952="")),"-",IF(I952="Richtig!",1,IF(I952="Formel: OK",0.5,IF(OR(I952="Falsch",I952="Fehlt"),0,""))))</f>
        <v>1</v>
      </c>
      <c r="K952" s="711" t="s">
        <v>441</v>
      </c>
      <c r="L952" s="712">
        <f>IF(OR($N952&lt;&gt;"x",AND(P952="",T952="")),"-",1)</f>
        <v>1</v>
      </c>
      <c r="N952" s="719" t="str">
        <f t="shared" si="199"/>
        <v>x</v>
      </c>
      <c r="P952" s="720">
        <f t="shared" si="197"/>
        <v>56467.646509999999</v>
      </c>
      <c r="Q952" s="715"/>
      <c r="R952" s="721">
        <f t="shared" si="197"/>
        <v>56467.646509999999</v>
      </c>
      <c r="T952" s="784">
        <f t="shared" si="197"/>
        <v>56467.646509999999</v>
      </c>
    </row>
    <row r="953" spans="1:20" ht="12.75" customHeight="1" x14ac:dyDescent="0.2">
      <c r="B953" s="713"/>
      <c r="C953" s="731"/>
      <c r="D953" s="708"/>
      <c r="H953" s="691"/>
      <c r="I953" s="717" t="str">
        <f>IF(OR(B953="-",AND(P953="",T953="")),"",IF(T953=P953,"Richtig!",IF(T953="","Fehlt","Falsch")))</f>
        <v/>
      </c>
      <c r="J953" s="5" t="str">
        <f>IF(AND(P953="",T953=""),"",IF(I953="Richtig!",1,IF(I953="Formel: OK",0.5,IF(OR(I953="Falsch",I953="Fehlt"),0,""))))</f>
        <v/>
      </c>
      <c r="K953" s="711"/>
      <c r="L953" s="712" t="str">
        <f>IF(AND(P953="",T953=""),"",1)</f>
        <v/>
      </c>
      <c r="N953" s="725" t="str">
        <f t="shared" si="199"/>
        <v>x</v>
      </c>
      <c r="P953" s="708" t="str">
        <f t="shared" si="197"/>
        <v/>
      </c>
      <c r="R953" s="1" t="str">
        <f t="shared" si="197"/>
        <v/>
      </c>
      <c r="T953" s="691" t="str">
        <f t="shared" si="197"/>
        <v/>
      </c>
    </row>
    <row r="954" spans="1:20" ht="12.75" x14ac:dyDescent="0.2">
      <c r="A954" s="706" t="s">
        <v>375</v>
      </c>
      <c r="B954" s="706" t="str">
        <f>"Afa und Zeitwert: "&amp;'[1]E-2NGeb'!N72</f>
        <v>Afa und Zeitwert: Bergeraum (erdlastig)</v>
      </c>
      <c r="C954" s="707"/>
      <c r="D954" s="708"/>
      <c r="H954" s="691"/>
      <c r="I954" s="710" t="str">
        <f>IF(OR(B954="-",AND(P954="",T954="")),"",IF(T954=P954,"Richtig!",IF(T954="","Fehlt","Falsch")))</f>
        <v/>
      </c>
      <c r="J954" s="5" t="str">
        <f>IF(AND(P954="",T954=""),"",IF(I954="Richtig!",1,IF(I954="Formel: OK",0.5,IF(OR(I954="Falsch",I954="Fehlt"),0,""))))</f>
        <v/>
      </c>
      <c r="K954" s="711"/>
      <c r="L954" s="712" t="str">
        <f>IF(AND(P954="",T954=""),"",1)</f>
        <v/>
      </c>
      <c r="N954" s="695" t="str">
        <f t="shared" si="199"/>
        <v>x</v>
      </c>
      <c r="P954" s="708" t="str">
        <f t="shared" si="197"/>
        <v/>
      </c>
      <c r="R954" s="1" t="str">
        <f t="shared" si="197"/>
        <v/>
      </c>
      <c r="T954" s="691" t="str">
        <f t="shared" si="197"/>
        <v/>
      </c>
    </row>
    <row r="955" spans="1:20" ht="12.75" x14ac:dyDescent="0.2">
      <c r="A955" s="707"/>
      <c r="B955" s="779" t="str">
        <f>'[1]E-2NGeb'!$P$17&amp;" "&amp;'[1]E-2NGeb'!Q81</f>
        <v>Ergebnis jAfa</v>
      </c>
      <c r="C955" s="731" t="str">
        <f>IF('[1]E-2NGeb'!$R$81="","",'[1]E-2NGeb'!$R$81)</f>
        <v>Be</v>
      </c>
      <c r="D955" s="720">
        <f>IF('[1]E-2NGeb'!T81="","",'[1]E-2NGeb'!T81)</f>
        <v>471.18139534883727</v>
      </c>
      <c r="E955" s="715"/>
      <c r="F955" s="721">
        <f>IF(OR(H931="",'2NGeb'!B7=""),"-",H931/'2NGeb'!B7)</f>
        <v>471.18139534883727</v>
      </c>
      <c r="H955" s="784">
        <f>IF('2NGeb'!T81="","",'2NGeb'!T81)</f>
        <v>471.18139534883727</v>
      </c>
      <c r="I955" s="717" t="str">
        <f>IF(AND(P955="",T955=""),"",IF(T955=P955,"Richtig!",IF(T955="","Fehlt","Falsch")))</f>
        <v>Richtig!</v>
      </c>
      <c r="J955" s="718">
        <f>IF(OR($N955&lt;&gt;"x",AND(P955="",T955="")),"-",IF(I955="Richtig!",1,IF(I955="Formel: OK",0.5,IF(OR(I955="Falsch",I955="Fehlt"),0,""))))</f>
        <v>1</v>
      </c>
      <c r="K955" s="711" t="s">
        <v>441</v>
      </c>
      <c r="L955" s="712">
        <f>IF(OR($N955&lt;&gt;"x",AND(P955="",T955="")),"-",1)</f>
        <v>1</v>
      </c>
      <c r="N955" s="719" t="str">
        <f t="shared" si="199"/>
        <v>x</v>
      </c>
      <c r="P955" s="720">
        <f t="shared" si="197"/>
        <v>471.1814</v>
      </c>
      <c r="Q955" s="715"/>
      <c r="R955" s="721">
        <f t="shared" si="197"/>
        <v>471.1814</v>
      </c>
      <c r="T955" s="784">
        <f t="shared" si="197"/>
        <v>471.1814</v>
      </c>
    </row>
    <row r="956" spans="1:20" ht="12.75" x14ac:dyDescent="0.2">
      <c r="A956" s="707"/>
      <c r="B956" s="779" t="str">
        <f>'[1]E-2NGeb'!$P$17&amp;" "&amp;'[1]E-2NGeb'!Q89</f>
        <v>Ergebnis bAfa</v>
      </c>
      <c r="C956" s="731" t="str">
        <f>IF('[1]E-2NGeb'!$R$81="","",'[1]E-2NGeb'!$R$81)</f>
        <v>Be</v>
      </c>
      <c r="D956" s="720">
        <f>IF('[1]E-2NGeb'!T89="","",'[1]E-2NGeb'!T89)</f>
        <v>12721.897674418606</v>
      </c>
      <c r="E956" s="715"/>
      <c r="F956" s="721">
        <f>IF(OR(H955="",H908=""),"-",H955*H908)</f>
        <v>12721.897674418606</v>
      </c>
      <c r="H956" s="784">
        <f>IF('2NGeb'!W89&lt;&gt;"","abgeschrieben",IF('2NGeb'!T89="","",'2NGeb'!T89))</f>
        <v>12721.897674418606</v>
      </c>
      <c r="I956" s="717" t="str">
        <f>IF(AND(P956="",T956=""),"",IF(T956=P956,"Richtig!",IF(T956="","Fehlt","Falsch")))</f>
        <v>Richtig!</v>
      </c>
      <c r="J956" s="718">
        <f>IF(OR($N956&lt;&gt;"x",AND(P956="",T956="")),"-",IF(I956="Richtig!",1,IF(I956="Formel: OK",0.5,IF(OR(I956="Falsch",I956="Fehlt"),0,""))))</f>
        <v>1</v>
      </c>
      <c r="K956" s="711" t="s">
        <v>441</v>
      </c>
      <c r="L956" s="712">
        <f>IF(OR($N956&lt;&gt;"x",AND(P956="",T956="")),"-",1)</f>
        <v>1</v>
      </c>
      <c r="N956" s="719" t="str">
        <f t="shared" si="199"/>
        <v>x</v>
      </c>
      <c r="P956" s="720">
        <f t="shared" si="197"/>
        <v>12721.89767</v>
      </c>
      <c r="Q956" s="715"/>
      <c r="R956" s="721">
        <f t="shared" si="197"/>
        <v>12721.89767</v>
      </c>
      <c r="T956" s="784">
        <f t="shared" si="197"/>
        <v>12721.89767</v>
      </c>
    </row>
    <row r="957" spans="1:20" ht="12.75" x14ac:dyDescent="0.2">
      <c r="A957" s="707"/>
      <c r="B957" s="779" t="str">
        <f>'[1]E-2NGeb'!$P$17&amp;" "&amp;'[1]E-2NGeb'!Q97</f>
        <v>Ergebnis ZW1.1.</v>
      </c>
      <c r="C957" s="731" t="str">
        <f>IF('[1]E-2NGeb'!$R$81="","",'[1]E-2NGeb'!$R$81)</f>
        <v>Be</v>
      </c>
      <c r="D957" s="720">
        <f>IF('[1]E-2NGeb'!T97="","",'[1]E-2NGeb'!T97)</f>
        <v>7538.9023255813972</v>
      </c>
      <c r="E957" s="715"/>
      <c r="F957" s="721">
        <f>IF(OR(H931="",H956="",H956="abgeschrieben"),"-",H931-H956)</f>
        <v>7538.9023255813972</v>
      </c>
      <c r="H957" s="784">
        <f>IF('2NGeb'!T97="","",'2NGeb'!T97)</f>
        <v>7538.9023255813972</v>
      </c>
      <c r="I957" s="717" t="str">
        <f>IF(AND(P957="",T957=""),"",IF(T957=P957,"Richtig!",IF(T957="","Fehlt","Falsch")))</f>
        <v>Richtig!</v>
      </c>
      <c r="J957" s="718">
        <f>IF(OR($N957&lt;&gt;"x",AND(P957="",T957="")),"-",IF(I957="Richtig!",1,IF(I957="Formel: OK",0.5,IF(OR(I957="Falsch",I957="Fehlt"),0,""))))</f>
        <v>1</v>
      </c>
      <c r="K957" s="711" t="s">
        <v>441</v>
      </c>
      <c r="L957" s="712">
        <f>IF(OR($N957&lt;&gt;"x",AND(P957="",T957="")),"-",1)</f>
        <v>1</v>
      </c>
      <c r="N957" s="719" t="str">
        <f t="shared" si="199"/>
        <v>x</v>
      </c>
      <c r="P957" s="720">
        <f t="shared" si="197"/>
        <v>7538.9023299999999</v>
      </c>
      <c r="Q957" s="715"/>
      <c r="R957" s="721">
        <f t="shared" si="197"/>
        <v>7538.9023299999999</v>
      </c>
      <c r="T957" s="784">
        <f t="shared" si="197"/>
        <v>7538.9023299999999</v>
      </c>
    </row>
    <row r="958" spans="1:20" ht="12.75" x14ac:dyDescent="0.2">
      <c r="A958" s="707"/>
      <c r="B958" s="779" t="str">
        <f>'[1]E-2NGeb'!$P$17&amp;" "&amp;'[1]E-2NGeb'!Q103</f>
        <v>Ergebnis ZW31.12.</v>
      </c>
      <c r="C958" s="731" t="str">
        <f>IF('[1]E-2NGeb'!$R$81="","",'[1]E-2NGeb'!$R$81)</f>
        <v>Be</v>
      </c>
      <c r="D958" s="720">
        <f>IF('[1]E-2NGeb'!T103="","",'[1]E-2NGeb'!T103)</f>
        <v>7067.72093023256</v>
      </c>
      <c r="E958" s="715"/>
      <c r="F958" s="721">
        <f>IF(OR(H957="",H955=""),"-",H957-H955)</f>
        <v>7067.72093023256</v>
      </c>
      <c r="H958" s="784">
        <f>IF('2NGeb'!T103="","",'2NGeb'!T103)</f>
        <v>7067.72093023256</v>
      </c>
      <c r="I958" s="717" t="str">
        <f>IF(AND(P958="",T958=""),"",IF(T958=P958,"Richtig!",IF(T958="","Fehlt","Falsch")))</f>
        <v>Richtig!</v>
      </c>
      <c r="J958" s="718">
        <f>IF(OR($N958&lt;&gt;"x",AND(P958="",T958="")),"-",IF(I958="Richtig!",1,IF(I958="Formel: OK",0.5,IF(OR(I958="Falsch",I958="Fehlt"),0,""))))</f>
        <v>1</v>
      </c>
      <c r="K958" s="711" t="s">
        <v>441</v>
      </c>
      <c r="L958" s="712">
        <f>IF(OR($N958&lt;&gt;"x",AND(P958="",T958="")),"-",1)</f>
        <v>1</v>
      </c>
      <c r="N958" s="719" t="str">
        <f t="shared" si="199"/>
        <v>x</v>
      </c>
      <c r="P958" s="720">
        <f t="shared" si="197"/>
        <v>7067.7209300000004</v>
      </c>
      <c r="Q958" s="715"/>
      <c r="R958" s="721">
        <f t="shared" si="197"/>
        <v>7067.7209300000004</v>
      </c>
      <c r="T958" s="784">
        <f t="shared" si="197"/>
        <v>7067.7209300000004</v>
      </c>
    </row>
    <row r="959" spans="1:20" ht="12.75" x14ac:dyDescent="0.2">
      <c r="A959" s="707"/>
      <c r="B959" s="779"/>
      <c r="C959" s="731"/>
      <c r="D959" s="789"/>
      <c r="E959" s="715"/>
      <c r="F959" s="721"/>
      <c r="H959" s="790"/>
      <c r="I959" s="717"/>
      <c r="J959" s="791"/>
      <c r="K959" s="711"/>
      <c r="L959" s="712"/>
      <c r="N959" s="725" t="str">
        <f t="shared" si="199"/>
        <v>x</v>
      </c>
      <c r="P959" s="789"/>
      <c r="Q959" s="715"/>
      <c r="R959" s="721"/>
      <c r="T959" s="790"/>
    </row>
    <row r="960" spans="1:20" ht="19.5" x14ac:dyDescent="0.2">
      <c r="A960" s="698" t="s">
        <v>449</v>
      </c>
      <c r="B960" s="699"/>
      <c r="C960" s="700"/>
      <c r="D960" s="701"/>
      <c r="E960" s="701"/>
      <c r="F960" s="702"/>
      <c r="G960" s="700"/>
      <c r="H960" s="702"/>
      <c r="I960" s="703"/>
      <c r="J960" s="704"/>
      <c r="K960" s="704"/>
      <c r="L960" s="704"/>
      <c r="N960" s="705" t="str">
        <f t="shared" si="199"/>
        <v>x</v>
      </c>
      <c r="P960" s="701"/>
      <c r="Q960" s="701"/>
      <c r="R960" s="702"/>
      <c r="S960" s="700"/>
      <c r="T960" s="702"/>
    </row>
    <row r="961" spans="1:20" ht="12.75" x14ac:dyDescent="0.2">
      <c r="A961" s="706" t="s">
        <v>366</v>
      </c>
      <c r="B961" s="706" t="s">
        <v>450</v>
      </c>
      <c r="C961" s="731"/>
      <c r="D961" s="717"/>
      <c r="E961" s="717"/>
      <c r="F961" s="721"/>
      <c r="H961" s="717"/>
      <c r="I961" s="717"/>
      <c r="J961" s="718">
        <f>ErgInt!O536</f>
        <v>0</v>
      </c>
      <c r="K961" s="711" t="s">
        <v>441</v>
      </c>
      <c r="L961" s="712">
        <f>IF(N961&lt;&gt;"x","",ErgInt!Q536)</f>
        <v>138</v>
      </c>
      <c r="N961" s="719" t="str">
        <f t="shared" si="199"/>
        <v>x</v>
      </c>
      <c r="T961" s="1"/>
    </row>
    <row r="962" spans="1:20" ht="20.100000000000001" customHeight="1" x14ac:dyDescent="0.2">
      <c r="A962" s="707"/>
      <c r="B962" s="2"/>
      <c r="C962" s="731"/>
      <c r="D962" s="717"/>
      <c r="E962" s="717"/>
      <c r="F962" s="721"/>
      <c r="H962" s="717"/>
      <c r="I962" s="717"/>
      <c r="J962" s="791"/>
      <c r="K962" s="711"/>
      <c r="L962" s="712"/>
      <c r="N962" s="725" t="str">
        <f t="shared" si="199"/>
        <v>x</v>
      </c>
      <c r="T962" s="1"/>
    </row>
    <row r="963" spans="1:20" ht="15" x14ac:dyDescent="0.3">
      <c r="A963" s="792" t="s">
        <v>451</v>
      </c>
      <c r="B963" s="793"/>
      <c r="C963" s="793"/>
      <c r="D963" s="794">
        <f>COUNT(D9:D962)</f>
        <v>497</v>
      </c>
      <c r="E963" s="1133"/>
      <c r="F963" s="1133"/>
      <c r="G963" s="1133"/>
      <c r="H963" s="795">
        <f>COUNT(H9:H962)</f>
        <v>493</v>
      </c>
      <c r="I963" s="796"/>
      <c r="J963" s="797">
        <f>SUM(J9:J962)</f>
        <v>302.99999999999966</v>
      </c>
      <c r="K963" s="798" t="str">
        <f>IF(L963="","","│")</f>
        <v>│</v>
      </c>
      <c r="L963" s="796">
        <f>SUM(L9:L962)</f>
        <v>440.99999999999966</v>
      </c>
      <c r="N963" s="719" t="str">
        <f t="shared" si="199"/>
        <v>x</v>
      </c>
      <c r="T963" s="1"/>
    </row>
    <row r="964" spans="1:20" ht="3" customHeight="1" x14ac:dyDescent="0.2">
      <c r="A964" s="799"/>
      <c r="B964" s="799"/>
      <c r="C964" s="799"/>
      <c r="D964" s="799"/>
      <c r="E964" s="799"/>
      <c r="F964" s="799"/>
      <c r="G964" s="800"/>
      <c r="H964" s="801"/>
      <c r="I964" s="800"/>
      <c r="J964" s="799"/>
      <c r="K964" s="799"/>
      <c r="L964" s="802"/>
      <c r="N964" s="689" t="str">
        <f>N963</f>
        <v>x</v>
      </c>
      <c r="T964" s="1"/>
    </row>
    <row r="965" spans="1:20" ht="30" customHeight="1" x14ac:dyDescent="0.2">
      <c r="L965" s="1086"/>
      <c r="T965" s="1"/>
    </row>
    <row r="966" spans="1:20" ht="22.5" x14ac:dyDescent="0.45">
      <c r="A966" s="804" t="s">
        <v>452</v>
      </c>
      <c r="B966" s="805"/>
      <c r="C966" s="1131">
        <f>IF(L963=0,"",J963/L963)</f>
        <v>0.68707482993197255</v>
      </c>
      <c r="D966" s="1131"/>
      <c r="E966" s="1131"/>
      <c r="F966" s="1131"/>
      <c r="G966" s="1131"/>
      <c r="H966" s="1131"/>
      <c r="I966" s="1124"/>
      <c r="J966" s="1124"/>
      <c r="K966" s="1124"/>
      <c r="L966" s="1124"/>
      <c r="N966" s="806"/>
      <c r="O966" s="806"/>
      <c r="T966" s="1"/>
    </row>
    <row r="967" spans="1:20" ht="21.95" customHeight="1" x14ac:dyDescent="0.2">
      <c r="A967" s="807"/>
      <c r="B967" s="808">
        <f>C967-I971+J970</f>
        <v>386.99999999999966</v>
      </c>
      <c r="C967" s="809">
        <f>L963</f>
        <v>440.99999999999966</v>
      </c>
      <c r="D967" s="810" t="str">
        <f>IF(AND(J963&gt;=B967-0.5,J963&lt;=C967),"u","j")</f>
        <v>j</v>
      </c>
      <c r="E967" s="811" t="str">
        <f>IF(OR(J963=B967-0.5,J963=B967),"-","")</f>
        <v/>
      </c>
      <c r="F967" s="811"/>
      <c r="I967" s="812"/>
      <c r="J967" s="813"/>
      <c r="K967" s="812"/>
      <c r="L967" s="747"/>
      <c r="N967" s="814"/>
      <c r="O967" s="814"/>
      <c r="T967" s="1"/>
    </row>
    <row r="968" spans="1:20" ht="21.95" customHeight="1" x14ac:dyDescent="0.2">
      <c r="A968" s="807"/>
      <c r="B968" s="808">
        <f>C968-I971+J970</f>
        <v>331.99999999999966</v>
      </c>
      <c r="C968" s="815">
        <f>B967-1</f>
        <v>385.99999999999966</v>
      </c>
      <c r="D968" s="810" t="str">
        <f>IF(AND(J963&gt;=B968-0.5,J963&lt;=C968),"v","k")</f>
        <v>k</v>
      </c>
      <c r="E968" s="811" t="str">
        <f>IF(OR(J963=B968-0.5,J963=B968),"-",IF(OR(J963=C968-0.5,J963=C968),"+",""))</f>
        <v/>
      </c>
      <c r="F968" s="811"/>
      <c r="I968" s="812"/>
      <c r="J968" s="813"/>
      <c r="K968" s="812"/>
      <c r="L968" s="747"/>
      <c r="N968" s="814"/>
      <c r="O968" s="814"/>
      <c r="T968" s="1"/>
    </row>
    <row r="969" spans="1:20" ht="21.95" customHeight="1" x14ac:dyDescent="0.2">
      <c r="A969" s="807"/>
      <c r="B969" s="808">
        <f>C969-I971</f>
        <v>273.99999999999966</v>
      </c>
      <c r="C969" s="815">
        <f>B968-1</f>
        <v>330.99999999999966</v>
      </c>
      <c r="D969" s="810" t="str">
        <f>IF(AND(J963&gt;=B969-0.5,J963&lt;=C969),"w","l")</f>
        <v>w</v>
      </c>
      <c r="E969" s="811" t="str">
        <f>IF(OR(J963=B969-0.5,J963=B969),"-",IF(OR(J963=C969-0.5,J963=C969),"+",""))</f>
        <v/>
      </c>
      <c r="F969" s="811"/>
      <c r="I969" s="816" t="s">
        <v>453</v>
      </c>
      <c r="J969" s="817" t="s">
        <v>454</v>
      </c>
      <c r="K969" s="818"/>
      <c r="L969" s="819"/>
      <c r="N969" s="814"/>
      <c r="O969" s="814"/>
      <c r="T969" s="1"/>
    </row>
    <row r="970" spans="1:20" ht="21.95" customHeight="1" x14ac:dyDescent="0.2">
      <c r="A970" s="807"/>
      <c r="B970" s="808">
        <f>C970-I971</f>
        <v>215.99999999999966</v>
      </c>
      <c r="C970" s="815">
        <f>B969-1</f>
        <v>272.99999999999966</v>
      </c>
      <c r="D970" s="810" t="str">
        <f>IF(AND(J963&gt;=B970-0.5,J963&lt;=C970),"x","m")</f>
        <v>m</v>
      </c>
      <c r="E970" s="811" t="str">
        <f>IF(OR(J963=B970-0.5,J963=B970),"-",IF(OR(J963=C970-0.5,J963=C970),"+",""))</f>
        <v/>
      </c>
      <c r="F970" s="811"/>
      <c r="G970" s="820" t="s">
        <v>455</v>
      </c>
      <c r="I970" s="821">
        <v>0.13</v>
      </c>
      <c r="J970" s="822">
        <v>3</v>
      </c>
      <c r="K970" s="818"/>
      <c r="L970" s="819"/>
      <c r="N970" s="814"/>
      <c r="O970" s="814"/>
      <c r="T970" s="1"/>
    </row>
    <row r="971" spans="1:20" ht="21.95" customHeight="1" x14ac:dyDescent="0.2">
      <c r="A971" s="807"/>
      <c r="B971" s="823">
        <v>0</v>
      </c>
      <c r="C971" s="815">
        <f>B970-1</f>
        <v>214.99999999999966</v>
      </c>
      <c r="D971" s="810" t="str">
        <f>IF(L963=0,"",IF(AND(J963&gt;=B971-0.5,J963&lt;=C971),"y","n"))</f>
        <v>n</v>
      </c>
      <c r="E971" s="811" t="str">
        <f>IF(OR(J963=C971-1,J963=C971-0.5,J963=C971),"+","")</f>
        <v/>
      </c>
      <c r="F971" s="811"/>
      <c r="G971" s="824"/>
      <c r="H971" s="825"/>
      <c r="I971" s="1132">
        <f>ROUND(L963*I970,0)</f>
        <v>57</v>
      </c>
      <c r="J971" s="1132"/>
      <c r="K971" s="818"/>
      <c r="L971" s="819"/>
      <c r="N971" s="814"/>
      <c r="O971" s="814"/>
      <c r="T971" s="1"/>
    </row>
    <row r="972" spans="1:20" ht="12.75" x14ac:dyDescent="0.2">
      <c r="A972" s="805"/>
      <c r="B972" s="805"/>
      <c r="C972" s="805"/>
      <c r="D972" s="805"/>
      <c r="E972" s="805"/>
      <c r="F972" s="805"/>
      <c r="G972" s="805"/>
      <c r="H972" s="826"/>
      <c r="I972" s="805"/>
      <c r="J972" s="805"/>
      <c r="K972" s="805"/>
      <c r="L972" s="805"/>
      <c r="T972" s="1"/>
    </row>
    <row r="973" spans="1:20" ht="15" hidden="1" customHeight="1" x14ac:dyDescent="0.2"/>
    <row r="974" spans="1:20" ht="15" hidden="1" customHeight="1" x14ac:dyDescent="0.2">
      <c r="A974" s="827"/>
      <c r="B974" s="828" t="s">
        <v>456</v>
      </c>
    </row>
    <row r="975" spans="1:20" ht="15" hidden="1" customHeight="1" x14ac:dyDescent="0.2">
      <c r="A975" s="829">
        <v>1</v>
      </c>
      <c r="B975" s="830" t="s">
        <v>674</v>
      </c>
    </row>
    <row r="976" spans="1:20" ht="15" hidden="1" customHeight="1" x14ac:dyDescent="0.2">
      <c r="A976" s="829">
        <v>2</v>
      </c>
      <c r="B976" s="830" t="s">
        <v>675</v>
      </c>
    </row>
    <row r="977" spans="1:2" ht="15" hidden="1" customHeight="1" x14ac:dyDescent="0.2">
      <c r="A977" s="829">
        <v>3</v>
      </c>
      <c r="B977" s="830" t="s">
        <v>676</v>
      </c>
    </row>
    <row r="978" spans="1:2" ht="15" hidden="1" customHeight="1" x14ac:dyDescent="0.2">
      <c r="A978" s="829">
        <v>4</v>
      </c>
      <c r="B978" s="830" t="s">
        <v>677</v>
      </c>
    </row>
    <row r="979" spans="1:2" ht="15" hidden="1" customHeight="1" x14ac:dyDescent="0.2">
      <c r="A979" s="829">
        <v>5</v>
      </c>
      <c r="B979" s="830" t="s">
        <v>678</v>
      </c>
    </row>
    <row r="980" spans="1:2" ht="15" hidden="1" customHeight="1" x14ac:dyDescent="0.2">
      <c r="A980" s="829">
        <v>6</v>
      </c>
      <c r="B980" s="830" t="s">
        <v>679</v>
      </c>
    </row>
    <row r="981" spans="1:2" ht="15" hidden="1" customHeight="1" x14ac:dyDescent="0.2">
      <c r="A981" s="829">
        <v>7</v>
      </c>
      <c r="B981" s="830" t="s">
        <v>680</v>
      </c>
    </row>
    <row r="982" spans="1:2" ht="15" hidden="1" customHeight="1" x14ac:dyDescent="0.2">
      <c r="A982" s="829">
        <v>8</v>
      </c>
      <c r="B982" s="830" t="s">
        <v>681</v>
      </c>
    </row>
    <row r="983" spans="1:2" ht="15" hidden="1" customHeight="1" x14ac:dyDescent="0.2">
      <c r="A983" s="829">
        <v>9</v>
      </c>
      <c r="B983" s="830" t="s">
        <v>682</v>
      </c>
    </row>
    <row r="984" spans="1:2" ht="15" hidden="1" customHeight="1" x14ac:dyDescent="0.2">
      <c r="A984" s="829">
        <v>10</v>
      </c>
      <c r="B984" s="830" t="s">
        <v>683</v>
      </c>
    </row>
    <row r="985" spans="1:2" ht="15" hidden="1" customHeight="1" x14ac:dyDescent="0.2">
      <c r="A985" s="829">
        <v>11</v>
      </c>
      <c r="B985" s="830" t="s">
        <v>684</v>
      </c>
    </row>
    <row r="986" spans="1:2" ht="15" hidden="1" customHeight="1" x14ac:dyDescent="0.2">
      <c r="A986" s="829">
        <v>12</v>
      </c>
      <c r="B986" s="830" t="s">
        <v>685</v>
      </c>
    </row>
    <row r="987" spans="1:2" ht="15" hidden="1" customHeight="1" x14ac:dyDescent="0.2">
      <c r="A987" s="829">
        <v>13</v>
      </c>
      <c r="B987" s="830" t="s">
        <v>686</v>
      </c>
    </row>
    <row r="988" spans="1:2" ht="15" hidden="1" customHeight="1" x14ac:dyDescent="0.2">
      <c r="A988" s="829">
        <v>14</v>
      </c>
      <c r="B988" s="830" t="s">
        <v>687</v>
      </c>
    </row>
    <row r="989" spans="1:2" ht="15" hidden="1" customHeight="1" x14ac:dyDescent="0.2">
      <c r="A989" s="829">
        <v>15</v>
      </c>
      <c r="B989" s="830" t="s">
        <v>688</v>
      </c>
    </row>
    <row r="990" spans="1:2" ht="15" hidden="1" customHeight="1" x14ac:dyDescent="0.2">
      <c r="A990" s="829">
        <v>16</v>
      </c>
      <c r="B990" s="830" t="s">
        <v>689</v>
      </c>
    </row>
    <row r="991" spans="1:2" ht="15" hidden="1" customHeight="1" x14ac:dyDescent="0.2">
      <c r="A991" s="829">
        <v>17</v>
      </c>
      <c r="B991" s="830" t="s">
        <v>690</v>
      </c>
    </row>
    <row r="992" spans="1:2" ht="15" hidden="1" customHeight="1" x14ac:dyDescent="0.2">
      <c r="A992" s="829">
        <v>18</v>
      </c>
      <c r="B992" s="830" t="s">
        <v>691</v>
      </c>
    </row>
    <row r="993" spans="1:2" ht="15" hidden="1" customHeight="1" x14ac:dyDescent="0.2">
      <c r="A993" s="829">
        <v>19</v>
      </c>
      <c r="B993" s="830" t="s">
        <v>692</v>
      </c>
    </row>
    <row r="994" spans="1:2" ht="15" hidden="1" customHeight="1" x14ac:dyDescent="0.2">
      <c r="A994" s="829">
        <v>20</v>
      </c>
      <c r="B994" s="830" t="s">
        <v>693</v>
      </c>
    </row>
    <row r="995" spans="1:2" ht="15" hidden="1" customHeight="1" x14ac:dyDescent="0.2">
      <c r="A995" s="829">
        <v>21</v>
      </c>
      <c r="B995" s="830"/>
    </row>
    <row r="996" spans="1:2" ht="15" hidden="1" customHeight="1" x14ac:dyDescent="0.2">
      <c r="A996" s="829">
        <v>22</v>
      </c>
      <c r="B996" s="830" t="s">
        <v>694</v>
      </c>
    </row>
    <row r="997" spans="1:2" ht="15" hidden="1" customHeight="1" x14ac:dyDescent="0.2">
      <c r="A997" s="829">
        <v>23</v>
      </c>
      <c r="B997" s="830" t="s">
        <v>695</v>
      </c>
    </row>
    <row r="998" spans="1:2" ht="15" hidden="1" customHeight="1" x14ac:dyDescent="0.2">
      <c r="A998" s="829">
        <v>24</v>
      </c>
      <c r="B998" s="830" t="s">
        <v>696</v>
      </c>
    </row>
    <row r="999" spans="1:2" ht="15" hidden="1" customHeight="1" x14ac:dyDescent="0.2">
      <c r="A999" s="829">
        <v>25</v>
      </c>
      <c r="B999" s="831" t="s">
        <v>697</v>
      </c>
    </row>
    <row r="1000" spans="1:2" ht="15" hidden="1" customHeight="1" x14ac:dyDescent="0.2">
      <c r="A1000" s="829">
        <v>26</v>
      </c>
      <c r="B1000" s="831" t="s">
        <v>698</v>
      </c>
    </row>
    <row r="1001" spans="1:2" ht="15" hidden="1" customHeight="1" x14ac:dyDescent="0.2">
      <c r="A1001" s="829">
        <v>27</v>
      </c>
      <c r="B1001" s="831" t="s">
        <v>699</v>
      </c>
    </row>
    <row r="1002" spans="1:2" ht="15" hidden="1" customHeight="1" x14ac:dyDescent="0.2">
      <c r="A1002" s="829">
        <v>28</v>
      </c>
      <c r="B1002" s="831" t="s">
        <v>700</v>
      </c>
    </row>
    <row r="1003" spans="1:2" ht="15" hidden="1" customHeight="1" x14ac:dyDescent="0.2">
      <c r="A1003" s="829">
        <v>29</v>
      </c>
      <c r="B1003" s="831" t="s">
        <v>701</v>
      </c>
    </row>
    <row r="1004" spans="1:2" ht="15" hidden="1" customHeight="1" x14ac:dyDescent="0.2">
      <c r="A1004" s="829">
        <v>30</v>
      </c>
      <c r="B1004" s="831" t="s">
        <v>702</v>
      </c>
    </row>
    <row r="1005" spans="1:2" ht="15" hidden="1" customHeight="1" x14ac:dyDescent="0.2">
      <c r="A1005" s="829">
        <v>31</v>
      </c>
      <c r="B1005" s="831" t="s">
        <v>703</v>
      </c>
    </row>
    <row r="1006" spans="1:2" ht="15" hidden="1" customHeight="1" x14ac:dyDescent="0.2">
      <c r="A1006" s="829">
        <v>32</v>
      </c>
      <c r="B1006" s="831" t="s">
        <v>704</v>
      </c>
    </row>
    <row r="1007" spans="1:2" ht="15" hidden="1" customHeight="1" x14ac:dyDescent="0.2">
      <c r="A1007" s="829">
        <v>33</v>
      </c>
      <c r="B1007" s="831" t="s">
        <v>705</v>
      </c>
    </row>
    <row r="1008" spans="1:2" ht="15" hidden="1" customHeight="1" x14ac:dyDescent="0.2">
      <c r="A1008" s="829">
        <v>34</v>
      </c>
      <c r="B1008" s="831" t="s">
        <v>706</v>
      </c>
    </row>
    <row r="1009" spans="1:2" ht="15" hidden="1" customHeight="1" x14ac:dyDescent="0.2">
      <c r="A1009" s="829">
        <v>35</v>
      </c>
      <c r="B1009" s="831" t="s">
        <v>707</v>
      </c>
    </row>
    <row r="1010" spans="1:2" ht="15" hidden="1" customHeight="1" x14ac:dyDescent="0.2">
      <c r="A1010" s="829">
        <v>36</v>
      </c>
      <c r="B1010" s="831" t="s">
        <v>708</v>
      </c>
    </row>
    <row r="1011" spans="1:2" ht="15" hidden="1" customHeight="1" x14ac:dyDescent="0.2">
      <c r="A1011" s="829">
        <v>37</v>
      </c>
      <c r="B1011" s="831" t="s">
        <v>709</v>
      </c>
    </row>
    <row r="1012" spans="1:2" ht="15" hidden="1" customHeight="1" x14ac:dyDescent="0.2">
      <c r="A1012" s="829">
        <v>38</v>
      </c>
      <c r="B1012" s="831" t="s">
        <v>710</v>
      </c>
    </row>
    <row r="1013" spans="1:2" ht="15" hidden="1" customHeight="1" x14ac:dyDescent="0.2">
      <c r="A1013" s="829">
        <v>39</v>
      </c>
      <c r="B1013" s="831" t="s">
        <v>711</v>
      </c>
    </row>
    <row r="1014" spans="1:2" ht="15" hidden="1" customHeight="1" x14ac:dyDescent="0.2">
      <c r="A1014" s="829">
        <v>40</v>
      </c>
      <c r="B1014" s="831" t="s">
        <v>712</v>
      </c>
    </row>
    <row r="1015" spans="1:2" ht="15" hidden="1" customHeight="1" x14ac:dyDescent="0.2">
      <c r="A1015" s="829">
        <v>41</v>
      </c>
      <c r="B1015" s="831" t="s">
        <v>713</v>
      </c>
    </row>
    <row r="1016" spans="1:2" ht="15" hidden="1" customHeight="1" x14ac:dyDescent="0.2">
      <c r="A1016" s="829">
        <v>42</v>
      </c>
      <c r="B1016" s="831" t="s">
        <v>714</v>
      </c>
    </row>
    <row r="1017" spans="1:2" ht="15" hidden="1" customHeight="1" x14ac:dyDescent="0.2">
      <c r="A1017" s="829">
        <v>43</v>
      </c>
      <c r="B1017" s="831"/>
    </row>
    <row r="1018" spans="1:2" ht="15" hidden="1" customHeight="1" x14ac:dyDescent="0.2">
      <c r="A1018" s="829">
        <v>44</v>
      </c>
      <c r="B1018" s="831"/>
    </row>
    <row r="1019" spans="1:2" ht="15" hidden="1" customHeight="1" x14ac:dyDescent="0.2">
      <c r="A1019" s="829">
        <v>45</v>
      </c>
      <c r="B1019" s="831"/>
    </row>
    <row r="1020" spans="1:2" ht="15" hidden="1" customHeight="1" x14ac:dyDescent="0.2">
      <c r="A1020" s="829">
        <v>46</v>
      </c>
      <c r="B1020" s="831"/>
    </row>
    <row r="1021" spans="1:2" ht="15" hidden="1" customHeight="1" x14ac:dyDescent="0.2">
      <c r="A1021" s="829">
        <v>47</v>
      </c>
      <c r="B1021" s="831"/>
    </row>
    <row r="1022" spans="1:2" ht="15" hidden="1" customHeight="1" x14ac:dyDescent="0.2">
      <c r="A1022" s="829">
        <v>48</v>
      </c>
      <c r="B1022" s="831"/>
    </row>
    <row r="1023" spans="1:2" ht="15" hidden="1" customHeight="1" x14ac:dyDescent="0.2">
      <c r="A1023" s="829">
        <v>49</v>
      </c>
      <c r="B1023" s="831"/>
    </row>
    <row r="1024" spans="1:2" ht="15" hidden="1" customHeight="1" x14ac:dyDescent="0.2">
      <c r="A1024" s="829">
        <v>50</v>
      </c>
      <c r="B1024" s="831"/>
    </row>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sheetData>
  <sheetProtection sheet="1" objects="1" scenarios="1" selectLockedCells="1" selectUnlockedCells="1"/>
  <mergeCells count="4">
    <mergeCell ref="M1:O1"/>
    <mergeCell ref="C966:H966"/>
    <mergeCell ref="I971:J971"/>
    <mergeCell ref="E963:G963"/>
  </mergeCells>
  <phoneticPr fontId="4" type="noConversion"/>
  <conditionalFormatting sqref="A641:H642 A644:H651 B891:H891 B887:H887 B910:H910 A910:A912 A918:A921 B918:H918 A887:A889 A891:A893 B921:H921 A3:H3 A5:H5 E567:H586 A587:H638 A653:H886 A890:H890 A894:H909 A913:H917 A922:H964 A567:C586 A7:H566">
    <cfRule type="expression" dxfId="191" priority="34" stopIfTrue="1">
      <formula>$N3&lt;&gt;"x"</formula>
    </cfRule>
  </conditionalFormatting>
  <conditionalFormatting sqref="D567:D586">
    <cfRule type="expression" dxfId="190" priority="35" stopIfTrue="1">
      <formula>$N544&lt;&gt;"x"</formula>
    </cfRule>
  </conditionalFormatting>
  <conditionalFormatting sqref="E969:F969">
    <cfRule type="expression" dxfId="189" priority="36" stopIfTrue="1">
      <formula>#REF!&lt;&gt;""</formula>
    </cfRule>
    <cfRule type="cellIs" dxfId="188" priority="37" stopIfTrue="1" operator="equal">
      <formula>"w"</formula>
    </cfRule>
  </conditionalFormatting>
  <conditionalFormatting sqref="E970:F970">
    <cfRule type="expression" dxfId="187" priority="38" stopIfTrue="1">
      <formula>#REF!&lt;&gt;""</formula>
    </cfRule>
    <cfRule type="cellIs" dxfId="186" priority="39" stopIfTrue="1" operator="equal">
      <formula>"x"</formula>
    </cfRule>
  </conditionalFormatting>
  <conditionalFormatting sqref="E971:F971">
    <cfRule type="expression" dxfId="185" priority="40" stopIfTrue="1">
      <formula>#REF!&lt;&gt;""</formula>
    </cfRule>
    <cfRule type="cellIs" dxfId="184" priority="41" stopIfTrue="1" operator="equal">
      <formula>"y"</formula>
    </cfRule>
  </conditionalFormatting>
  <conditionalFormatting sqref="E967:F967">
    <cfRule type="expression" dxfId="183" priority="42" stopIfTrue="1">
      <formula>$A$2&lt;&gt;""</formula>
    </cfRule>
    <cfRule type="cellIs" dxfId="182" priority="43" stopIfTrue="1" operator="equal">
      <formula>"u"</formula>
    </cfRule>
  </conditionalFormatting>
  <conditionalFormatting sqref="E968:F968">
    <cfRule type="expression" dxfId="181" priority="44" stopIfTrue="1">
      <formula>$A$2&lt;&gt;""</formula>
    </cfRule>
    <cfRule type="cellIs" dxfId="180" priority="45" stopIfTrue="1" operator="equal">
      <formula>"v"</formula>
    </cfRule>
  </conditionalFormatting>
  <conditionalFormatting sqref="B911:H912">
    <cfRule type="expression" dxfId="179" priority="46" stopIfTrue="1">
      <formula>$N$910&lt;&gt;"x"</formula>
    </cfRule>
  </conditionalFormatting>
  <conditionalFormatting sqref="B919:H920">
    <cfRule type="expression" dxfId="178" priority="47" stopIfTrue="1">
      <formula>$N$918&lt;&gt;"x"</formula>
    </cfRule>
  </conditionalFormatting>
  <conditionalFormatting sqref="B888:H889">
    <cfRule type="expression" dxfId="177" priority="48" stopIfTrue="1">
      <formula>$N$887&lt;&gt;"x"</formula>
    </cfRule>
  </conditionalFormatting>
  <conditionalFormatting sqref="B892:H893">
    <cfRule type="expression" dxfId="176" priority="49" stopIfTrue="1">
      <formula>$N$891&lt;&gt;"x"</formula>
    </cfRule>
  </conditionalFormatting>
  <conditionalFormatting sqref="B967:B971">
    <cfRule type="expression" dxfId="175" priority="50" stopIfTrue="1">
      <formula>$A$2&lt;&gt;""</formula>
    </cfRule>
    <cfRule type="expression" dxfId="174" priority="51" stopIfTrue="1">
      <formula>$L$1&lt;&gt;"x"</formula>
    </cfRule>
  </conditionalFormatting>
  <conditionalFormatting sqref="C967:C971 A972:H972 A966:H966">
    <cfRule type="expression" dxfId="173" priority="52" stopIfTrue="1">
      <formula>$L$1&lt;&gt;"x"</formula>
    </cfRule>
  </conditionalFormatting>
  <conditionalFormatting sqref="D967">
    <cfRule type="expression" dxfId="172" priority="53" stopIfTrue="1">
      <formula>$A$2&lt;&gt;""</formula>
    </cfRule>
    <cfRule type="cellIs" dxfId="171" priority="54" stopIfTrue="1" operator="equal">
      <formula>"u"</formula>
    </cfRule>
    <cfRule type="expression" dxfId="170" priority="55" stopIfTrue="1">
      <formula>$L$1&lt;&gt;"x"</formula>
    </cfRule>
  </conditionalFormatting>
  <conditionalFormatting sqref="D968">
    <cfRule type="expression" dxfId="169" priority="56" stopIfTrue="1">
      <formula>$A$2&lt;&gt;""</formula>
    </cfRule>
    <cfRule type="cellIs" dxfId="168" priority="57" stopIfTrue="1" operator="equal">
      <formula>"v"</formula>
    </cfRule>
    <cfRule type="expression" dxfId="167" priority="58" stopIfTrue="1">
      <formula>$L$1&lt;&gt;"x"</formula>
    </cfRule>
  </conditionalFormatting>
  <conditionalFormatting sqref="D969">
    <cfRule type="expression" dxfId="166" priority="59" stopIfTrue="1">
      <formula>$A$2&lt;&gt;""</formula>
    </cfRule>
    <cfRule type="cellIs" dxfId="165" priority="60" stopIfTrue="1" operator="equal">
      <formula>"w"</formula>
    </cfRule>
    <cfRule type="expression" dxfId="164" priority="61" stopIfTrue="1">
      <formula>$L$1&lt;&gt;"x"</formula>
    </cfRule>
  </conditionalFormatting>
  <conditionalFormatting sqref="D970">
    <cfRule type="expression" dxfId="163" priority="62" stopIfTrue="1">
      <formula>$A$2&lt;&gt;""</formula>
    </cfRule>
    <cfRule type="cellIs" dxfId="162" priority="63" stopIfTrue="1" operator="equal">
      <formula>"x"</formula>
    </cfRule>
    <cfRule type="expression" dxfId="161" priority="64" stopIfTrue="1">
      <formula>$L$1&lt;&gt;"x"</formula>
    </cfRule>
  </conditionalFormatting>
  <conditionalFormatting sqref="D971">
    <cfRule type="expression" dxfId="160" priority="65" stopIfTrue="1">
      <formula>$A$2&lt;&gt;""</formula>
    </cfRule>
    <cfRule type="cellIs" dxfId="159" priority="66" stopIfTrue="1" operator="equal">
      <formula>"y"</formula>
    </cfRule>
    <cfRule type="expression" dxfId="158" priority="67" stopIfTrue="1">
      <formula>$L$1&lt;&gt;"x"</formula>
    </cfRule>
  </conditionalFormatting>
  <conditionalFormatting sqref="I641:L642 P641:T642 I644:L651 P644:T651 I910 I918 I3:L3 P3:T3 I5:L5 P5:T5 Q567:T586 P587:T638 I653:L886 P653:T887 I890:L890 P890:T891 I894:L909 P894:T910 I913:L917 P913:T918 I921:L964 P921:T960 I7:L638 P7:T9 P11:T566 Q10:T10">
    <cfRule type="expression" dxfId="157" priority="2" stopIfTrue="1">
      <formula>$N3&lt;&gt;"x"</formula>
    </cfRule>
  </conditionalFormatting>
  <conditionalFormatting sqref="P567:P586">
    <cfRule type="expression" dxfId="156" priority="3" stopIfTrue="1">
      <formula>$N544&lt;&gt;"x"</formula>
    </cfRule>
  </conditionalFormatting>
  <conditionalFormatting sqref="J910:L912 I911:I912 P911:T912">
    <cfRule type="expression" dxfId="155" priority="14" stopIfTrue="1">
      <formula>$N$910&lt;&gt;"x"</formula>
    </cfRule>
  </conditionalFormatting>
  <conditionalFormatting sqref="J918:L920 I919:I920 P919:T920">
    <cfRule type="expression" dxfId="154" priority="15" stopIfTrue="1">
      <formula>$N$918&lt;&gt;"x"</formula>
    </cfRule>
  </conditionalFormatting>
  <conditionalFormatting sqref="I887:L889 P888:T889">
    <cfRule type="expression" dxfId="153" priority="16" stopIfTrue="1">
      <formula>$N$887&lt;&gt;"x"</formula>
    </cfRule>
  </conditionalFormatting>
  <conditionalFormatting sqref="I891:L893 P892:T893">
    <cfRule type="expression" dxfId="152" priority="17" stopIfTrue="1">
      <formula>$N$891&lt;&gt;"x"</formula>
    </cfRule>
  </conditionalFormatting>
  <conditionalFormatting sqref="I972:L972 I966:L966">
    <cfRule type="expression" dxfId="151" priority="18" stopIfTrue="1">
      <formula>$L$1&lt;&gt;"x"</formula>
    </cfRule>
  </conditionalFormatting>
  <conditionalFormatting sqref="P10">
    <cfRule type="expression" dxfId="150" priority="1" stopIfTrue="1">
      <formula>$N10&lt;&gt;"x"</formula>
    </cfRule>
  </conditionalFormatting>
  <dataValidations count="2">
    <dataValidation type="list" allowBlank="1" showInputMessage="1" showErrorMessage="1" sqref="B2" xr:uid="{00000000-0002-0000-0000-000000000000}">
      <formula1>$B$975:$B$1024</formula1>
    </dataValidation>
    <dataValidation type="list" allowBlank="1" showInputMessage="1" showErrorMessage="1" sqref="L1" xr:uid="{00000000-0002-0000-0000-000001000000}">
      <formula1>#REF!</formula1>
    </dataValidation>
  </dataValidations>
  <printOptions horizontalCentered="1"/>
  <pageMargins left="0.39370078740157483" right="0.39370078740157483" top="0.78740157480314965" bottom="0.78740157480314965" header="0" footer="0.39370078740157483"/>
  <pageSetup paperSize="9" scale="85" fitToHeight="7" orientation="portrait" blackAndWhite="1" horizontalDpi="4294967293" r:id="rId1"/>
  <headerFooter alignWithMargins="0">
    <oddFooter>&amp;L&amp;"Arial,Kursiv"&amp;8© Mag. Wolfgang Harasleben&amp;R&amp;"Arial,Kursiv"&amp;8Seite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1">
    <tabColor indexed="10"/>
  </sheetPr>
  <dimension ref="A1:L275"/>
  <sheetViews>
    <sheetView showGridLines="0" zoomScaleNormal="100" workbookViewId="0">
      <pane ySplit="6" topLeftCell="A7" activePane="bottomLeft" state="frozen"/>
      <selection activeCell="J26" sqref="J26"/>
      <selection pane="bottomLeft" activeCell="J26" sqref="J26"/>
    </sheetView>
  </sheetViews>
  <sheetFormatPr baseColWidth="10" defaultColWidth="0" defaultRowHeight="12.75" customHeight="1" zeroHeight="1" x14ac:dyDescent="0.2"/>
  <cols>
    <col min="1" max="1" width="2.28515625" style="1" customWidth="1"/>
    <col min="2" max="2" width="24.140625" style="1" customWidth="1"/>
    <col min="3" max="9" width="8.7109375" style="1" customWidth="1"/>
    <col min="10" max="10" width="2.28515625" style="1" customWidth="1"/>
    <col min="11" max="11" width="0.85546875" style="15" customWidth="1"/>
    <col min="12" max="12" width="20.7109375" style="15" customWidth="1"/>
    <col min="13" max="16384" width="11.42578125" style="1" hidden="1"/>
  </cols>
  <sheetData>
    <row r="1" spans="1:12" ht="24.95" customHeight="1" x14ac:dyDescent="0.2">
      <c r="A1" s="1283"/>
      <c r="B1" s="250" t="s">
        <v>169</v>
      </c>
      <c r="C1" s="251"/>
      <c r="D1" s="251"/>
      <c r="E1" s="251"/>
      <c r="F1" s="251"/>
      <c r="G1" s="251"/>
      <c r="H1" s="251"/>
      <c r="I1" s="251"/>
      <c r="J1" s="251"/>
      <c r="K1" s="9"/>
      <c r="L1" s="1160" t="s">
        <v>11</v>
      </c>
    </row>
    <row r="2" spans="1:12" s="6" customFormat="1" ht="12.6" customHeight="1" x14ac:dyDescent="0.2">
      <c r="A2" s="1283"/>
      <c r="B2" s="209" t="str">
        <f>IF([1]ILeist!H12="","-",[1]ILeist!H12)</f>
        <v>Dauergrünland 3-schnittig</v>
      </c>
      <c r="C2" s="251"/>
      <c r="D2" s="251"/>
      <c r="E2" s="251"/>
      <c r="F2" s="251"/>
      <c r="G2" s="251"/>
      <c r="H2" s="251"/>
      <c r="I2" s="251"/>
      <c r="J2" s="251"/>
      <c r="K2" s="10"/>
      <c r="L2" s="1160"/>
    </row>
    <row r="3" spans="1:12" ht="11.85" customHeight="1" x14ac:dyDescent="0.2">
      <c r="A3" s="53"/>
      <c r="B3" s="53"/>
      <c r="C3" s="53"/>
      <c r="D3" s="53"/>
      <c r="E3" s="53"/>
      <c r="F3" s="53"/>
      <c r="G3" s="53"/>
      <c r="H3" s="53"/>
      <c r="I3" s="53"/>
      <c r="J3" s="53"/>
      <c r="K3" s="10"/>
      <c r="L3" s="1160"/>
    </row>
    <row r="4" spans="1:12" ht="11.85" customHeight="1" x14ac:dyDescent="0.2">
      <c r="A4" s="53"/>
      <c r="B4" s="547" t="s">
        <v>170</v>
      </c>
      <c r="C4" s="1284" t="str">
        <f>IF([1]ILeist!F12="","",[1]ILeist!F12&amp;" ha "&amp;IF([1]ILeist!H12="","-",[1]ILeist!H12))</f>
        <v>4 ha Dauergrünland 3-schnittig</v>
      </c>
      <c r="D4" s="1284"/>
      <c r="E4" s="53"/>
      <c r="F4" s="53"/>
      <c r="G4" s="53"/>
      <c r="H4" s="53"/>
      <c r="I4" s="53"/>
      <c r="J4" s="53"/>
      <c r="K4" s="10"/>
      <c r="L4" s="1160"/>
    </row>
    <row r="5" spans="1:12" ht="11.85" customHeight="1" x14ac:dyDescent="0.2">
      <c r="A5" s="53"/>
      <c r="B5" s="547" t="s">
        <v>171</v>
      </c>
      <c r="C5" s="1285">
        <f>IF([1]ILeist!F14="","",[1]ILeist!F14)</f>
        <v>3</v>
      </c>
      <c r="D5" s="1285"/>
      <c r="E5" s="53"/>
      <c r="F5" s="53"/>
      <c r="G5" s="53"/>
      <c r="H5" s="53"/>
      <c r="I5" s="53"/>
      <c r="J5" s="53"/>
      <c r="K5" s="10"/>
      <c r="L5" s="1160"/>
    </row>
    <row r="6" spans="1:12" ht="11.85" customHeight="1" x14ac:dyDescent="0.2">
      <c r="A6" s="53"/>
      <c r="B6" s="53"/>
      <c r="C6" s="53"/>
      <c r="D6" s="53"/>
      <c r="E6" s="53"/>
      <c r="F6" s="53"/>
      <c r="G6" s="53"/>
      <c r="H6" s="53"/>
      <c r="I6" s="53"/>
      <c r="J6" s="53"/>
      <c r="K6" s="10"/>
      <c r="L6" s="1160"/>
    </row>
    <row r="7" spans="1:12" ht="2.1" customHeight="1" x14ac:dyDescent="0.2">
      <c r="A7" s="53"/>
      <c r="B7" s="57"/>
      <c r="C7" s="57"/>
      <c r="D7" s="57"/>
      <c r="E7" s="57"/>
      <c r="F7" s="57"/>
      <c r="G7" s="57"/>
      <c r="H7" s="57"/>
      <c r="I7" s="57"/>
      <c r="J7" s="53"/>
      <c r="K7" s="10"/>
      <c r="L7" s="11"/>
    </row>
    <row r="8" spans="1:12" ht="11.85" customHeight="1" x14ac:dyDescent="0.2">
      <c r="A8" s="53"/>
      <c r="B8" s="51" t="s">
        <v>172</v>
      </c>
      <c r="C8" s="31" t="s">
        <v>173</v>
      </c>
      <c r="D8" s="548" t="s">
        <v>174</v>
      </c>
      <c r="E8" s="548"/>
      <c r="F8" s="548"/>
      <c r="G8" s="31" t="s">
        <v>175</v>
      </c>
      <c r="H8" s="641" t="s">
        <v>176</v>
      </c>
      <c r="I8" s="641"/>
      <c r="J8" s="53"/>
      <c r="K8" s="10"/>
      <c r="L8" s="11"/>
    </row>
    <row r="9" spans="1:12" ht="11.85" customHeight="1" x14ac:dyDescent="0.2">
      <c r="A9" s="53"/>
      <c r="B9" s="549" t="s">
        <v>177</v>
      </c>
      <c r="C9" s="31" t="s">
        <v>178</v>
      </c>
      <c r="D9" s="252">
        <f>IF([1]ILeist!H28="","",[1]ILeist!H28)</f>
        <v>75</v>
      </c>
      <c r="E9" s="252" t="str">
        <f>IF([1]ILeist!J28="","",[1]ILeist!J28)</f>
        <v/>
      </c>
      <c r="F9" s="253" t="str">
        <f>IF([1]ILeist!L28="","",[1]ILeist!L28)</f>
        <v/>
      </c>
      <c r="G9" s="31" t="s">
        <v>178</v>
      </c>
      <c r="H9" s="31" t="s">
        <v>179</v>
      </c>
      <c r="I9" s="31" t="s">
        <v>152</v>
      </c>
      <c r="J9" s="53"/>
      <c r="K9" s="10"/>
      <c r="L9" s="11"/>
    </row>
    <row r="10" spans="1:12" ht="2.1" customHeight="1" x14ac:dyDescent="0.2">
      <c r="A10" s="53"/>
      <c r="B10" s="549"/>
      <c r="C10" s="31"/>
      <c r="D10" s="31"/>
      <c r="E10" s="31"/>
      <c r="F10" s="31"/>
      <c r="G10" s="31"/>
      <c r="H10" s="31"/>
      <c r="I10" s="31"/>
      <c r="J10" s="53"/>
      <c r="K10" s="10"/>
      <c r="L10" s="11"/>
    </row>
    <row r="11" spans="1:12" ht="11.85" customHeight="1" x14ac:dyDescent="0.2">
      <c r="A11" s="53"/>
      <c r="B11" s="52" t="str">
        <f>IF([1]ILeist!C32="","",[1]ILeist!C32)</f>
        <v xml:space="preserve">  Festmist</v>
      </c>
      <c r="C11" s="226">
        <f>IF([1]ILeist!Q32="","",[1]ILeist!Q32)</f>
        <v>12.222</v>
      </c>
      <c r="D11" s="226" t="str">
        <f>IF([1]ILeist!H32="x",'1xDgl'!$C11,"")</f>
        <v/>
      </c>
      <c r="E11" s="226" t="str">
        <f>IF([1]ILeist!J32="x",'1xDgl'!$C11,"")</f>
        <v/>
      </c>
      <c r="F11" s="226" t="str">
        <f>IF([1]ILeist!L32="x",'1xDgl'!$C11,"")</f>
        <v/>
      </c>
      <c r="G11" s="226" t="str">
        <f>IF(AND(C11&lt;&gt;"",H11&lt;&gt;""),C11,"")</f>
        <v/>
      </c>
      <c r="H11" s="226"/>
      <c r="I11" s="226">
        <f>IF(WD.1Dgl!G24="noch leer","noch leer",WD.1Dgl!G24)</f>
        <v>182.75518296000004</v>
      </c>
      <c r="J11" s="53"/>
      <c r="K11" s="10"/>
      <c r="L11" s="11"/>
    </row>
    <row r="12" spans="1:12" ht="11.85" customHeight="1" thickBot="1" x14ac:dyDescent="0.25">
      <c r="A12" s="53"/>
      <c r="B12" s="52" t="str">
        <f>IF([1]ILeist!C34="","",[1]ILeist!C34)</f>
        <v xml:space="preserve">  Jauche</v>
      </c>
      <c r="C12" s="226">
        <f>IF([1]ILeist!Q34="","",[1]ILeist!Q34)</f>
        <v>9.4</v>
      </c>
      <c r="D12" s="226" t="str">
        <f>IF([1]ILeist!H34="x",'1xDgl'!$C12,"")</f>
        <v/>
      </c>
      <c r="E12" s="226" t="str">
        <f>IF([1]ILeist!J34="x",'1xDgl'!$C12,"")</f>
        <v/>
      </c>
      <c r="F12" s="226" t="str">
        <f>IF([1]ILeist!L34="x",'1xDgl'!$C12,"")</f>
        <v/>
      </c>
      <c r="G12" s="226" t="str">
        <f>IF(AND(C12&lt;&gt;"",H12&lt;&gt;""),C12,"")</f>
        <v/>
      </c>
      <c r="H12" s="226"/>
      <c r="I12" s="540">
        <f>IF(WD.1Dgl!G49="noch leer","noch leer",WD.1Dgl!G49)</f>
        <v>130.02850800000002</v>
      </c>
      <c r="J12" s="53"/>
      <c r="K12" s="10"/>
      <c r="L12" s="11"/>
    </row>
    <row r="13" spans="1:12" ht="11.85" customHeight="1" thickBot="1" x14ac:dyDescent="0.25">
      <c r="A13" s="53"/>
      <c r="B13" s="52" t="str">
        <f>IF([1]ILeist!C36="","",[1]ILeist!C36)</f>
        <v xml:space="preserve">  Abschleppen</v>
      </c>
      <c r="C13" s="226">
        <f>IF([1]ILeist!Q36="","",[1]ILeist!Q36)</f>
        <v>2.2999999999999998</v>
      </c>
      <c r="D13" s="226">
        <f>IF([1]ILeist!H36="x",'1xDgl'!$C13,"")</f>
        <v>2.2999999999999998</v>
      </c>
      <c r="E13" s="226" t="str">
        <f>IF([1]ILeist!J36="x",'1xDgl'!$C13,"")</f>
        <v/>
      </c>
      <c r="F13" s="226" t="str">
        <f>IF([1]ILeist!L36="x",'1xDgl'!$C13,"")</f>
        <v/>
      </c>
      <c r="G13" s="226">
        <f>IF(AND(C13&lt;&gt;"",H13&lt;&gt;""),C13,"")</f>
        <v>2.2999999999999998</v>
      </c>
      <c r="H13" s="1113">
        <f>IF([1]ILeist!N36="","",[1]ILeist!N36)</f>
        <v>0.95</v>
      </c>
      <c r="I13" s="169">
        <f>G13*H13</f>
        <v>2.1849999999999996</v>
      </c>
      <c r="J13" s="53"/>
      <c r="K13" s="10"/>
      <c r="L13" s="11"/>
    </row>
    <row r="14" spans="1:12" ht="11.85" customHeight="1" x14ac:dyDescent="0.2">
      <c r="A14" s="53"/>
      <c r="B14" s="52" t="str">
        <f>IF([1]ILeist!C38="","",[1]ILeist!C38)</f>
        <v xml:space="preserve">  Pflegearbeiten</v>
      </c>
      <c r="C14" s="226">
        <f>IF([1]ILeist!Q38="","",[1]ILeist!Q38)</f>
        <v>4</v>
      </c>
      <c r="D14" s="226" t="str">
        <f>IF([1]ILeist!H38="x",'1xDgl'!$C14,"")</f>
        <v/>
      </c>
      <c r="E14" s="226" t="str">
        <f>IF([1]ILeist!J38="x",'1xDgl'!$C14,"")</f>
        <v/>
      </c>
      <c r="F14" s="226" t="str">
        <f>IF([1]ILeist!L38="x",'1xDgl'!$C14,"")</f>
        <v/>
      </c>
      <c r="G14" s="226" t="str">
        <f>IF(AND(C14&lt;&gt;"",H14&lt;&gt;""),C14,"")</f>
        <v/>
      </c>
      <c r="H14" s="226" t="str">
        <f>IF([1]ILeist!N38="","",[1]ILeist!N38)</f>
        <v/>
      </c>
      <c r="I14" s="1108"/>
      <c r="J14" s="53"/>
      <c r="K14" s="10"/>
      <c r="L14" s="11"/>
    </row>
    <row r="15" spans="1:12" ht="11.85" customHeight="1" thickBot="1" x14ac:dyDescent="0.25">
      <c r="A15" s="53"/>
      <c r="B15" s="52" t="str">
        <f>IF([1]ILeist!C40="","",[1]ILeist!C40)</f>
        <v/>
      </c>
      <c r="C15" s="226" t="str">
        <f>IF([1]ILeist!Q40="","",[1]ILeist!Q40)</f>
        <v/>
      </c>
      <c r="D15" s="540" t="str">
        <f>IF([1]ILeist!H40="x",'1xDgl'!$C15,"")</f>
        <v/>
      </c>
      <c r="E15" s="226" t="str">
        <f>IF([1]ILeist!J40="x",'1xDgl'!$C15,"")</f>
        <v/>
      </c>
      <c r="F15" s="226" t="str">
        <f>IF([1]ILeist!L40="x",'1xDgl'!$C15,"")</f>
        <v/>
      </c>
      <c r="G15" s="226" t="str">
        <f>IF(AND(C15&lt;&gt;"",H15&lt;&gt;""),C15,"")</f>
        <v/>
      </c>
      <c r="H15" s="226" t="str">
        <f>IF([1]ILeist!N40="","",[1]ILeist!N40)</f>
        <v/>
      </c>
      <c r="I15" s="1110"/>
      <c r="J15" s="53"/>
      <c r="K15" s="10"/>
      <c r="L15" s="11"/>
    </row>
    <row r="16" spans="1:12" ht="11.85" customHeight="1" thickBot="1" x14ac:dyDescent="0.25">
      <c r="A16" s="53"/>
      <c r="B16" s="62" t="s">
        <v>4</v>
      </c>
      <c r="C16" s="1112">
        <f>SUM(C11:C15)</f>
        <v>27.922000000000001</v>
      </c>
      <c r="D16" s="231">
        <f>SUM(D11:D15)</f>
        <v>2.2999999999999998</v>
      </c>
      <c r="E16" s="551"/>
      <c r="F16" s="551"/>
      <c r="G16" s="551"/>
      <c r="H16" s="551"/>
      <c r="I16" s="231">
        <f>SUM(I11:I15)</f>
        <v>314.96869096000006</v>
      </c>
      <c r="J16" s="53"/>
      <c r="K16" s="10"/>
      <c r="L16" s="11"/>
    </row>
    <row r="17" spans="1:12" ht="11.85" customHeight="1" thickBot="1" x14ac:dyDescent="0.25">
      <c r="A17" s="53"/>
      <c r="B17" s="552" t="str">
        <f>"1 x je Schnitt   → "&amp;C36&amp;" x"</f>
        <v>1 x je Schnitt   → 3 x</v>
      </c>
      <c r="C17" s="553" t="str">
        <f>IF([1]ILeist!F41="","",[1]ILeist!F41)</f>
        <v/>
      </c>
      <c r="D17" s="553"/>
      <c r="E17" s="553"/>
      <c r="F17" s="553"/>
      <c r="G17" s="553"/>
      <c r="H17" s="553" t="str">
        <f>IF([1]ILeist!N41="","",[1]ILeist!N41)</f>
        <v/>
      </c>
      <c r="I17" s="553"/>
      <c r="J17" s="53"/>
      <c r="K17" s="10"/>
      <c r="L17" s="11"/>
    </row>
    <row r="18" spans="1:12" ht="11.85" customHeight="1" thickBot="1" x14ac:dyDescent="0.25">
      <c r="A18" s="53"/>
      <c r="B18" s="52" t="str">
        <f>IF([1]ILeist!C42="","",[1]ILeist!C42)</f>
        <v xml:space="preserve">  Mähen</v>
      </c>
      <c r="C18" s="226">
        <f>IF([1]ILeist!Q42="","",[1]ILeist!Q42)</f>
        <v>3.4</v>
      </c>
      <c r="D18" s="226">
        <f>IF([1]ILeist!H42="x",'1xDgl'!$C18,"")</f>
        <v>3.4</v>
      </c>
      <c r="E18" s="226" t="str">
        <f>IF([1]ILeist!J42="x",'1xDgl'!$C18,"")</f>
        <v/>
      </c>
      <c r="F18" s="226" t="str">
        <f>IF([1]ILeist!L42="x",'1xDgl'!$C18,"")</f>
        <v/>
      </c>
      <c r="G18" s="226">
        <f t="shared" ref="G18:G26" si="0">IF(AND(C18&lt;&gt;"",H18&lt;&gt;""),C18,"")</f>
        <v>3.4</v>
      </c>
      <c r="H18" s="1113">
        <f>IF([1]ILeist!N42="","",[1]ILeist!N42)</f>
        <v>1.7</v>
      </c>
      <c r="I18" s="169">
        <f t="shared" ref="I18:I22" si="1">G18*H18</f>
        <v>5.7799999999999994</v>
      </c>
      <c r="J18" s="53"/>
      <c r="K18" s="10"/>
      <c r="L18" s="11"/>
    </row>
    <row r="19" spans="1:12" ht="11.85" customHeight="1" thickBot="1" x14ac:dyDescent="0.25">
      <c r="A19" s="53"/>
      <c r="B19" s="52" t="str">
        <f>IF([1]ILeist!C44="","",[1]ILeist!C44)</f>
        <v xml:space="preserve">  Zetten&amp;Wenden</v>
      </c>
      <c r="C19" s="226">
        <f>IF([1]ILeist!Q44="","",[1]ILeist!Q44)</f>
        <v>3.4</v>
      </c>
      <c r="D19" s="226">
        <f>IF([1]ILeist!H44="x",'1xDgl'!$C19,"")</f>
        <v>3.4</v>
      </c>
      <c r="E19" s="226" t="str">
        <f>IF([1]ILeist!J44="x",'1xDgl'!$C19,"")</f>
        <v/>
      </c>
      <c r="F19" s="226" t="str">
        <f>IF([1]ILeist!L44="x",'1xDgl'!$C19,"")</f>
        <v/>
      </c>
      <c r="G19" s="226">
        <f t="shared" si="0"/>
        <v>3.4</v>
      </c>
      <c r="H19" s="1113">
        <f>IF([1]ILeist!N44="","",[1]ILeist!N44)</f>
        <v>1.52</v>
      </c>
      <c r="I19" s="169">
        <f t="shared" si="1"/>
        <v>5.1680000000000001</v>
      </c>
      <c r="J19" s="53"/>
      <c r="K19" s="10"/>
      <c r="L19" s="11"/>
    </row>
    <row r="20" spans="1:12" ht="11.85" customHeight="1" thickBot="1" x14ac:dyDescent="0.25">
      <c r="A20" s="53"/>
      <c r="B20" s="52" t="str">
        <f>IF([1]ILeist!C46="","",[1]ILeist!C46)</f>
        <v xml:space="preserve">  Schwaden</v>
      </c>
      <c r="C20" s="226">
        <f>IF([1]ILeist!Q46="","",[1]ILeist!Q46)</f>
        <v>2.9</v>
      </c>
      <c r="D20" s="226">
        <f>IF([1]ILeist!H46="x",'1xDgl'!$C20,"")</f>
        <v>2.9</v>
      </c>
      <c r="E20" s="226" t="str">
        <f>IF([1]ILeist!J46="x",'1xDgl'!$C20,"")</f>
        <v/>
      </c>
      <c r="F20" s="226" t="str">
        <f>IF([1]ILeist!L46="x",'1xDgl'!$C20,"")</f>
        <v/>
      </c>
      <c r="G20" s="226">
        <f t="shared" si="0"/>
        <v>2.9</v>
      </c>
      <c r="H20" s="1113">
        <f>IF([1]ILeist!N46="","",[1]ILeist!N46)</f>
        <v>0.7</v>
      </c>
      <c r="I20" s="169">
        <f t="shared" si="1"/>
        <v>2.0299999999999998</v>
      </c>
      <c r="J20" s="53"/>
      <c r="K20" s="10"/>
      <c r="L20" s="11"/>
    </row>
    <row r="21" spans="1:12" ht="11.85" customHeight="1" thickBot="1" x14ac:dyDescent="0.25">
      <c r="A21" s="53"/>
      <c r="B21" s="52" t="str">
        <f>IF([1]ILeist!C48="","",[1]ILeist!C48)</f>
        <v xml:space="preserve">  Laden&amp;Transport</v>
      </c>
      <c r="C21" s="226">
        <f>IF([1]ILeist!Q48="","",[1]ILeist!Q48)</f>
        <v>5.7</v>
      </c>
      <c r="D21" s="226">
        <f>IF([1]ILeist!H48="x",'1xDgl'!$C21,"")</f>
        <v>5.7</v>
      </c>
      <c r="E21" s="226" t="str">
        <f>IF([1]ILeist!J48="x",'1xDgl'!$C21,"")</f>
        <v/>
      </c>
      <c r="F21" s="226" t="str">
        <f>IF([1]ILeist!L48="x",'1xDgl'!$C21,"")</f>
        <v/>
      </c>
      <c r="G21" s="226">
        <f t="shared" si="0"/>
        <v>5.7</v>
      </c>
      <c r="H21" s="1113">
        <f>IF([1]ILeist!N48="","",[1]ILeist!N48)</f>
        <v>4</v>
      </c>
      <c r="I21" s="169">
        <f t="shared" si="1"/>
        <v>22.8</v>
      </c>
      <c r="J21" s="53"/>
      <c r="K21" s="10"/>
      <c r="L21" s="11"/>
    </row>
    <row r="22" spans="1:12" ht="11.85" customHeight="1" thickBot="1" x14ac:dyDescent="0.25">
      <c r="A22" s="53"/>
      <c r="B22" s="52" t="str">
        <f>IF([1]ILeist!C50="","",[1]ILeist!C50)</f>
        <v xml:space="preserve">  Einlagern</v>
      </c>
      <c r="C22" s="226">
        <f>IF([1]ILeist!Q50="","",[1]ILeist!Q50)</f>
        <v>5.0999999999999996</v>
      </c>
      <c r="D22" s="226">
        <f>IF([1]ILeist!H50="x",'1xDgl'!$C22,"")</f>
        <v>5.0999999999999996</v>
      </c>
      <c r="E22" s="226" t="str">
        <f>IF([1]ILeist!J50="x",'1xDgl'!$C22,"")</f>
        <v/>
      </c>
      <c r="F22" s="226" t="str">
        <f>IF([1]ILeist!L50="x",'1xDgl'!$C22,"")</f>
        <v/>
      </c>
      <c r="G22" s="226">
        <f t="shared" si="0"/>
        <v>5.0999999999999996</v>
      </c>
      <c r="H22" s="1113">
        <f>IF([1]ILeist!N50="","",[1]ILeist!N50)</f>
        <v>1.8</v>
      </c>
      <c r="I22" s="169">
        <f t="shared" si="1"/>
        <v>9.18</v>
      </c>
      <c r="J22" s="53"/>
      <c r="K22" s="12"/>
      <c r="L22" s="11"/>
    </row>
    <row r="23" spans="1:12" ht="11.85" customHeight="1" x14ac:dyDescent="0.2">
      <c r="A23" s="53"/>
      <c r="B23" s="52" t="str">
        <f>IF([1]ILeist!C52="","",[1]ILeist!C52)</f>
        <v/>
      </c>
      <c r="C23" s="226" t="str">
        <f>IF([1]ILeist!Q52="","",[1]ILeist!Q52)</f>
        <v/>
      </c>
      <c r="D23" s="226" t="str">
        <f>IF([1]ILeist!H52="x",'1xDgl'!$C23,"")</f>
        <v/>
      </c>
      <c r="E23" s="226" t="str">
        <f>IF([1]ILeist!J52="x",'1xDgl'!$C23,"")</f>
        <v/>
      </c>
      <c r="F23" s="226" t="str">
        <f>IF([1]ILeist!L52="x",'1xDgl'!$C23,"")</f>
        <v/>
      </c>
      <c r="G23" s="226" t="str">
        <f t="shared" si="0"/>
        <v/>
      </c>
      <c r="H23" s="226" t="str">
        <f>IF([1]ILeist!N52="","",[1]ILeist!N52)</f>
        <v/>
      </c>
      <c r="I23" s="1111"/>
      <c r="J23" s="53"/>
      <c r="K23" s="10"/>
      <c r="L23" s="11"/>
    </row>
    <row r="24" spans="1:12" ht="11.85" customHeight="1" x14ac:dyDescent="0.2">
      <c r="A24" s="53"/>
      <c r="B24" s="52" t="str">
        <f>IF([1]ILeist!C54="","",[1]ILeist!C54)</f>
        <v/>
      </c>
      <c r="C24" s="226" t="str">
        <f>IF([1]ILeist!Q54="","",[1]ILeist!Q54)</f>
        <v/>
      </c>
      <c r="D24" s="226" t="str">
        <f>IF([1]ILeist!H54="x",'1xDgl'!$C24,"")</f>
        <v/>
      </c>
      <c r="E24" s="226" t="str">
        <f>IF([1]ILeist!J54="x",'1xDgl'!$C24,"")</f>
        <v/>
      </c>
      <c r="F24" s="226" t="str">
        <f>IF([1]ILeist!L54="x",'1xDgl'!$C24,"")</f>
        <v/>
      </c>
      <c r="G24" s="226" t="str">
        <f t="shared" si="0"/>
        <v/>
      </c>
      <c r="H24" s="226" t="str">
        <f>IF([1]ILeist!N54="","",[1]ILeist!N54)</f>
        <v/>
      </c>
      <c r="I24" s="1111"/>
      <c r="J24" s="53"/>
      <c r="K24" s="10"/>
      <c r="L24" s="11"/>
    </row>
    <row r="25" spans="1:12" ht="11.85" customHeight="1" x14ac:dyDescent="0.2">
      <c r="A25" s="53"/>
      <c r="B25" s="52" t="str">
        <f>IF([1]ILeist!C56="","",[1]ILeist!C56)</f>
        <v/>
      </c>
      <c r="C25" s="226" t="str">
        <f>IF([1]ILeist!Q56="","",[1]ILeist!Q56)</f>
        <v/>
      </c>
      <c r="D25" s="226" t="str">
        <f>IF([1]ILeist!H56="x",'1xDgl'!$C25,"")</f>
        <v/>
      </c>
      <c r="E25" s="226" t="str">
        <f>IF([1]ILeist!J56="x",'1xDgl'!$C25,"")</f>
        <v/>
      </c>
      <c r="F25" s="226" t="str">
        <f>IF([1]ILeist!L56="x",'1xDgl'!$C25,"")</f>
        <v/>
      </c>
      <c r="G25" s="226" t="str">
        <f t="shared" si="0"/>
        <v/>
      </c>
      <c r="H25" s="226" t="str">
        <f>IF([1]ILeist!N56="","",[1]ILeist!N56)</f>
        <v/>
      </c>
      <c r="I25" s="1111"/>
      <c r="J25" s="53"/>
      <c r="K25" s="10"/>
      <c r="L25" s="11"/>
    </row>
    <row r="26" spans="1:12" ht="11.85" customHeight="1" thickBot="1" x14ac:dyDescent="0.25">
      <c r="A26" s="53"/>
      <c r="B26" s="52" t="str">
        <f>IF([1]ILeist!C58="","",[1]ILeist!C58)</f>
        <v/>
      </c>
      <c r="C26" s="226" t="str">
        <f>IF([1]ILeist!Q58="","",[1]ILeist!Q58)</f>
        <v/>
      </c>
      <c r="D26" s="540" t="str">
        <f>IF([1]ILeist!H58="x",'1xDgl'!$C26,"")</f>
        <v/>
      </c>
      <c r="E26" s="226" t="str">
        <f>IF([1]ILeist!J58="x",'1xDgl'!$C26,"")</f>
        <v/>
      </c>
      <c r="F26" s="226" t="str">
        <f>IF([1]ILeist!L58="x",'1xDgl'!$C26,"")</f>
        <v/>
      </c>
      <c r="G26" s="226" t="str">
        <f t="shared" si="0"/>
        <v/>
      </c>
      <c r="H26" s="226" t="str">
        <f>IF([1]ILeist!N58="","",[1]ILeist!N58)</f>
        <v/>
      </c>
      <c r="I26" s="1110"/>
      <c r="J26" s="53"/>
      <c r="K26" s="10"/>
      <c r="L26" s="11"/>
    </row>
    <row r="27" spans="1:12" ht="11.85" customHeight="1" thickBot="1" x14ac:dyDescent="0.25">
      <c r="A27" s="53"/>
      <c r="B27" s="62" t="s">
        <v>5</v>
      </c>
      <c r="C27" s="1109">
        <f>SUM(C18:C26)</f>
        <v>20.5</v>
      </c>
      <c r="D27" s="231">
        <f>SUM(D18:D26)</f>
        <v>20.5</v>
      </c>
      <c r="E27" s="554"/>
      <c r="F27" s="554"/>
      <c r="G27" s="554"/>
      <c r="H27" s="555"/>
      <c r="I27" s="231">
        <f>SUM(I18:I26)</f>
        <v>44.957999999999998</v>
      </c>
      <c r="J27" s="53"/>
      <c r="K27" s="10"/>
      <c r="L27" s="11"/>
    </row>
    <row r="28" spans="1:12" ht="11.85" customHeight="1" thickBot="1" x14ac:dyDescent="0.25">
      <c r="A28" s="53"/>
      <c r="B28" s="51" t="s">
        <v>324</v>
      </c>
      <c r="C28" s="556"/>
      <c r="D28" s="556"/>
      <c r="E28" s="556"/>
      <c r="F28" s="556"/>
      <c r="G28" s="31" t="s">
        <v>180</v>
      </c>
      <c r="H28" s="557" t="s">
        <v>181</v>
      </c>
      <c r="I28" s="557"/>
      <c r="J28" s="53"/>
      <c r="K28" s="10"/>
      <c r="L28" s="11"/>
    </row>
    <row r="29" spans="1:12" ht="11.85" customHeight="1" thickBot="1" x14ac:dyDescent="0.25">
      <c r="A29" s="53"/>
      <c r="B29" s="52" t="str">
        <f>IF(D9="","","Variable Kosten für den "&amp;D9&amp;" KW-Traktor")</f>
        <v>Variable Kosten für den 75 KW-Traktor</v>
      </c>
      <c r="C29" s="481"/>
      <c r="D29" s="558"/>
      <c r="E29" s="52"/>
      <c r="F29" s="52"/>
      <c r="G29" s="226">
        <f>IF(D9="","",IF(OR(D16="",D27=""),"noch leer",SUM(D16,D27*$C$36)))</f>
        <v>63.8</v>
      </c>
      <c r="H29" s="1113">
        <f>IF([1]ILeist!H21="","",[1]ILeist!H21)</f>
        <v>11.162000000000001</v>
      </c>
      <c r="I29" s="169">
        <f>G29*H29</f>
        <v>712.13560000000007</v>
      </c>
      <c r="J29" s="53"/>
      <c r="K29" s="13"/>
      <c r="L29" s="11"/>
    </row>
    <row r="30" spans="1:12" ht="11.85" customHeight="1" x14ac:dyDescent="0.2">
      <c r="A30" s="53"/>
      <c r="B30" s="52" t="str">
        <f>IF(E9="","","Variable Kosten für den "&amp;E9&amp;" KW-Traktor")</f>
        <v/>
      </c>
      <c r="C30" s="481"/>
      <c r="D30" s="52"/>
      <c r="E30" s="558"/>
      <c r="F30" s="558"/>
      <c r="G30" s="226" t="str">
        <f>IF(E9="","",IF(OR(E16="",E27=""),"noch leer",SUM(E16,E27*$C$36)))</f>
        <v/>
      </c>
      <c r="H30" s="226" t="str">
        <f>IF([1]ILeist!H23="","",[1]ILeist!H23)</f>
        <v/>
      </c>
      <c r="I30" s="1117"/>
      <c r="J30" s="53"/>
      <c r="K30" s="13"/>
      <c r="L30" s="11"/>
    </row>
    <row r="31" spans="1:12" ht="11.85" customHeight="1" x14ac:dyDescent="0.2">
      <c r="A31" s="53"/>
      <c r="B31" s="52" t="str">
        <f>IF(F9="","","Variable Kosten für den "&amp;F9&amp;" KW-Traktor")</f>
        <v/>
      </c>
      <c r="C31" s="481"/>
      <c r="D31" s="52"/>
      <c r="E31" s="558"/>
      <c r="F31" s="558"/>
      <c r="G31" s="226" t="str">
        <f>IF(F9="","",IF(OR(F16="",F27=""),"noch leer",SUM(F16,F27*$C$36)))</f>
        <v/>
      </c>
      <c r="H31" s="523" t="str">
        <f>IF([1]ILeist!H25="","",[1]ILeist!H25)</f>
        <v/>
      </c>
      <c r="I31" s="226"/>
      <c r="J31" s="53"/>
      <c r="K31" s="13"/>
      <c r="L31" s="11"/>
    </row>
    <row r="32" spans="1:12" ht="11.85" customHeight="1" x14ac:dyDescent="0.2">
      <c r="A32" s="53"/>
      <c r="B32" s="62" t="s">
        <v>6</v>
      </c>
      <c r="C32" s="62"/>
      <c r="D32" s="555"/>
      <c r="E32" s="555"/>
      <c r="F32" s="555"/>
      <c r="G32" s="555"/>
      <c r="H32" s="555"/>
      <c r="I32" s="550">
        <f>SUM(I29:I31)</f>
        <v>712.13560000000007</v>
      </c>
      <c r="J32" s="53"/>
      <c r="K32" s="10"/>
      <c r="L32" s="11"/>
    </row>
    <row r="33" spans="1:12" ht="11.85" customHeight="1" thickBot="1" x14ac:dyDescent="0.25">
      <c r="A33" s="53"/>
      <c r="B33" s="51" t="s">
        <v>325</v>
      </c>
      <c r="C33" s="556"/>
      <c r="D33" s="556"/>
      <c r="E33" s="556"/>
      <c r="F33" s="556"/>
      <c r="G33" s="31" t="s">
        <v>182</v>
      </c>
      <c r="H33" s="557" t="s">
        <v>183</v>
      </c>
      <c r="I33" s="557"/>
      <c r="J33" s="53"/>
      <c r="K33" s="10"/>
      <c r="L33" s="11"/>
    </row>
    <row r="34" spans="1:12" ht="11.85" customHeight="1" thickBot="1" x14ac:dyDescent="0.25">
      <c r="A34" s="53"/>
      <c r="B34" s="52" t="str">
        <f>IF([1]ILeist!B61="","",[1]ILeist!B61)</f>
        <v>Belüftungskosten je kg Trockenmasse</v>
      </c>
      <c r="C34" s="481"/>
      <c r="D34" s="52"/>
      <c r="E34" s="52"/>
      <c r="F34" s="52"/>
      <c r="G34" s="1114">
        <f>IF(C40="","",C40)</f>
        <v>7410</v>
      </c>
      <c r="H34" s="1115">
        <f>IF([1]ILeist!Q61="","",[1]ILeist!Q61)</f>
        <v>1.0999999999999999E-2</v>
      </c>
      <c r="I34" s="169">
        <f>G34*H34</f>
        <v>81.509999999999991</v>
      </c>
      <c r="J34" s="53"/>
      <c r="K34" s="10"/>
      <c r="L34" s="11"/>
    </row>
    <row r="35" spans="1:12" ht="11.85" customHeight="1" thickBot="1" x14ac:dyDescent="0.25">
      <c r="A35" s="53"/>
      <c r="B35" s="62" t="s">
        <v>184</v>
      </c>
      <c r="C35" s="62"/>
      <c r="D35" s="555"/>
      <c r="E35" s="555"/>
      <c r="F35" s="555"/>
      <c r="G35" s="555"/>
      <c r="H35" s="559"/>
      <c r="I35" s="587">
        <f>SUM(I34)</f>
        <v>81.509999999999991</v>
      </c>
      <c r="J35" s="53"/>
      <c r="K35" s="10"/>
      <c r="L35" s="11"/>
    </row>
    <row r="36" spans="1:12" ht="11.85" customHeight="1" thickBot="1" x14ac:dyDescent="0.25">
      <c r="A36" s="53"/>
      <c r="B36" s="119" t="s">
        <v>326</v>
      </c>
      <c r="C36" s="560">
        <f>C5</f>
        <v>3</v>
      </c>
      <c r="D36" s="561" t="str">
        <f>IF(C36=1," Schnitt (exkl. MWSt)"," Schnitten (exkl. MWSt)")</f>
        <v xml:space="preserve"> Schnitten (exkl. MWSt)</v>
      </c>
      <c r="E36" s="562"/>
      <c r="F36" s="562"/>
      <c r="G36" s="562"/>
      <c r="H36" s="563"/>
      <c r="I36" s="231">
        <f>I16+I27*C5+I32+I35</f>
        <v>1243.4882909600001</v>
      </c>
      <c r="J36" s="53"/>
      <c r="K36" s="10"/>
      <c r="L36" s="11"/>
    </row>
    <row r="37" spans="1:12" ht="11.85" customHeight="1" thickBot="1" x14ac:dyDescent="0.25">
      <c r="A37" s="53"/>
      <c r="B37" s="119" t="s">
        <v>327</v>
      </c>
      <c r="C37" s="564">
        <f>IF([1]ILeist!F18="","",[1]ILeist!F18)</f>
        <v>0.2</v>
      </c>
      <c r="D37" s="562" t="s">
        <v>185</v>
      </c>
      <c r="E37" s="562"/>
      <c r="F37" s="562"/>
      <c r="G37" s="562"/>
      <c r="H37" s="562"/>
      <c r="I37" s="235">
        <f>I36+I36*C37</f>
        <v>1492.1859491520001</v>
      </c>
      <c r="J37" s="53"/>
      <c r="K37" s="10"/>
      <c r="L37" s="11"/>
    </row>
    <row r="38" spans="1:12" ht="18" customHeight="1" x14ac:dyDescent="0.2">
      <c r="A38" s="53"/>
      <c r="B38" s="53"/>
      <c r="C38" s="53"/>
      <c r="D38" s="53"/>
      <c r="E38" s="53"/>
      <c r="F38" s="53"/>
      <c r="G38" s="53"/>
      <c r="H38" s="53"/>
      <c r="I38" s="53"/>
      <c r="J38" s="53"/>
      <c r="K38" s="10"/>
      <c r="L38" s="11"/>
    </row>
    <row r="39" spans="1:12" ht="11.85" customHeight="1" x14ac:dyDescent="0.2">
      <c r="A39" s="53"/>
      <c r="B39" s="30" t="s">
        <v>186</v>
      </c>
      <c r="C39" s="30"/>
      <c r="D39" s="30"/>
      <c r="E39" s="57"/>
      <c r="F39" s="565"/>
      <c r="G39" s="566"/>
      <c r="H39" s="19" t="s">
        <v>187</v>
      </c>
      <c r="I39" s="31" t="s">
        <v>188</v>
      </c>
      <c r="J39" s="53"/>
      <c r="K39" s="10"/>
      <c r="L39" s="11"/>
    </row>
    <row r="40" spans="1:12" ht="11.85" customHeight="1" thickBot="1" x14ac:dyDescent="0.25">
      <c r="A40" s="53"/>
      <c r="B40" s="52" t="s">
        <v>189</v>
      </c>
      <c r="C40" s="1282">
        <f>IF([1]ILeist!Q65="","",[1]ILeist!Q65)</f>
        <v>7410</v>
      </c>
      <c r="D40" s="1282"/>
      <c r="E40" s="52" t="s">
        <v>190</v>
      </c>
      <c r="F40" s="52"/>
      <c r="G40" s="567"/>
      <c r="H40" s="540">
        <f>IF([1]ILeist!F69="","",[1]ILeist!F69)</f>
        <v>7.15</v>
      </c>
      <c r="I40" s="1116">
        <f>IF(OR(C40="",H40=""),"",H40*C40)</f>
        <v>52981.5</v>
      </c>
      <c r="J40" s="53"/>
      <c r="K40" s="10"/>
      <c r="L40" s="11"/>
    </row>
    <row r="41" spans="1:12" ht="11.85" customHeight="1" thickBot="1" x14ac:dyDescent="0.25">
      <c r="A41" s="53"/>
      <c r="B41" s="52" t="s">
        <v>191</v>
      </c>
      <c r="C41" s="1276">
        <f>IF([1]ILeist!Q67="","",[1]ILeist!Q67)</f>
        <v>0.17</v>
      </c>
      <c r="D41" s="1276"/>
      <c r="E41" s="481" t="s">
        <v>192</v>
      </c>
      <c r="F41" s="481"/>
      <c r="G41" s="481"/>
      <c r="H41" s="231">
        <f t="shared" ref="H41:I41" si="2">H40-H40*$C$41</f>
        <v>5.9344999999999999</v>
      </c>
      <c r="I41" s="254">
        <f t="shared" si="2"/>
        <v>43974.644999999997</v>
      </c>
      <c r="J41" s="53"/>
      <c r="K41" s="10"/>
      <c r="L41" s="11"/>
    </row>
    <row r="42" spans="1:12" ht="3" customHeight="1" x14ac:dyDescent="0.2">
      <c r="A42" s="53"/>
      <c r="B42" s="53"/>
      <c r="C42" s="53"/>
      <c r="D42" s="53"/>
      <c r="E42" s="28"/>
      <c r="F42" s="28"/>
      <c r="G42" s="28"/>
      <c r="H42" s="568"/>
      <c r="I42" s="569"/>
      <c r="J42" s="53"/>
      <c r="K42" s="10"/>
      <c r="L42" s="11"/>
    </row>
    <row r="43" spans="1:12" ht="11.85" customHeight="1" x14ac:dyDescent="0.2">
      <c r="A43" s="53"/>
      <c r="B43" s="30" t="s">
        <v>193</v>
      </c>
      <c r="C43" s="30"/>
      <c r="D43" s="30"/>
      <c r="E43" s="57"/>
      <c r="F43" s="495"/>
      <c r="G43" s="495"/>
      <c r="H43" s="495"/>
      <c r="I43" s="495"/>
      <c r="J43" s="53"/>
      <c r="K43" s="10"/>
      <c r="L43" s="11"/>
    </row>
    <row r="44" spans="1:12" ht="11.85" customHeight="1" x14ac:dyDescent="0.2">
      <c r="A44" s="53"/>
      <c r="B44" s="119" t="s">
        <v>194</v>
      </c>
      <c r="C44" s="54"/>
      <c r="D44" s="570" t="str">
        <f>IF([1]ILeist!H84="","",[1]ILeist!H84)</f>
        <v/>
      </c>
      <c r="E44" s="588">
        <f>I37</f>
        <v>1492.1859491520001</v>
      </c>
      <c r="F44" s="495"/>
      <c r="G44" s="495"/>
      <c r="H44" s="495"/>
      <c r="I44" s="495"/>
      <c r="J44" s="53"/>
      <c r="K44" s="10"/>
      <c r="L44" s="11"/>
    </row>
    <row r="45" spans="1:12" ht="3" customHeight="1" x14ac:dyDescent="0.2">
      <c r="A45" s="53"/>
      <c r="B45" s="53"/>
      <c r="C45" s="53"/>
      <c r="D45" s="53"/>
      <c r="E45" s="28"/>
      <c r="F45" s="28"/>
      <c r="G45" s="28"/>
      <c r="H45" s="568"/>
      <c r="I45" s="569"/>
      <c r="J45" s="53"/>
      <c r="K45" s="10"/>
      <c r="L45" s="11"/>
    </row>
    <row r="46" spans="1:12" ht="11.85" customHeight="1" x14ac:dyDescent="0.2">
      <c r="A46" s="53"/>
      <c r="B46" s="51" t="s">
        <v>195</v>
      </c>
      <c r="C46" s="571"/>
      <c r="D46" s="31"/>
      <c r="E46" s="30"/>
      <c r="F46" s="495"/>
      <c r="G46" s="495"/>
      <c r="H46" s="495"/>
      <c r="I46" s="495"/>
      <c r="J46" s="53"/>
      <c r="K46" s="10"/>
      <c r="L46" s="11"/>
    </row>
    <row r="47" spans="1:12" ht="11.85" customHeight="1" x14ac:dyDescent="0.2">
      <c r="A47" s="53"/>
      <c r="B47" s="52" t="str">
        <f>IF([1]ILeist!C73="","",[1]ILeist!C73)</f>
        <v/>
      </c>
      <c r="C47" s="1118" t="str">
        <f>IF([1]ILeist!Q73="","",[1]ILeist!Q73)</f>
        <v/>
      </c>
      <c r="D47" s="226" t="str">
        <f>IF([1]ILeist!R73="","",[1]ILeist!R73)</f>
        <v/>
      </c>
      <c r="E47" s="226"/>
      <c r="F47" s="495"/>
      <c r="G47" s="495"/>
      <c r="H47" s="495"/>
      <c r="I47" s="495"/>
      <c r="J47" s="53"/>
      <c r="K47" s="10"/>
      <c r="L47" s="11"/>
    </row>
    <row r="48" spans="1:12" ht="11.85" customHeight="1" x14ac:dyDescent="0.2">
      <c r="A48" s="53"/>
      <c r="B48" s="52" t="str">
        <f>IF([1]ILeist!C75="","",[1]ILeist!C75)</f>
        <v/>
      </c>
      <c r="C48" s="1118" t="str">
        <f>IF([1]ILeist!Q75="","",[1]ILeist!Q75)</f>
        <v/>
      </c>
      <c r="D48" s="226" t="str">
        <f>IF([1]ILeist!R75="","",[1]ILeist!R75)</f>
        <v/>
      </c>
      <c r="E48" s="226"/>
      <c r="F48" s="495"/>
      <c r="G48" s="495"/>
      <c r="H48" s="495"/>
      <c r="I48" s="495"/>
      <c r="J48" s="53"/>
      <c r="K48" s="10"/>
      <c r="L48" s="542"/>
    </row>
    <row r="49" spans="1:12" ht="11.85" customHeight="1" x14ac:dyDescent="0.2">
      <c r="A49" s="53"/>
      <c r="B49" s="119" t="s">
        <v>196</v>
      </c>
      <c r="C49" s="54"/>
      <c r="D49" s="54"/>
      <c r="E49" s="54"/>
      <c r="F49" s="495"/>
      <c r="G49" s="495"/>
      <c r="H49" s="495"/>
      <c r="I49" s="495"/>
      <c r="J49" s="53"/>
      <c r="K49" s="10"/>
      <c r="L49" s="542"/>
    </row>
    <row r="50" spans="1:12" ht="3" customHeight="1" x14ac:dyDescent="0.2">
      <c r="A50" s="53"/>
      <c r="B50" s="53"/>
      <c r="C50" s="53"/>
      <c r="D50" s="53"/>
      <c r="E50" s="28"/>
      <c r="F50" s="28"/>
      <c r="G50" s="28"/>
      <c r="H50" s="568"/>
      <c r="I50" s="569"/>
      <c r="J50" s="53"/>
      <c r="K50" s="10"/>
      <c r="L50" s="542"/>
    </row>
    <row r="51" spans="1:12" ht="11.85" customHeight="1" x14ac:dyDescent="0.2">
      <c r="A51" s="53"/>
      <c r="B51" s="51" t="s">
        <v>197</v>
      </c>
      <c r="C51" s="571" t="str">
        <f>IF([1]ILeist!F77="","",[1]ILeist!F77)</f>
        <v/>
      </c>
      <c r="D51" s="31" t="str">
        <f>IF([1]ILeist!H77="","",[1]ILeist!H77)</f>
        <v/>
      </c>
      <c r="E51" s="57"/>
      <c r="F51" s="53"/>
      <c r="G51" s="53"/>
      <c r="H51" s="53"/>
      <c r="I51" s="53"/>
      <c r="J51" s="53"/>
      <c r="K51" s="10"/>
      <c r="L51" s="542"/>
    </row>
    <row r="52" spans="1:12" ht="11.85" customHeight="1" x14ac:dyDescent="0.2">
      <c r="A52" s="53"/>
      <c r="B52" s="52" t="str">
        <f>IF([1]ILeist!C78="","",[1]ILeist!C78)</f>
        <v/>
      </c>
      <c r="C52" s="1118" t="str">
        <f>IF([1]ILeist!Q78="","",[1]ILeist!Q78)</f>
        <v/>
      </c>
      <c r="D52" s="226" t="str">
        <f>IF([1]ILeist!R78="","",[1]ILeist!R78)</f>
        <v/>
      </c>
      <c r="E52" s="226"/>
      <c r="F52" s="53"/>
      <c r="G52" s="53"/>
      <c r="H52" s="53"/>
      <c r="I52" s="53"/>
      <c r="J52" s="53"/>
      <c r="K52" s="10"/>
      <c r="L52" s="542"/>
    </row>
    <row r="53" spans="1:12" ht="11.85" customHeight="1" x14ac:dyDescent="0.2">
      <c r="A53" s="53"/>
      <c r="B53" s="52" t="str">
        <f>IF([1]ILeist!C80="","",[1]ILeist!C80)</f>
        <v/>
      </c>
      <c r="C53" s="1118" t="str">
        <f>IF([1]ILeist!Q80="","",[1]ILeist!Q80)</f>
        <v/>
      </c>
      <c r="D53" s="226" t="str">
        <f>IF([1]ILeist!R80="","",[1]ILeist!R80)</f>
        <v/>
      </c>
      <c r="E53" s="226"/>
      <c r="F53" s="53"/>
      <c r="G53" s="53"/>
      <c r="H53" s="53"/>
      <c r="I53" s="53"/>
      <c r="J53" s="53"/>
      <c r="K53" s="10"/>
      <c r="L53" s="542"/>
    </row>
    <row r="54" spans="1:12" ht="11.85" customHeight="1" x14ac:dyDescent="0.2">
      <c r="A54" s="53"/>
      <c r="B54" s="52" t="str">
        <f>IF([1]ILeist!C82="","",[1]ILeist!C82)</f>
        <v/>
      </c>
      <c r="C54" s="1118" t="str">
        <f>IF([1]ILeist!Q82="","",[1]ILeist!Q82)</f>
        <v/>
      </c>
      <c r="D54" s="226" t="str">
        <f>IF([1]ILeist!R82="","",[1]ILeist!R82)</f>
        <v/>
      </c>
      <c r="E54" s="226"/>
      <c r="F54" s="53"/>
      <c r="G54" s="53"/>
      <c r="H54" s="53"/>
      <c r="I54" s="53"/>
      <c r="J54" s="53"/>
      <c r="K54" s="10"/>
      <c r="L54" s="542"/>
    </row>
    <row r="55" spans="1:12" ht="11.85" customHeight="1" x14ac:dyDescent="0.2">
      <c r="A55" s="53"/>
      <c r="B55" s="119" t="s">
        <v>198</v>
      </c>
      <c r="C55" s="572" t="str">
        <f>IF([1]ILeist!F83="","",[1]ILeist!F83)</f>
        <v/>
      </c>
      <c r="D55" s="573" t="str">
        <f>IF([1]ILeist!H83="","",[1]ILeist!H83)</f>
        <v/>
      </c>
      <c r="E55" s="573"/>
      <c r="F55" s="53"/>
      <c r="G55" s="53"/>
      <c r="H55" s="53"/>
      <c r="I55" s="53"/>
      <c r="J55" s="53"/>
      <c r="K55" s="10"/>
      <c r="L55" s="542"/>
    </row>
    <row r="56" spans="1:12" ht="3" customHeight="1" x14ac:dyDescent="0.2">
      <c r="A56" s="53"/>
      <c r="B56" s="53"/>
      <c r="C56" s="53"/>
      <c r="D56" s="53"/>
      <c r="E56" s="28"/>
      <c r="F56" s="28"/>
      <c r="G56" s="28"/>
      <c r="H56" s="568"/>
      <c r="I56" s="569"/>
      <c r="J56" s="53"/>
      <c r="K56" s="10"/>
      <c r="L56" s="542"/>
    </row>
    <row r="57" spans="1:12" ht="11.85" customHeight="1" x14ac:dyDescent="0.2">
      <c r="A57" s="53"/>
      <c r="B57" s="51" t="s">
        <v>199</v>
      </c>
      <c r="C57" s="57"/>
      <c r="D57" s="57"/>
      <c r="E57" s="57"/>
      <c r="F57" s="495"/>
      <c r="G57" s="574"/>
      <c r="H57" s="495"/>
      <c r="I57" s="575"/>
      <c r="J57" s="53"/>
      <c r="K57" s="10"/>
      <c r="L57" s="11"/>
    </row>
    <row r="58" spans="1:12" ht="11.85" customHeight="1" x14ac:dyDescent="0.2">
      <c r="A58" s="53"/>
      <c r="B58" s="52" t="str">
        <f>IF([1]ILeist!C85="","",[1]ILeist!C85)</f>
        <v/>
      </c>
      <c r="C58" s="52"/>
      <c r="D58" s="52"/>
      <c r="E58" s="226" t="str">
        <f>IF([1]ILeist!Q85="","",[1]ILeist!Q85)</f>
        <v/>
      </c>
      <c r="F58" s="495"/>
      <c r="G58" s="576"/>
      <c r="H58" s="495"/>
      <c r="I58" s="575"/>
      <c r="J58" s="53"/>
      <c r="K58" s="10"/>
      <c r="L58" s="11"/>
    </row>
    <row r="59" spans="1:12" ht="11.85" customHeight="1" x14ac:dyDescent="0.2">
      <c r="A59" s="53"/>
      <c r="B59" s="52" t="str">
        <f>IF([1]ILeist!C87="","",[1]ILeist!C87)</f>
        <v/>
      </c>
      <c r="C59" s="52"/>
      <c r="D59" s="52"/>
      <c r="E59" s="226" t="str">
        <f>IF([1]ILeist!Q87="","",[1]ILeist!Q87)</f>
        <v/>
      </c>
      <c r="F59" s="495"/>
      <c r="G59" s="53"/>
      <c r="H59" s="53"/>
      <c r="I59" s="53"/>
      <c r="J59" s="53"/>
      <c r="K59" s="10"/>
      <c r="L59" s="11"/>
    </row>
    <row r="60" spans="1:12" ht="11.85" customHeight="1" x14ac:dyDescent="0.2">
      <c r="A60" s="53"/>
      <c r="B60" s="52" t="str">
        <f>IF([1]ILeist!C89="","",[1]ILeist!C89)</f>
        <v/>
      </c>
      <c r="C60" s="52"/>
      <c r="D60" s="52"/>
      <c r="E60" s="226" t="str">
        <f>IF([1]ILeist!Q89="","",[1]ILeist!Q89)</f>
        <v/>
      </c>
      <c r="F60" s="495"/>
      <c r="G60" s="1280">
        <f>C40</f>
        <v>7410</v>
      </c>
      <c r="H60" s="1280"/>
      <c r="I60" s="577">
        <f>G65</f>
        <v>0.86</v>
      </c>
      <c r="J60" s="53"/>
      <c r="K60" s="10"/>
      <c r="L60" s="11"/>
    </row>
    <row r="61" spans="1:12" ht="11.85" customHeight="1" x14ac:dyDescent="0.2">
      <c r="A61" s="53"/>
      <c r="B61" s="119" t="s">
        <v>200</v>
      </c>
      <c r="C61" s="54"/>
      <c r="D61" s="54"/>
      <c r="E61" s="54"/>
      <c r="F61" s="495"/>
      <c r="G61" s="1281">
        <f>G60*I61/I60</f>
        <v>8616.2790697674427</v>
      </c>
      <c r="H61" s="1281"/>
      <c r="I61" s="577">
        <v>1</v>
      </c>
      <c r="J61" s="53"/>
      <c r="K61" s="10"/>
      <c r="L61" s="11"/>
    </row>
    <row r="62" spans="1:12" ht="18" customHeight="1" x14ac:dyDescent="0.2">
      <c r="A62" s="53"/>
      <c r="B62" s="53"/>
      <c r="C62" s="53"/>
      <c r="D62" s="578"/>
      <c r="E62" s="544"/>
      <c r="F62" s="544"/>
      <c r="G62" s="53"/>
      <c r="H62" s="53"/>
      <c r="I62" s="53"/>
      <c r="J62" s="53"/>
      <c r="K62" s="10"/>
      <c r="L62" s="11"/>
    </row>
    <row r="63" spans="1:12" ht="11.85" customHeight="1" thickBot="1" x14ac:dyDescent="0.25">
      <c r="A63" s="53"/>
      <c r="B63" s="30" t="s">
        <v>201</v>
      </c>
      <c r="C63" s="57"/>
      <c r="D63" s="579"/>
      <c r="E63" s="553"/>
      <c r="F63" s="544"/>
      <c r="G63" s="1277" t="s">
        <v>202</v>
      </c>
      <c r="H63" s="1277"/>
      <c r="I63" s="1277"/>
      <c r="J63" s="53"/>
      <c r="K63" s="10"/>
      <c r="L63" s="586"/>
    </row>
    <row r="64" spans="1:12" ht="11.85" customHeight="1" thickBot="1" x14ac:dyDescent="0.25">
      <c r="A64" s="53"/>
      <c r="B64" s="481" t="s">
        <v>203</v>
      </c>
      <c r="C64" s="580"/>
      <c r="D64" s="581"/>
      <c r="E64" s="169">
        <f>E44+E49+E55+E61</f>
        <v>1492.1859491520001</v>
      </c>
      <c r="F64" s="544"/>
      <c r="G64" s="1278" t="str">
        <f>IF([1]ILeist!H16="","","1kg "&amp;[1]ILeist!H16&amp;" bei")</f>
        <v>1kg Heu bei</v>
      </c>
      <c r="H64" s="1278"/>
      <c r="I64" s="1278"/>
      <c r="J64" s="53"/>
      <c r="K64" s="10"/>
      <c r="L64" s="586"/>
    </row>
    <row r="65" spans="1:12" ht="11.85" customHeight="1" thickBot="1" x14ac:dyDescent="0.25">
      <c r="A65" s="53"/>
      <c r="B65" s="481" t="s">
        <v>204</v>
      </c>
      <c r="C65" s="20"/>
      <c r="D65" s="484" t="str">
        <f>IF([1]ILeist!H90="","",[1]ILeist!H90)</f>
        <v/>
      </c>
      <c r="E65" s="169">
        <f>SUM(C16+C27*C5)</f>
        <v>89.421999999999997</v>
      </c>
      <c r="F65" s="568"/>
      <c r="G65" s="1279">
        <f>IF([1]ILeist!F16="","",[1]ILeist!F16)</f>
        <v>0.86</v>
      </c>
      <c r="H65" s="1279"/>
      <c r="I65" s="1279"/>
      <c r="J65" s="53"/>
      <c r="K65" s="10"/>
      <c r="L65" s="586"/>
    </row>
    <row r="66" spans="1:12" ht="11.85" customHeight="1" thickBot="1" x14ac:dyDescent="0.25">
      <c r="A66" s="53"/>
      <c r="B66" s="582" t="s">
        <v>205</v>
      </c>
      <c r="C66" s="583"/>
      <c r="D66" s="584"/>
      <c r="E66" s="256">
        <f>E64/I41</f>
        <v>3.3932870843005107E-2</v>
      </c>
      <c r="F66" s="568"/>
      <c r="G66" s="1273">
        <f>E64/C40*G65</f>
        <v>0.17318217493531984</v>
      </c>
      <c r="H66" s="1274"/>
      <c r="I66" s="1275"/>
      <c r="J66" s="53"/>
      <c r="K66" s="10"/>
      <c r="L66" s="586"/>
    </row>
    <row r="67" spans="1:12" ht="11.85" customHeight="1" x14ac:dyDescent="0.2">
      <c r="A67" s="53"/>
      <c r="B67" s="53"/>
      <c r="C67" s="585"/>
      <c r="D67" s="53"/>
      <c r="E67" s="53"/>
      <c r="F67" s="53"/>
      <c r="G67" s="53"/>
      <c r="H67" s="53"/>
      <c r="I67" s="53"/>
      <c r="J67" s="53"/>
      <c r="K67" s="10"/>
      <c r="L67" s="586"/>
    </row>
    <row r="68" spans="1:12" ht="11.85" hidden="1" customHeight="1" x14ac:dyDescent="0.2"/>
    <row r="69" spans="1:12" ht="11.85" hidden="1" customHeight="1" x14ac:dyDescent="0.2"/>
    <row r="70" spans="1:12" ht="11.85" hidden="1" customHeight="1" x14ac:dyDescent="0.2"/>
    <row r="71" spans="1:12" ht="11.85" hidden="1" customHeight="1" x14ac:dyDescent="0.2"/>
    <row r="72" spans="1:12" ht="11.85" hidden="1" customHeight="1" x14ac:dyDescent="0.2"/>
    <row r="73" spans="1:12" ht="11.85" hidden="1" customHeight="1" x14ac:dyDescent="0.2"/>
    <row r="74" spans="1:12" ht="11.85" hidden="1" customHeight="1" x14ac:dyDescent="0.2"/>
    <row r="75" spans="1:12" ht="11.85" hidden="1" customHeight="1" x14ac:dyDescent="0.2"/>
    <row r="76" spans="1:12" ht="11.85" hidden="1" customHeight="1" x14ac:dyDescent="0.2"/>
    <row r="77" spans="1:12" ht="11.85" hidden="1" customHeight="1" x14ac:dyDescent="0.2"/>
    <row r="78" spans="1:12" ht="11.85" hidden="1" customHeight="1" x14ac:dyDescent="0.2"/>
    <row r="79" spans="1:12" ht="11.85" hidden="1" customHeight="1" x14ac:dyDescent="0.2"/>
    <row r="80" spans="1:12" ht="11.85" hidden="1" customHeight="1" x14ac:dyDescent="0.2"/>
    <row r="81" ht="11.85" hidden="1" customHeight="1" x14ac:dyDescent="0.2"/>
    <row r="82" ht="11.85" hidden="1" customHeight="1" x14ac:dyDescent="0.2"/>
    <row r="83" ht="11.85" hidden="1" customHeight="1" x14ac:dyDescent="0.2"/>
    <row r="84" ht="11.85" hidden="1" customHeight="1" x14ac:dyDescent="0.2"/>
    <row r="85" ht="11.85" hidden="1" customHeight="1" x14ac:dyDescent="0.2"/>
    <row r="86" ht="11.85" hidden="1" customHeight="1" x14ac:dyDescent="0.2"/>
    <row r="87" ht="11.85" hidden="1" customHeight="1" x14ac:dyDescent="0.2"/>
    <row r="88" ht="11.85" hidden="1" customHeight="1" x14ac:dyDescent="0.2"/>
    <row r="89" ht="11.85" hidden="1" customHeight="1" x14ac:dyDescent="0.2"/>
    <row r="90" ht="11.85" hidden="1" customHeight="1" x14ac:dyDescent="0.2"/>
    <row r="91" ht="11.85" hidden="1" customHeight="1" x14ac:dyDescent="0.2"/>
    <row r="92" ht="11.85" hidden="1" customHeight="1" x14ac:dyDescent="0.2"/>
    <row r="93" ht="11.85" hidden="1" customHeight="1" x14ac:dyDescent="0.2"/>
    <row r="94" ht="11.85" hidden="1" customHeight="1" x14ac:dyDescent="0.2"/>
    <row r="95" ht="11.85" hidden="1" customHeight="1" x14ac:dyDescent="0.2"/>
    <row r="96" ht="11.85" hidden="1" customHeight="1" x14ac:dyDescent="0.2"/>
    <row r="97" ht="11.85" hidden="1" customHeight="1" x14ac:dyDescent="0.2"/>
    <row r="98" ht="11.85" hidden="1" customHeight="1" x14ac:dyDescent="0.2"/>
    <row r="99" ht="11.85" hidden="1" customHeight="1" x14ac:dyDescent="0.2"/>
    <row r="100" ht="11.85" hidden="1" customHeight="1" x14ac:dyDescent="0.2"/>
    <row r="101" ht="11.85" hidden="1" customHeight="1" x14ac:dyDescent="0.2"/>
    <row r="102" ht="11.85" hidden="1" customHeight="1" x14ac:dyDescent="0.2"/>
    <row r="103" ht="11.85" hidden="1" customHeight="1" x14ac:dyDescent="0.2"/>
    <row r="104" ht="11.85" hidden="1" customHeight="1" x14ac:dyDescent="0.2"/>
    <row r="105" ht="11.85" hidden="1" customHeight="1" x14ac:dyDescent="0.2"/>
    <row r="106" ht="11.85" hidden="1" customHeight="1" x14ac:dyDescent="0.2"/>
    <row r="107" ht="11.85" hidden="1" customHeight="1" x14ac:dyDescent="0.2"/>
    <row r="108" ht="11.85" hidden="1" customHeight="1" x14ac:dyDescent="0.2"/>
    <row r="109" ht="11.85" hidden="1" customHeight="1" x14ac:dyDescent="0.2"/>
    <row r="110" ht="11.85" hidden="1" customHeight="1" x14ac:dyDescent="0.2"/>
    <row r="111" ht="11.85" hidden="1" customHeight="1" x14ac:dyDescent="0.2"/>
    <row r="112" ht="11.85" hidden="1" customHeight="1" x14ac:dyDescent="0.2"/>
    <row r="113" ht="11.85" hidden="1" customHeight="1" x14ac:dyDescent="0.2"/>
    <row r="114" ht="11.85" hidden="1" customHeight="1" x14ac:dyDescent="0.2"/>
    <row r="115" ht="11.85" hidden="1" customHeight="1" x14ac:dyDescent="0.2"/>
    <row r="116" ht="11.85" hidden="1" customHeight="1" x14ac:dyDescent="0.2"/>
    <row r="117" ht="11.85" hidden="1" customHeight="1" x14ac:dyDescent="0.2"/>
    <row r="118" ht="11.85" hidden="1" customHeight="1" x14ac:dyDescent="0.2"/>
    <row r="119" ht="11.85" hidden="1" customHeight="1" x14ac:dyDescent="0.2"/>
    <row r="120" ht="11.85" hidden="1" customHeight="1" x14ac:dyDescent="0.2"/>
    <row r="121" ht="11.85" hidden="1" customHeight="1" x14ac:dyDescent="0.2"/>
    <row r="122" ht="11.85" hidden="1" customHeight="1" x14ac:dyDescent="0.2"/>
    <row r="123" ht="11.85" hidden="1" customHeight="1" x14ac:dyDescent="0.2"/>
    <row r="124" ht="11.85" hidden="1" customHeight="1" x14ac:dyDescent="0.2"/>
    <row r="125" ht="11.85" hidden="1" customHeight="1" x14ac:dyDescent="0.2"/>
    <row r="126" ht="11.85" hidden="1" customHeight="1" x14ac:dyDescent="0.2"/>
    <row r="127" ht="11.85" hidden="1" customHeight="1" x14ac:dyDescent="0.2"/>
    <row r="128" ht="11.85" hidden="1" customHeight="1" x14ac:dyDescent="0.2"/>
    <row r="129" ht="11.85" hidden="1" customHeight="1" x14ac:dyDescent="0.2"/>
    <row r="130" ht="11.85" hidden="1" customHeight="1" x14ac:dyDescent="0.2"/>
    <row r="131" ht="11.85" hidden="1" customHeight="1" x14ac:dyDescent="0.2"/>
    <row r="132" ht="11.85" hidden="1" customHeight="1" x14ac:dyDescent="0.2"/>
    <row r="133" ht="11.85" hidden="1" customHeight="1" x14ac:dyDescent="0.2"/>
    <row r="134" ht="11.85" hidden="1" customHeight="1" x14ac:dyDescent="0.2"/>
    <row r="135" ht="11.85" hidden="1" customHeight="1" x14ac:dyDescent="0.2"/>
    <row r="136" ht="11.85" hidden="1" customHeight="1" x14ac:dyDescent="0.2"/>
    <row r="137" ht="11.85" hidden="1" customHeight="1" x14ac:dyDescent="0.2"/>
    <row r="138" ht="11.85" hidden="1" customHeight="1" x14ac:dyDescent="0.2"/>
    <row r="139" ht="11.85" hidden="1" customHeight="1" x14ac:dyDescent="0.2"/>
    <row r="140" ht="11.85" hidden="1" customHeight="1" x14ac:dyDescent="0.2"/>
    <row r="141" ht="11.85" hidden="1" customHeight="1" x14ac:dyDescent="0.2"/>
    <row r="142" ht="11.85" hidden="1" customHeight="1" x14ac:dyDescent="0.2"/>
    <row r="143" ht="11.85" hidden="1" customHeight="1" x14ac:dyDescent="0.2"/>
    <row r="144" ht="11.85" hidden="1" customHeight="1" x14ac:dyDescent="0.2"/>
    <row r="145" ht="11.85" hidden="1" customHeight="1" x14ac:dyDescent="0.2"/>
    <row r="146" ht="11.85" hidden="1" customHeight="1" x14ac:dyDescent="0.2"/>
    <row r="147" ht="11.85" hidden="1" customHeight="1" x14ac:dyDescent="0.2"/>
    <row r="148" ht="11.85" hidden="1" customHeight="1" x14ac:dyDescent="0.2"/>
    <row r="149" ht="11.85" hidden="1" customHeight="1" x14ac:dyDescent="0.2"/>
    <row r="150" ht="11.85" hidden="1" customHeight="1" x14ac:dyDescent="0.2"/>
    <row r="151" ht="11.85" hidden="1" customHeight="1" x14ac:dyDescent="0.2"/>
    <row r="152" ht="11.85" hidden="1" customHeight="1" x14ac:dyDescent="0.2"/>
    <row r="153" ht="11.85" hidden="1" customHeight="1" x14ac:dyDescent="0.2"/>
    <row r="154" ht="11.85" hidden="1" customHeight="1" x14ac:dyDescent="0.2"/>
    <row r="155" ht="11.85" hidden="1" customHeight="1" x14ac:dyDescent="0.2"/>
    <row r="156" ht="11.85" hidden="1" customHeight="1" x14ac:dyDescent="0.2"/>
    <row r="157" ht="11.85" hidden="1" customHeight="1" x14ac:dyDescent="0.2"/>
    <row r="158" ht="11.85" hidden="1" customHeight="1" x14ac:dyDescent="0.2"/>
    <row r="159" ht="11.85" hidden="1" customHeight="1" x14ac:dyDescent="0.2"/>
    <row r="160" ht="11.85" hidden="1" customHeight="1" x14ac:dyDescent="0.2"/>
    <row r="161" ht="11.85" hidden="1" customHeight="1" x14ac:dyDescent="0.2"/>
    <row r="162" ht="11.85" hidden="1" customHeight="1" x14ac:dyDescent="0.2"/>
    <row r="163" ht="11.85" hidden="1" customHeight="1" x14ac:dyDescent="0.2"/>
    <row r="164" ht="11.85" hidden="1" customHeight="1" x14ac:dyDescent="0.2"/>
    <row r="165" ht="11.85" hidden="1" customHeight="1" x14ac:dyDescent="0.2"/>
    <row r="166" ht="11.85" hidden="1" customHeight="1" x14ac:dyDescent="0.2"/>
    <row r="167" ht="11.85" hidden="1" customHeight="1" x14ac:dyDescent="0.2"/>
    <row r="168" ht="11.85" hidden="1" customHeight="1" x14ac:dyDescent="0.2"/>
    <row r="169" ht="11.85" hidden="1" customHeight="1" x14ac:dyDescent="0.2"/>
    <row r="170" ht="11.85" hidden="1" customHeight="1" x14ac:dyDescent="0.2"/>
    <row r="171" ht="11.85" hidden="1" customHeight="1" x14ac:dyDescent="0.2"/>
    <row r="172" ht="11.85" hidden="1" customHeight="1" x14ac:dyDescent="0.2"/>
    <row r="173" ht="11.85" hidden="1" customHeight="1" x14ac:dyDescent="0.2"/>
    <row r="174" ht="11.85" hidden="1" customHeight="1" x14ac:dyDescent="0.2"/>
    <row r="175" ht="11.85" hidden="1" customHeight="1" x14ac:dyDescent="0.2"/>
    <row r="176" ht="11.85" hidden="1" customHeight="1" x14ac:dyDescent="0.2"/>
    <row r="177" ht="11.85" hidden="1" customHeight="1" x14ac:dyDescent="0.2"/>
    <row r="178" ht="11.85" hidden="1" customHeight="1" x14ac:dyDescent="0.2"/>
    <row r="179" ht="11.85" hidden="1" customHeight="1" x14ac:dyDescent="0.2"/>
    <row r="180" ht="11.85" hidden="1" customHeight="1" x14ac:dyDescent="0.2"/>
    <row r="181" ht="11.85" hidden="1" customHeight="1" x14ac:dyDescent="0.2"/>
    <row r="182" ht="11.85" hidden="1" customHeight="1" x14ac:dyDescent="0.2"/>
    <row r="183" ht="11.85" hidden="1" customHeight="1" x14ac:dyDescent="0.2"/>
    <row r="184" ht="11.85" hidden="1" customHeight="1" x14ac:dyDescent="0.2"/>
    <row r="185" ht="11.85" hidden="1" customHeight="1" x14ac:dyDescent="0.2"/>
    <row r="186" ht="11.85" hidden="1" customHeight="1" x14ac:dyDescent="0.2"/>
    <row r="187" ht="11.85" hidden="1" customHeight="1" x14ac:dyDescent="0.2"/>
    <row r="188" ht="11.85" hidden="1" customHeight="1" x14ac:dyDescent="0.2"/>
    <row r="189" ht="11.85" hidden="1" customHeight="1" x14ac:dyDescent="0.2"/>
    <row r="190" ht="11.85" hidden="1" customHeight="1" x14ac:dyDescent="0.2"/>
    <row r="191" ht="11.85" hidden="1" customHeight="1" x14ac:dyDescent="0.2"/>
    <row r="192" ht="11.85" hidden="1" customHeight="1" x14ac:dyDescent="0.2"/>
    <row r="193" ht="11.85" hidden="1" customHeight="1" x14ac:dyDescent="0.2"/>
    <row r="194" ht="11.85" hidden="1" customHeight="1" x14ac:dyDescent="0.2"/>
    <row r="195" ht="11.85" hidden="1" customHeight="1" x14ac:dyDescent="0.2"/>
    <row r="196" ht="11.85" hidden="1" customHeight="1" x14ac:dyDescent="0.2"/>
    <row r="197" ht="11.85" hidden="1" customHeight="1" x14ac:dyDescent="0.2"/>
    <row r="198" ht="11.85" hidden="1" customHeight="1" x14ac:dyDescent="0.2"/>
    <row r="199" ht="11.85" hidden="1" customHeight="1" x14ac:dyDescent="0.2"/>
    <row r="200" ht="11.85" hidden="1" customHeight="1" x14ac:dyDescent="0.2"/>
    <row r="201" ht="11.85" hidden="1" customHeight="1" x14ac:dyDescent="0.2"/>
    <row r="202" ht="11.85" hidden="1" customHeight="1" x14ac:dyDescent="0.2"/>
    <row r="203" ht="11.85" hidden="1" customHeight="1" x14ac:dyDescent="0.2"/>
    <row r="204" ht="11.85" hidden="1" customHeight="1" x14ac:dyDescent="0.2"/>
    <row r="205" ht="11.85" hidden="1" customHeight="1" x14ac:dyDescent="0.2"/>
    <row r="206" ht="11.85" hidden="1" customHeight="1" x14ac:dyDescent="0.2"/>
    <row r="207" ht="11.85" hidden="1" customHeight="1" x14ac:dyDescent="0.2"/>
    <row r="208" ht="11.85" hidden="1" customHeight="1" x14ac:dyDescent="0.2"/>
    <row r="209" ht="11.85" hidden="1" customHeight="1" x14ac:dyDescent="0.2"/>
    <row r="210" ht="11.85" hidden="1" customHeight="1" x14ac:dyDescent="0.2"/>
    <row r="211" ht="11.85" hidden="1" customHeight="1" x14ac:dyDescent="0.2"/>
    <row r="212" ht="11.85" hidden="1" customHeight="1" x14ac:dyDescent="0.2"/>
    <row r="213" ht="11.85" hidden="1" customHeight="1" x14ac:dyDescent="0.2"/>
    <row r="214" ht="11.85" hidden="1" customHeight="1" x14ac:dyDescent="0.2"/>
    <row r="215" ht="11.85" hidden="1" customHeight="1" x14ac:dyDescent="0.2"/>
    <row r="216" ht="11.85" hidden="1" customHeight="1" x14ac:dyDescent="0.2"/>
    <row r="217" ht="11.85" hidden="1" customHeight="1" x14ac:dyDescent="0.2"/>
    <row r="218" ht="11.85" hidden="1" customHeight="1" x14ac:dyDescent="0.2"/>
    <row r="219" ht="11.85" hidden="1" customHeight="1" x14ac:dyDescent="0.2"/>
    <row r="220" ht="11.85" hidden="1" customHeight="1" x14ac:dyDescent="0.2"/>
    <row r="221" ht="11.85" hidden="1" customHeight="1" x14ac:dyDescent="0.2"/>
    <row r="222" ht="11.85" hidden="1" customHeight="1" x14ac:dyDescent="0.2"/>
    <row r="223" ht="11.85" hidden="1" customHeight="1" x14ac:dyDescent="0.2"/>
    <row r="224" ht="11.85" hidden="1" customHeight="1" x14ac:dyDescent="0.2"/>
    <row r="225" ht="11.85" hidden="1" customHeight="1" x14ac:dyDescent="0.2"/>
    <row r="226" ht="11.85" hidden="1" customHeight="1" x14ac:dyDescent="0.2"/>
    <row r="227" ht="11.85" hidden="1" customHeight="1" x14ac:dyDescent="0.2"/>
    <row r="228" ht="11.85" hidden="1" customHeight="1" x14ac:dyDescent="0.2"/>
    <row r="229" ht="11.85" hidden="1" customHeight="1" x14ac:dyDescent="0.2"/>
    <row r="230" ht="11.85" hidden="1" customHeight="1" x14ac:dyDescent="0.2"/>
    <row r="231" ht="11.85" hidden="1" customHeight="1" x14ac:dyDescent="0.2"/>
    <row r="232" ht="11.85" hidden="1" customHeight="1" x14ac:dyDescent="0.2"/>
    <row r="233" ht="11.85" hidden="1" customHeight="1" x14ac:dyDescent="0.2"/>
    <row r="234" ht="11.85" hidden="1" customHeight="1" x14ac:dyDescent="0.2"/>
    <row r="235" ht="11.85" hidden="1" customHeight="1" x14ac:dyDescent="0.2"/>
    <row r="236" ht="11.85" hidden="1" customHeight="1" x14ac:dyDescent="0.2"/>
    <row r="237" ht="11.85" hidden="1" customHeight="1" x14ac:dyDescent="0.2"/>
    <row r="238" ht="11.85" hidden="1" customHeight="1" x14ac:dyDescent="0.2"/>
    <row r="239" ht="11.85" hidden="1" customHeight="1" x14ac:dyDescent="0.2"/>
    <row r="240" ht="11.85" hidden="1" customHeight="1" x14ac:dyDescent="0.2"/>
    <row r="241" ht="11.85" hidden="1" customHeight="1" x14ac:dyDescent="0.2"/>
    <row r="242" ht="11.85" hidden="1" customHeight="1" x14ac:dyDescent="0.2"/>
    <row r="243" ht="11.85" hidden="1" customHeight="1" x14ac:dyDescent="0.2"/>
    <row r="244" ht="11.85" hidden="1" customHeight="1" x14ac:dyDescent="0.2"/>
    <row r="245" ht="11.85" hidden="1" customHeight="1" x14ac:dyDescent="0.2"/>
    <row r="246" ht="11.85" hidden="1" customHeight="1" x14ac:dyDescent="0.2"/>
    <row r="247" ht="11.85" hidden="1" customHeight="1" x14ac:dyDescent="0.2"/>
    <row r="248" ht="11.85" hidden="1" customHeight="1" x14ac:dyDescent="0.2"/>
    <row r="249" ht="11.85" hidden="1" customHeight="1" x14ac:dyDescent="0.2"/>
    <row r="250" ht="11.85" hidden="1" customHeight="1" x14ac:dyDescent="0.2"/>
    <row r="251" ht="11.85" hidden="1" customHeight="1" x14ac:dyDescent="0.2"/>
    <row r="252" ht="11.85" hidden="1" customHeight="1" x14ac:dyDescent="0.2"/>
    <row r="253" ht="11.85" hidden="1" customHeight="1" x14ac:dyDescent="0.2"/>
    <row r="254" ht="11.85" hidden="1" customHeight="1" x14ac:dyDescent="0.2"/>
    <row r="255" ht="11.85" hidden="1" customHeight="1" x14ac:dyDescent="0.2"/>
    <row r="256" ht="11.85" hidden="1" customHeight="1" x14ac:dyDescent="0.2"/>
    <row r="257" ht="11.85" hidden="1" customHeight="1" x14ac:dyDescent="0.2"/>
    <row r="258" ht="11.85" hidden="1" customHeight="1" x14ac:dyDescent="0.2"/>
    <row r="259" ht="11.85" hidden="1" customHeight="1" x14ac:dyDescent="0.2"/>
    <row r="260" ht="11.85" hidden="1" customHeight="1" x14ac:dyDescent="0.2"/>
    <row r="261" ht="11.85" hidden="1" customHeight="1" x14ac:dyDescent="0.2"/>
    <row r="262" ht="11.85" hidden="1" customHeight="1" x14ac:dyDescent="0.2"/>
    <row r="263" ht="11.85" hidden="1" customHeight="1" x14ac:dyDescent="0.2"/>
    <row r="264" ht="11.85" hidden="1" customHeight="1" x14ac:dyDescent="0.2"/>
    <row r="265" ht="11.85" hidden="1" customHeight="1" x14ac:dyDescent="0.2"/>
    <row r="266" ht="11.85" hidden="1" customHeight="1" x14ac:dyDescent="0.2"/>
    <row r="267" ht="11.85" hidden="1" customHeight="1" x14ac:dyDescent="0.2"/>
    <row r="268" ht="11.85" hidden="1" customHeight="1" x14ac:dyDescent="0.2"/>
    <row r="269" ht="11.85" hidden="1" customHeight="1" x14ac:dyDescent="0.2"/>
    <row r="270" ht="11.85" hidden="1" customHeight="1" x14ac:dyDescent="0.2"/>
    <row r="271" ht="11.85" hidden="1" customHeight="1" x14ac:dyDescent="0.2"/>
    <row r="272" ht="11.85" hidden="1" customHeight="1" x14ac:dyDescent="0.2"/>
    <row r="273" ht="11.85" hidden="1" customHeight="1" x14ac:dyDescent="0.2"/>
    <row r="274" ht="11.85" hidden="1" customHeight="1" x14ac:dyDescent="0.2"/>
    <row r="275" ht="11.85" hidden="1" customHeight="1" x14ac:dyDescent="0.2"/>
  </sheetData>
  <sheetProtection sheet="1" objects="1" scenarios="1"/>
  <mergeCells count="12">
    <mergeCell ref="C40:D40"/>
    <mergeCell ref="L1:L6"/>
    <mergeCell ref="A1:A2"/>
    <mergeCell ref="C4:D4"/>
    <mergeCell ref="C5:D5"/>
    <mergeCell ref="G66:I66"/>
    <mergeCell ref="C41:D41"/>
    <mergeCell ref="G63:I63"/>
    <mergeCell ref="G64:I64"/>
    <mergeCell ref="G65:I65"/>
    <mergeCell ref="G60:H60"/>
    <mergeCell ref="G61:H61"/>
  </mergeCells>
  <phoneticPr fontId="4" type="noConversion"/>
  <conditionalFormatting sqref="D9">
    <cfRule type="expression" dxfId="70" priority="4" stopIfTrue="1">
      <formula>B9=""</formula>
    </cfRule>
    <cfRule type="expression" dxfId="69" priority="5" stopIfTrue="1">
      <formula>C9&lt;&gt;" kg"</formula>
    </cfRule>
  </conditionalFormatting>
  <conditionalFormatting sqref="I34">
    <cfRule type="expression" dxfId="68" priority="6" stopIfTrue="1">
      <formula>OR($H34="")</formula>
    </cfRule>
  </conditionalFormatting>
  <conditionalFormatting sqref="I29">
    <cfRule type="expression" dxfId="67" priority="8" stopIfTrue="1">
      <formula>OR($G29="",$H29="")</formula>
    </cfRule>
  </conditionalFormatting>
  <conditionalFormatting sqref="D62:D66 F62:F66 E62:E63 H50:I50 H42:I42 C40:D41 H45:I45 H56:I56 C36 C4:D5 H35:H36">
    <cfRule type="cellIs" dxfId="66" priority="9" stopIfTrue="1" operator="notEqual">
      <formula>""</formula>
    </cfRule>
  </conditionalFormatting>
  <conditionalFormatting sqref="G66">
    <cfRule type="cellIs" dxfId="65" priority="10" stopIfTrue="1" operator="equal">
      <formula>"noch leer!"</formula>
    </cfRule>
  </conditionalFormatting>
  <conditionalFormatting sqref="C37">
    <cfRule type="cellIs" dxfId="64" priority="12" stopIfTrue="1" operator="equal">
      <formula>""</formula>
    </cfRule>
  </conditionalFormatting>
  <conditionalFormatting sqref="C16 C27">
    <cfRule type="expression" dxfId="63" priority="13" stopIfTrue="1">
      <formula>$D$9=""</formula>
    </cfRule>
  </conditionalFormatting>
  <conditionalFormatting sqref="E9">
    <cfRule type="expression" dxfId="62" priority="20" stopIfTrue="1">
      <formula>B9=""</formula>
    </cfRule>
    <cfRule type="expression" dxfId="61" priority="21" stopIfTrue="1">
      <formula>D9&lt;&gt;" kg"</formula>
    </cfRule>
  </conditionalFormatting>
  <conditionalFormatting sqref="F9">
    <cfRule type="expression" dxfId="60" priority="22" stopIfTrue="1">
      <formula>B9=""</formula>
    </cfRule>
    <cfRule type="expression" dxfId="59" priority="23" stopIfTrue="1">
      <formula>E9&lt;&gt;" kg"</formula>
    </cfRule>
  </conditionalFormatting>
  <conditionalFormatting sqref="G29">
    <cfRule type="cellIs" dxfId="58" priority="2" stopIfTrue="1" operator="equal">
      <formula>"noch leer"</formula>
    </cfRule>
  </conditionalFormatting>
  <conditionalFormatting sqref="I11:I12">
    <cfRule type="cellIs" dxfId="57" priority="1"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8">
    <tabColor indexed="10"/>
  </sheetPr>
  <dimension ref="A1:L199"/>
  <sheetViews>
    <sheetView showGridLines="0" zoomScaleNormal="100" workbookViewId="0">
      <selection activeCell="J26" sqref="J26"/>
    </sheetView>
  </sheetViews>
  <sheetFormatPr baseColWidth="10" defaultColWidth="0" defaultRowHeight="12.75" zeroHeight="1" x14ac:dyDescent="0.2"/>
  <cols>
    <col min="1" max="1" width="2.7109375" style="14" customWidth="1"/>
    <col min="2" max="2" width="3.7109375" style="14" customWidth="1"/>
    <col min="3" max="4" width="14.7109375" style="14" customWidth="1"/>
    <col min="5" max="9" width="9.7109375" style="14" customWidth="1"/>
    <col min="10" max="10" width="2.7109375" style="14" customWidth="1"/>
    <col min="11" max="11" width="0.85546875" style="15" customWidth="1"/>
    <col min="12" max="12" width="20.7109375" style="15" customWidth="1"/>
    <col min="13" max="16384" width="9.7109375" style="1" hidden="1"/>
  </cols>
  <sheetData>
    <row r="1" spans="1:12" ht="24.95" customHeight="1" x14ac:dyDescent="0.2">
      <c r="A1" s="1283"/>
      <c r="B1" s="207" t="s">
        <v>145</v>
      </c>
      <c r="C1" s="129"/>
      <c r="D1" s="208"/>
      <c r="E1" s="208"/>
      <c r="F1" s="208"/>
      <c r="G1" s="208"/>
      <c r="H1" s="208"/>
      <c r="I1" s="208"/>
      <c r="J1" s="208"/>
      <c r="K1" s="9"/>
      <c r="L1" s="1160" t="s">
        <v>11</v>
      </c>
    </row>
    <row r="2" spans="1:12" s="2" customFormat="1" ht="12.6" customHeight="1" x14ac:dyDescent="0.2">
      <c r="A2" s="1283"/>
      <c r="B2" s="209" t="str">
        <f>IF([1]WD.ILeist!D12="","",[1]WD.ILeist!D12)</f>
        <v>Dauergrünland 3-schnittig</v>
      </c>
      <c r="C2" s="210"/>
      <c r="D2" s="211"/>
      <c r="E2" s="211"/>
      <c r="F2" s="211"/>
      <c r="G2" s="211"/>
      <c r="H2" s="211"/>
      <c r="I2" s="211"/>
      <c r="J2" s="211"/>
      <c r="K2" s="10"/>
      <c r="L2" s="1160"/>
    </row>
    <row r="3" spans="1:12" ht="39.950000000000003" customHeight="1" x14ac:dyDescent="0.2">
      <c r="K3" s="10"/>
      <c r="L3" s="1160"/>
    </row>
    <row r="4" spans="1:12" ht="3" customHeight="1" x14ac:dyDescent="0.2">
      <c r="B4" s="74"/>
      <c r="C4" s="74"/>
      <c r="D4" s="74"/>
      <c r="E4" s="74"/>
      <c r="F4" s="74"/>
      <c r="G4" s="74"/>
      <c r="H4" s="74"/>
      <c r="I4" s="74"/>
      <c r="K4" s="10"/>
      <c r="L4" s="11"/>
    </row>
    <row r="5" spans="1:12" ht="12.75" customHeight="1" x14ac:dyDescent="0.2">
      <c r="A5" s="15"/>
      <c r="B5" s="212"/>
      <c r="C5" s="1286" t="str">
        <f>IF([1]WD.ILeist!D22="","",[1]WD.ILeist!D22)</f>
        <v>Festmist</v>
      </c>
      <c r="D5" s="213" t="s">
        <v>146</v>
      </c>
      <c r="E5" s="214"/>
      <c r="F5" s="215">
        <f>IF([1]WD.ILeist!X119="","",[1]WD.ILeist!X119)</f>
        <v>2.5</v>
      </c>
      <c r="G5" s="216" t="str">
        <f>IF([1]WD.ILeist!Y119="","",[1]WD.ILeist!Y119)</f>
        <v xml:space="preserve"> t</v>
      </c>
      <c r="H5" s="217">
        <f>IF(G5&lt;&gt;" t",F5/1000,F5*10)</f>
        <v>25</v>
      </c>
      <c r="I5" s="216" t="str">
        <f>IF(G5=" t"," dt"," m³")</f>
        <v xml:space="preserve"> dt</v>
      </c>
      <c r="J5" s="15"/>
      <c r="K5" s="10"/>
      <c r="L5" s="11"/>
    </row>
    <row r="6" spans="1:12" ht="12.75" customHeight="1" x14ac:dyDescent="0.2">
      <c r="A6" s="15"/>
      <c r="B6" s="212"/>
      <c r="C6" s="1287"/>
      <c r="D6" s="213" t="str">
        <f>"Zeitbedarf pro "&amp;IF(C5="Festmist","Fuhre","Fass")</f>
        <v>Zeitbedarf pro Fuhre</v>
      </c>
      <c r="E6" s="218"/>
      <c r="F6" s="218"/>
      <c r="G6" s="219"/>
      <c r="H6" s="220">
        <f>SUM(E10,E13,E16)</f>
        <v>97</v>
      </c>
      <c r="I6" s="216" t="s">
        <v>147</v>
      </c>
      <c r="J6" s="15"/>
      <c r="K6" s="10"/>
      <c r="L6" s="11"/>
    </row>
    <row r="7" spans="1:12" ht="15.6" customHeight="1" x14ac:dyDescent="0.2">
      <c r="A7" s="221"/>
      <c r="B7" s="87"/>
      <c r="C7" s="87"/>
      <c r="D7" s="75"/>
      <c r="E7" s="1288" t="str">
        <f>"Zeit/"&amp;IF(C5="Festmist","Fuhre","Fass")</f>
        <v>Zeit/Fuhre</v>
      </c>
      <c r="F7" s="1288"/>
      <c r="G7" s="222" t="str">
        <f>"Zeit/"&amp;IF(C5="Festmist",100&amp;" dt",10&amp;" m³")</f>
        <v>Zeit/100 dt</v>
      </c>
      <c r="H7" s="222" t="s">
        <v>7</v>
      </c>
      <c r="I7" s="222"/>
      <c r="J7" s="221"/>
      <c r="K7" s="10"/>
      <c r="L7" s="11"/>
    </row>
    <row r="8" spans="1:12" ht="9.9499999999999993" customHeight="1" x14ac:dyDescent="0.2">
      <c r="A8" s="15"/>
      <c r="B8" s="19"/>
      <c r="C8" s="19"/>
      <c r="D8" s="19" t="s">
        <v>148</v>
      </c>
      <c r="E8" s="19" t="s">
        <v>149</v>
      </c>
      <c r="F8" s="19" t="s">
        <v>150</v>
      </c>
      <c r="G8" s="146" t="s">
        <v>150</v>
      </c>
      <c r="H8" s="19" t="s">
        <v>151</v>
      </c>
      <c r="I8" s="19" t="s">
        <v>152</v>
      </c>
      <c r="J8" s="15"/>
      <c r="K8" s="10"/>
      <c r="L8" s="11"/>
    </row>
    <row r="9" spans="1:12" ht="12.75" customHeight="1" x14ac:dyDescent="0.2">
      <c r="A9" s="15"/>
      <c r="B9" s="223" t="s">
        <v>153</v>
      </c>
      <c r="C9" s="223"/>
      <c r="D9" s="224"/>
      <c r="E9" s="543"/>
      <c r="F9" s="27"/>
      <c r="G9" s="27"/>
      <c r="H9" s="226"/>
      <c r="I9" s="226"/>
      <c r="J9" s="15"/>
      <c r="K9" s="10"/>
      <c r="L9" s="11"/>
    </row>
    <row r="10" spans="1:12" ht="12.75" customHeight="1" x14ac:dyDescent="0.2">
      <c r="A10" s="15"/>
      <c r="B10" s="225">
        <v>1</v>
      </c>
      <c r="C10" s="20" t="str">
        <f>IF([1]WD.ILeist!$AB$101&lt;$B10,"",VLOOKUP("L1",Matrix1,4,0))</f>
        <v>Allradtraktor</v>
      </c>
      <c r="D10" s="192" t="str">
        <f>IF([1]WD.ILeist!$AB$101&lt;$B10,"",VLOOKUP("L1",Matrix1,6,0))</f>
        <v>75 KW</v>
      </c>
      <c r="E10" s="543">
        <f>IF([1]WD.ILeist!R41="","",[1]WD.ILeist!R41)</f>
        <v>12</v>
      </c>
      <c r="F10" s="27">
        <f>E10/60</f>
        <v>0.2</v>
      </c>
      <c r="G10" s="27">
        <f>F10/$H$5*100</f>
        <v>0.8</v>
      </c>
      <c r="H10" s="226">
        <f>IF([1]WD.ILeist!$AB$101&lt;$B10,"",VLOOKUP("L1",Matrix1,7,0))</f>
        <v>11.162000000000001</v>
      </c>
      <c r="I10" s="226">
        <f>G10*H10</f>
        <v>8.9296000000000006</v>
      </c>
      <c r="J10" s="15"/>
      <c r="K10" s="10"/>
      <c r="L10" s="11"/>
    </row>
    <row r="11" spans="1:12" ht="12.75" customHeight="1" x14ac:dyDescent="0.2">
      <c r="A11" s="15"/>
      <c r="B11" s="225">
        <v>2</v>
      </c>
      <c r="C11" s="20" t="str">
        <f>IF([1]WD.ILeist!$AB$101&lt;$B11,"",VLOOKUP("L2",Matrix1,4,0))</f>
        <v>Frontlader</v>
      </c>
      <c r="D11" s="192" t="str">
        <f>IF([1]WD.ILeist!$AB$101&lt;$B11,"",VLOOKUP("L2",Matrix1,6,0))</f>
        <v>1,4 m</v>
      </c>
      <c r="E11" s="543">
        <f>IF(C11="","",E10)</f>
        <v>12</v>
      </c>
      <c r="F11" s="27">
        <f>E11/60</f>
        <v>0.2</v>
      </c>
      <c r="G11" s="27">
        <f>F11/$H$5*100</f>
        <v>0.8</v>
      </c>
      <c r="H11" s="226">
        <f>IF([1]WD.ILeist!$AB$101&lt;$B11,"",VLOOKUP("L2",Matrix1,7,0))</f>
        <v>0.5</v>
      </c>
      <c r="I11" s="226">
        <f>G11*H11</f>
        <v>0.4</v>
      </c>
      <c r="J11" s="15"/>
      <c r="K11" s="10"/>
      <c r="L11" s="11"/>
    </row>
    <row r="12" spans="1:12" ht="12.75" customHeight="1" thickBot="1" x14ac:dyDescent="0.25">
      <c r="A12" s="15"/>
      <c r="B12" s="223" t="s">
        <v>154</v>
      </c>
      <c r="C12" s="223"/>
      <c r="D12" s="227"/>
      <c r="E12" s="543"/>
      <c r="F12" s="27"/>
      <c r="G12" s="27"/>
      <c r="H12" s="226"/>
      <c r="I12" s="226"/>
      <c r="J12" s="15"/>
      <c r="K12" s="10"/>
      <c r="L12" s="11"/>
    </row>
    <row r="13" spans="1:12" ht="12.75" customHeight="1" thickBot="1" x14ac:dyDescent="0.25">
      <c r="A13" s="15"/>
      <c r="B13" s="225">
        <v>1</v>
      </c>
      <c r="C13" s="20" t="str">
        <f>IF([1]WD.ILeist!$AB$109&lt;$B13,"",VLOOKUP("T1",Matrix1,4,0))</f>
        <v>Allradtraktor</v>
      </c>
      <c r="D13" s="192" t="str">
        <f>IF([1]WD.ILeist!$AB$109&lt;$B13,"",VLOOKUP("T1",Matrix1,6,0))</f>
        <v>75 KW</v>
      </c>
      <c r="E13" s="543">
        <f>IF([1]WD.ILeist!R43="","",[1]WD.ILeist!R43)</f>
        <v>61</v>
      </c>
      <c r="F13" s="628">
        <f t="shared" ref="F13:F14" si="0">E13/60</f>
        <v>1.0166666666666666</v>
      </c>
      <c r="G13" s="628">
        <f t="shared" ref="G13:G14" si="1">F13/$H$5*100</f>
        <v>4.0666666666666664</v>
      </c>
      <c r="H13" s="226">
        <f>IF([1]WD.ILeist!$AB$109&lt;$B13,"",VLOOKUP("T1",Matrix1,7,0))</f>
        <v>11.162000000000001</v>
      </c>
      <c r="I13" s="169">
        <f t="shared" ref="I13:I14" si="2">G13*H13</f>
        <v>45.392133333333334</v>
      </c>
      <c r="J13" s="15"/>
      <c r="K13" s="10"/>
      <c r="L13" s="11"/>
    </row>
    <row r="14" spans="1:12" ht="12.75" customHeight="1" thickBot="1" x14ac:dyDescent="0.25">
      <c r="A14" s="15"/>
      <c r="B14" s="225">
        <v>2</v>
      </c>
      <c r="C14" s="20" t="str">
        <f>IF([1]WD.ILeist!$AB$109&lt;$B14,"",VLOOKUP("T2",Matrix1,4,0))</f>
        <v>Miststreuer</v>
      </c>
      <c r="D14" s="228" t="str">
        <f>IF([1]WD.ILeist!$AB$109&lt;$B14,"",VLOOKUP("T2",Matrix1,6,0))</f>
        <v>2,5 t</v>
      </c>
      <c r="E14" s="180">
        <f>IF(C14="","",E13)</f>
        <v>61</v>
      </c>
      <c r="F14" s="628">
        <f t="shared" si="0"/>
        <v>1.0166666666666666</v>
      </c>
      <c r="G14" s="628">
        <f t="shared" si="1"/>
        <v>4.0666666666666664</v>
      </c>
      <c r="H14" s="226">
        <f>IF([1]WD.ILeist!$AB$109&lt;$B14,"",VLOOKUP("T2",Matrix1,7,0))</f>
        <v>2.16</v>
      </c>
      <c r="I14" s="169">
        <f t="shared" si="2"/>
        <v>8.7840000000000007</v>
      </c>
      <c r="J14" s="15"/>
      <c r="K14" s="10"/>
      <c r="L14" s="11"/>
    </row>
    <row r="15" spans="1:12" ht="12.75" customHeight="1" x14ac:dyDescent="0.2">
      <c r="A15" s="15"/>
      <c r="B15" s="223" t="s">
        <v>155</v>
      </c>
      <c r="C15" s="223"/>
      <c r="D15" s="227"/>
      <c r="E15" s="543"/>
      <c r="F15" s="546"/>
      <c r="G15" s="546"/>
      <c r="H15" s="226"/>
      <c r="I15" s="541"/>
      <c r="J15" s="15"/>
      <c r="K15" s="10"/>
      <c r="L15" s="11"/>
    </row>
    <row r="16" spans="1:12" ht="12.75" customHeight="1" x14ac:dyDescent="0.2">
      <c r="A16" s="15"/>
      <c r="B16" s="225">
        <v>1</v>
      </c>
      <c r="C16" s="20" t="str">
        <f>IF([1]WD.ILeist!$AB$117&lt;$B16,"",VLOOKUP("A1",Matrix1,4,0))</f>
        <v>Allradtraktor</v>
      </c>
      <c r="D16" s="192" t="str">
        <f>IF([1]WD.ILeist!$AB$117&lt;$B16,"",VLOOKUP("A1",Matrix1,6,0))</f>
        <v>75 KW</v>
      </c>
      <c r="E16" s="543">
        <f>IF([1]WD.ILeist!R45="","",[1]WD.ILeist!R45)</f>
        <v>24</v>
      </c>
      <c r="F16" s="27">
        <f>E16/60</f>
        <v>0.4</v>
      </c>
      <c r="G16" s="27">
        <f>F16/$H$5*100</f>
        <v>1.6</v>
      </c>
      <c r="H16" s="226">
        <f>IF([1]WD.ILeist!$AB$117&lt;$B16,"",VLOOKUP("A1",Matrix1,7,0))</f>
        <v>11.162000000000001</v>
      </c>
      <c r="I16" s="226">
        <f>G16*H16</f>
        <v>17.859200000000001</v>
      </c>
      <c r="J16" s="15"/>
      <c r="K16" s="10"/>
      <c r="L16" s="11"/>
    </row>
    <row r="17" spans="1:12" ht="12.75" customHeight="1" thickBot="1" x14ac:dyDescent="0.25">
      <c r="A17" s="15"/>
      <c r="B17" s="225">
        <v>2</v>
      </c>
      <c r="C17" s="20" t="str">
        <f>IF([1]WD.ILeist!$AB$117&lt;$B17,"",VLOOKUP("A2",Matrix1,4,0))</f>
        <v>Miststreuer</v>
      </c>
      <c r="D17" s="228" t="str">
        <f>IF([1]WD.ILeist!$AB$117&lt;$B17,"",VLOOKUP("A2",Matrix1,6,0))</f>
        <v>2,5 t</v>
      </c>
      <c r="E17" s="543">
        <f>IF(C17="","",E16)</f>
        <v>24</v>
      </c>
      <c r="F17" s="27">
        <f>E17/60</f>
        <v>0.4</v>
      </c>
      <c r="G17" s="27">
        <f>F17/$H$5*100</f>
        <v>1.6</v>
      </c>
      <c r="H17" s="226">
        <f>IF([1]WD.ILeist!$AB$117&lt;$B17,"",VLOOKUP("A2",Matrix1,7,0))</f>
        <v>2.16</v>
      </c>
      <c r="I17" s="540">
        <f>G17*H17</f>
        <v>3.4560000000000004</v>
      </c>
      <c r="J17" s="15"/>
      <c r="K17" s="10"/>
      <c r="L17" s="11"/>
    </row>
    <row r="18" spans="1:12" ht="12.75" customHeight="1" thickBot="1" x14ac:dyDescent="0.25">
      <c r="A18" s="15"/>
      <c r="B18" s="36" t="str">
        <f>"Summe variable Maschinenkosten - "&amp;WD.1Dgl!C5</f>
        <v>Summe variable Maschinenkosten - Festmist</v>
      </c>
      <c r="C18" s="36"/>
      <c r="D18" s="36"/>
      <c r="E18" s="36"/>
      <c r="F18" s="36"/>
      <c r="G18" s="229"/>
      <c r="H18" s="230"/>
      <c r="I18" s="231">
        <f>SUM(I10:I17)</f>
        <v>84.820933333333343</v>
      </c>
      <c r="J18" s="15"/>
      <c r="K18" s="10"/>
      <c r="L18" s="11"/>
    </row>
    <row r="19" spans="1:12" ht="12.75" customHeight="1" thickBot="1" x14ac:dyDescent="0.25">
      <c r="A19" s="15"/>
      <c r="B19" s="33" t="s">
        <v>156</v>
      </c>
      <c r="C19" s="33"/>
      <c r="D19" s="20"/>
      <c r="E19" s="20"/>
      <c r="F19" s="20"/>
      <c r="G19" s="232"/>
      <c r="H19" s="149">
        <f>IF([1]WD.ILeist!D24="","",[1]WD.ILeist!D24)</f>
        <v>0.2</v>
      </c>
      <c r="I19" s="629">
        <f>I18+I18*H19</f>
        <v>101.78512000000001</v>
      </c>
      <c r="J19" s="15"/>
      <c r="K19" s="10"/>
      <c r="L19" s="11"/>
    </row>
    <row r="20" spans="1:12" ht="12.75" customHeight="1" thickBot="1" x14ac:dyDescent="0.25">
      <c r="A20" s="15"/>
      <c r="B20" s="20"/>
      <c r="C20" s="20"/>
      <c r="D20" s="20"/>
      <c r="E20" s="20"/>
      <c r="F20" s="20"/>
      <c r="G20" s="197" t="s">
        <v>157</v>
      </c>
      <c r="H20" s="149">
        <f>IF([1]WD.ILeist!S47="","",[1]WD.ILeist!S47)</f>
        <v>0.14000000000000001</v>
      </c>
      <c r="I20" s="629">
        <f>I19*H20</f>
        <v>14.249916800000003</v>
      </c>
      <c r="J20" s="15"/>
      <c r="K20" s="10"/>
      <c r="L20" s="11"/>
    </row>
    <row r="21" spans="1:12" ht="12.75" customHeight="1" thickBot="1" x14ac:dyDescent="0.25">
      <c r="A21" s="15"/>
      <c r="B21" s="233" t="str">
        <f>"GESAMTE MASCHINENKOSTEN je "&amp;IF(C5="Festmist",100&amp;" dt",10&amp;" m³")</f>
        <v>GESAMTE MASCHINENKOSTEN je 100 dt</v>
      </c>
      <c r="C21" s="234"/>
      <c r="D21" s="234"/>
      <c r="E21" s="234"/>
      <c r="F21" s="234"/>
      <c r="G21" s="234"/>
      <c r="H21" s="234"/>
      <c r="I21" s="235">
        <f>SUM(I19:I20)</f>
        <v>116.03503680000001</v>
      </c>
      <c r="J21" s="15"/>
      <c r="K21" s="10"/>
      <c r="L21" s="11"/>
    </row>
    <row r="22" spans="1:12" ht="6" customHeight="1" x14ac:dyDescent="0.2">
      <c r="A22" s="15"/>
      <c r="B22" s="15"/>
      <c r="C22" s="15"/>
      <c r="D22" s="15"/>
      <c r="E22" s="15"/>
      <c r="F22" s="15"/>
      <c r="G22" s="15"/>
      <c r="H22" s="15"/>
      <c r="I22" s="236"/>
      <c r="J22" s="15"/>
      <c r="K22" s="12"/>
      <c r="L22" s="11"/>
    </row>
    <row r="23" spans="1:12" ht="12.75" customHeight="1" thickBot="1" x14ac:dyDescent="0.25">
      <c r="A23" s="15"/>
      <c r="B23" s="237" t="s">
        <v>158</v>
      </c>
      <c r="C23" s="237"/>
      <c r="D23" s="237"/>
      <c r="E23" s="237"/>
      <c r="F23" s="237"/>
      <c r="G23" s="1293" t="s">
        <v>159</v>
      </c>
      <c r="H23" s="1293"/>
      <c r="I23" s="19" t="s">
        <v>160</v>
      </c>
      <c r="J23" s="15"/>
      <c r="K23" s="10"/>
      <c r="L23" s="11"/>
    </row>
    <row r="24" spans="1:12" ht="12.75" customHeight="1" thickBot="1" x14ac:dyDescent="0.25">
      <c r="A24" s="15"/>
      <c r="B24" s="238">
        <f>IF([1]WD.ILeist!S49="","",[1]WD.ILeist!S49)</f>
        <v>189</v>
      </c>
      <c r="C24" s="239" t="str">
        <f>IF([1]WD.ILeist!F49="","",[1]WD.ILeist!I49)</f>
        <v>dt</v>
      </c>
      <c r="D24" s="240" t="str">
        <f>IF([1]WD.ILeist!D22="Festmist",[1]WD.ILeist!D16&amp;" kg Stickstoff/t",[1]WD.ILeist!D16&amp;" kg Stickstoff/m³")</f>
        <v>3,5 kg Stickstoff/t</v>
      </c>
      <c r="E24" s="1289">
        <f>IF([1]WD.ILeist!D22="Festmist",[1]WD.ILeist!D16*[1]WD.ILeist!F49/10,[1]WD.ILeist!D16*[1]WD.ILeist!F49)</f>
        <v>49</v>
      </c>
      <c r="F24" s="1290"/>
      <c r="G24" s="1291">
        <f>IF(OR(H19="",I24=""),"noch leer",(I24*100%)/(100%+H19))</f>
        <v>182.75518296000004</v>
      </c>
      <c r="H24" s="1292"/>
      <c r="I24" s="630">
        <f>I21/100*B24</f>
        <v>219.30621955200004</v>
      </c>
      <c r="J24" s="15"/>
      <c r="K24" s="10"/>
      <c r="L24" s="11"/>
    </row>
    <row r="25" spans="1:12" ht="6" customHeight="1" x14ac:dyDescent="0.2">
      <c r="A25" s="15"/>
      <c r="B25" s="15"/>
      <c r="C25" s="15"/>
      <c r="D25" s="15"/>
      <c r="E25" s="15"/>
      <c r="F25" s="15"/>
      <c r="G25" s="15"/>
      <c r="H25" s="15"/>
      <c r="I25" s="236"/>
      <c r="J25" s="15"/>
      <c r="K25" s="10"/>
      <c r="L25" s="11"/>
    </row>
    <row r="26" spans="1:12" ht="12.75" customHeight="1" thickBot="1" x14ac:dyDescent="0.25">
      <c r="A26" s="15"/>
      <c r="B26" s="241" t="str">
        <f>"Arbeitszeitbedarf - "&amp;C5</f>
        <v>Arbeitszeitbedarf - Festmist</v>
      </c>
      <c r="C26" s="241"/>
      <c r="D26" s="57"/>
      <c r="E26" s="242"/>
      <c r="F26" s="242"/>
      <c r="G26" s="242"/>
      <c r="H26" s="242"/>
      <c r="I26" s="236"/>
      <c r="J26" s="15"/>
      <c r="K26" s="10"/>
      <c r="L26" s="11"/>
    </row>
    <row r="27" spans="1:12" ht="12.75" customHeight="1" thickBot="1" x14ac:dyDescent="0.25">
      <c r="A27" s="15"/>
      <c r="B27" s="243" t="s">
        <v>161</v>
      </c>
      <c r="C27" s="243"/>
      <c r="D27" s="243"/>
      <c r="E27" s="243"/>
      <c r="F27" s="243"/>
      <c r="G27" s="631">
        <f>SUM(G10,G13,G16)/100*B24</f>
        <v>12.222</v>
      </c>
      <c r="H27" s="2" t="s">
        <v>342</v>
      </c>
      <c r="I27" s="236"/>
      <c r="J27" s="15"/>
      <c r="K27" s="10"/>
      <c r="L27" s="11"/>
    </row>
    <row r="28" spans="1:12" ht="30" customHeight="1" x14ac:dyDescent="0.2">
      <c r="A28" s="15"/>
      <c r="B28" s="15"/>
      <c r="C28" s="15"/>
      <c r="D28" s="15"/>
      <c r="E28" s="15"/>
      <c r="F28" s="15"/>
      <c r="G28" s="15"/>
      <c r="H28" s="15"/>
      <c r="I28" s="236"/>
      <c r="J28" s="15"/>
      <c r="K28" s="10"/>
      <c r="L28" s="11"/>
    </row>
    <row r="29" spans="1:12" ht="3" customHeight="1" x14ac:dyDescent="0.2">
      <c r="B29" s="74"/>
      <c r="C29" s="74"/>
      <c r="D29" s="74"/>
      <c r="E29" s="74"/>
      <c r="F29" s="74"/>
      <c r="G29" s="74"/>
      <c r="H29" s="74"/>
      <c r="I29" s="244"/>
      <c r="K29" s="13"/>
      <c r="L29" s="11"/>
    </row>
    <row r="30" spans="1:12" ht="12.75" customHeight="1" x14ac:dyDescent="0.2">
      <c r="A30" s="15"/>
      <c r="B30" s="212"/>
      <c r="C30" s="1286" t="str">
        <f>IF([1]WD.ILeist!D52="","",[1]WD.ILeist!D52)</f>
        <v>Jauche</v>
      </c>
      <c r="D30" s="213" t="s">
        <v>146</v>
      </c>
      <c r="E30" s="245"/>
      <c r="F30" s="215">
        <f>IF([1]WD.ILeist!X152="","",[1]WD.ILeist!X152)</f>
        <v>3000</v>
      </c>
      <c r="G30" s="216" t="str">
        <f>IF([1]WD.ILeist!Y152="","",[1]WD.ILeist!Y152)</f>
        <v xml:space="preserve"> lt</v>
      </c>
      <c r="H30" s="217">
        <f>IF(G30&lt;&gt;" t",F30/1000,F30*10)</f>
        <v>3</v>
      </c>
      <c r="I30" s="246" t="str">
        <f>IF(G30=" t"," dt"," m³")</f>
        <v xml:space="preserve"> m³</v>
      </c>
      <c r="J30" s="15"/>
      <c r="K30" s="13"/>
      <c r="L30" s="11"/>
    </row>
    <row r="31" spans="1:12" ht="12.75" customHeight="1" x14ac:dyDescent="0.2">
      <c r="A31" s="15"/>
      <c r="B31" s="212"/>
      <c r="C31" s="1287"/>
      <c r="D31" s="213" t="str">
        <f>"Zeitbedarf pro "&amp;IF(C30="Festmist","Fuhre","Fass")</f>
        <v>Zeitbedarf pro Fass</v>
      </c>
      <c r="E31" s="57"/>
      <c r="F31" s="18"/>
      <c r="G31" s="219"/>
      <c r="H31" s="220">
        <f>SUM(E35,E38,E41)</f>
        <v>94</v>
      </c>
      <c r="I31" s="246" t="s">
        <v>147</v>
      </c>
      <c r="J31" s="15"/>
      <c r="K31" s="13"/>
      <c r="L31" s="11"/>
    </row>
    <row r="32" spans="1:12" ht="15.6" customHeight="1" x14ac:dyDescent="0.2">
      <c r="A32" s="221"/>
      <c r="B32" s="87"/>
      <c r="C32" s="87"/>
      <c r="D32" s="75"/>
      <c r="E32" s="1288" t="str">
        <f>"Zeit/"&amp;IF(C30="Festmist","Fuhre","Fass")</f>
        <v>Zeit/Fass</v>
      </c>
      <c r="F32" s="1288"/>
      <c r="G32" s="222" t="str">
        <f>"Zeit/"&amp;IF(C30="Festmist",100&amp;" dt",10&amp;" m³")</f>
        <v>Zeit/10 m³</v>
      </c>
      <c r="H32" s="222" t="s">
        <v>7</v>
      </c>
      <c r="I32" s="222"/>
      <c r="J32" s="221"/>
      <c r="K32" s="10"/>
      <c r="L32" s="11"/>
    </row>
    <row r="33" spans="1:12" ht="9.9499999999999993" customHeight="1" x14ac:dyDescent="0.2">
      <c r="A33" s="15"/>
      <c r="B33" s="19"/>
      <c r="C33" s="19"/>
      <c r="D33" s="19" t="s">
        <v>162</v>
      </c>
      <c r="E33" s="19" t="s">
        <v>163</v>
      </c>
      <c r="F33" s="19" t="s">
        <v>150</v>
      </c>
      <c r="G33" s="146" t="s">
        <v>150</v>
      </c>
      <c r="H33" s="19" t="s">
        <v>151</v>
      </c>
      <c r="I33" s="19" t="s">
        <v>152</v>
      </c>
      <c r="J33" s="15"/>
      <c r="K33" s="10"/>
      <c r="L33" s="11"/>
    </row>
    <row r="34" spans="1:12" ht="12.75" customHeight="1" thickBot="1" x14ac:dyDescent="0.25">
      <c r="A34" s="15"/>
      <c r="B34" s="223" t="s">
        <v>153</v>
      </c>
      <c r="C34" s="223"/>
      <c r="D34" s="224"/>
      <c r="E34" s="543"/>
      <c r="F34" s="27"/>
      <c r="G34" s="27"/>
      <c r="H34" s="226"/>
      <c r="I34" s="226"/>
      <c r="J34" s="15"/>
      <c r="K34" s="10"/>
      <c r="L34" s="11"/>
    </row>
    <row r="35" spans="1:12" ht="12.75" customHeight="1" thickBot="1" x14ac:dyDescent="0.25">
      <c r="A35" s="15"/>
      <c r="B35" s="225">
        <v>1</v>
      </c>
      <c r="C35" s="20" t="str">
        <f>IF([1]WD.ILeist!$AB$134&lt;$B35,"",VLOOKUP("L1",Matrix2,4,0))</f>
        <v>Allradtraktor</v>
      </c>
      <c r="D35" s="192" t="str">
        <f>IF([1]WD.ILeist!$AB$134&lt;$B35,"",VLOOKUP("L1",Matrix2,6,0))</f>
        <v>75 KW</v>
      </c>
      <c r="E35" s="180">
        <f>IF([1]WD.ILeist!R69="","",[1]WD.ILeist!R69)</f>
        <v>11</v>
      </c>
      <c r="F35" s="628">
        <f>E35/60</f>
        <v>0.18333333333333332</v>
      </c>
      <c r="G35" s="628">
        <f>F35/$H$30*10</f>
        <v>0.61111111111111105</v>
      </c>
      <c r="H35" s="540">
        <f>IF([1]WD.ILeist!$AB$134&lt;$B35,"",VLOOKUP("L1",Matrix2,7,0))</f>
        <v>11.162000000000001</v>
      </c>
      <c r="I35" s="169">
        <f>H35*G35</f>
        <v>6.8212222222222216</v>
      </c>
      <c r="J35" s="15"/>
      <c r="K35" s="10"/>
      <c r="L35" s="11"/>
    </row>
    <row r="36" spans="1:12" ht="12.75" customHeight="1" thickBot="1" x14ac:dyDescent="0.25">
      <c r="A36" s="15"/>
      <c r="B36" s="225">
        <v>2</v>
      </c>
      <c r="C36" s="20" t="str">
        <f>IF([1]WD.ILeist!$AB$134&lt;$B36,"",VLOOKUP("L2",Matrix2,4,0))</f>
        <v>Vakuumfass</v>
      </c>
      <c r="D36" s="192" t="str">
        <f>IF([1]WD.ILeist!$AB$134&lt;$B36,"",VLOOKUP("L2",Matrix2,6,0))</f>
        <v>3000 lt</v>
      </c>
      <c r="E36" s="543">
        <f>IF(C36="","",E35)</f>
        <v>11</v>
      </c>
      <c r="F36" s="628">
        <f t="shared" ref="F36" si="3">E36/60</f>
        <v>0.18333333333333332</v>
      </c>
      <c r="G36" s="628">
        <f t="shared" ref="G36" si="4">F36/$H$30*10</f>
        <v>0.61111111111111105</v>
      </c>
      <c r="H36" s="540">
        <f>IF([1]WD.ILeist!$AB$134&lt;$B36,"",VLOOKUP("L2",Matrix2,7,0))</f>
        <v>1.3</v>
      </c>
      <c r="I36" s="169">
        <f>H36*G36</f>
        <v>0.7944444444444444</v>
      </c>
      <c r="J36" s="15"/>
      <c r="K36" s="10"/>
      <c r="L36" s="11"/>
    </row>
    <row r="37" spans="1:12" ht="12.75" customHeight="1" x14ac:dyDescent="0.2">
      <c r="A37" s="15"/>
      <c r="B37" s="223" t="s">
        <v>154</v>
      </c>
      <c r="C37" s="223"/>
      <c r="D37" s="227"/>
      <c r="E37" s="543"/>
      <c r="F37" s="27"/>
      <c r="G37" s="27"/>
      <c r="H37" s="226"/>
      <c r="I37" s="226"/>
      <c r="J37" s="15"/>
      <c r="K37" s="10"/>
      <c r="L37" s="11"/>
    </row>
    <row r="38" spans="1:12" ht="12.75" customHeight="1" x14ac:dyDescent="0.2">
      <c r="A38" s="15"/>
      <c r="B38" s="225">
        <v>1</v>
      </c>
      <c r="C38" s="20" t="str">
        <f>IF([1]WD.ILeist!$AB$142&lt;$B38,"",VLOOKUP("T1",Matrix2,4,0))</f>
        <v>Allradtraktor</v>
      </c>
      <c r="D38" s="192" t="str">
        <f>IF([1]WD.ILeist!$AB$142&lt;$B38,"",VLOOKUP("T1",Matrix2,6,0))</f>
        <v>75 KW</v>
      </c>
      <c r="E38" s="543">
        <f>IF([1]WD.ILeist!R71="","",[1]WD.ILeist!R71)</f>
        <v>61</v>
      </c>
      <c r="F38" s="27">
        <f>E38/60</f>
        <v>1.0166666666666666</v>
      </c>
      <c r="G38" s="27">
        <f>F38/$H$30*10</f>
        <v>3.3888888888888884</v>
      </c>
      <c r="H38" s="226">
        <f>IF([1]WD.ILeist!$AB$142&lt;$B38,"",VLOOKUP("T1",Matrix2,7,0))</f>
        <v>11.162000000000001</v>
      </c>
      <c r="I38" s="226">
        <f>G38*H38</f>
        <v>37.826777777777778</v>
      </c>
      <c r="J38" s="15"/>
      <c r="K38" s="10"/>
      <c r="L38" s="11"/>
    </row>
    <row r="39" spans="1:12" ht="12.75" customHeight="1" x14ac:dyDescent="0.2">
      <c r="A39" s="15"/>
      <c r="B39" s="225">
        <v>2</v>
      </c>
      <c r="C39" s="20" t="str">
        <f>IF([1]WD.ILeist!$AB$142&lt;$B39,"",VLOOKUP("T2",Matrix2,4,0))</f>
        <v>Vakuumfass</v>
      </c>
      <c r="D39" s="228" t="str">
        <f>IF([1]WD.ILeist!$AB$142&lt;$B39,"",VLOOKUP("T2",Matrix2,6,0))</f>
        <v>3000 lt</v>
      </c>
      <c r="E39" s="543">
        <f>IF(C39="","",E38)</f>
        <v>61</v>
      </c>
      <c r="F39" s="27">
        <f>E39/60</f>
        <v>1.0166666666666666</v>
      </c>
      <c r="G39" s="27">
        <f>F39/$H$30*10</f>
        <v>3.3888888888888884</v>
      </c>
      <c r="H39" s="226">
        <f>IF([1]WD.ILeist!$AB$142&lt;$B39,"",VLOOKUP("T2",Matrix2,7,0))</f>
        <v>1.3</v>
      </c>
      <c r="I39" s="226">
        <f>G39*H39</f>
        <v>4.405555555555555</v>
      </c>
      <c r="J39" s="15"/>
      <c r="K39" s="10"/>
      <c r="L39" s="11"/>
    </row>
    <row r="40" spans="1:12" ht="12.75" customHeight="1" x14ac:dyDescent="0.2">
      <c r="A40" s="15"/>
      <c r="B40" s="223" t="s">
        <v>155</v>
      </c>
      <c r="C40" s="223"/>
      <c r="D40" s="227"/>
      <c r="E40" s="543"/>
      <c r="F40" s="27"/>
      <c r="G40" s="27"/>
      <c r="H40" s="226"/>
      <c r="I40" s="226"/>
      <c r="J40" s="15"/>
      <c r="K40" s="10"/>
      <c r="L40" s="11"/>
    </row>
    <row r="41" spans="1:12" ht="12.75" customHeight="1" x14ac:dyDescent="0.2">
      <c r="A41" s="15"/>
      <c r="B41" s="225">
        <v>1</v>
      </c>
      <c r="C41" s="20" t="str">
        <f>IF([1]WD.ILeist!$AB$150&lt;$B41,"",VLOOKUP("A1",Matrix2,4,0))</f>
        <v>Allradtraktor</v>
      </c>
      <c r="D41" s="192" t="str">
        <f>IF([1]WD.ILeist!$AB$150&lt;$B41,"",VLOOKUP("A1",Matrix2,6,0))</f>
        <v>75 KW</v>
      </c>
      <c r="E41" s="543">
        <f>IF([1]WD.ILeist!R73="","",[1]WD.ILeist!R73)</f>
        <v>22</v>
      </c>
      <c r="F41" s="27">
        <f>E41/60</f>
        <v>0.36666666666666664</v>
      </c>
      <c r="G41" s="27">
        <f>F41/$H$30*10</f>
        <v>1.2222222222222221</v>
      </c>
      <c r="H41" s="226">
        <f>IF([1]WD.ILeist!$AB$150&lt;$B41,"",VLOOKUP("A1",Matrix2,7,0))</f>
        <v>11.162000000000001</v>
      </c>
      <c r="I41" s="226">
        <f>G41*H41</f>
        <v>13.642444444444443</v>
      </c>
      <c r="J41" s="15"/>
      <c r="K41" s="10"/>
      <c r="L41" s="11"/>
    </row>
    <row r="42" spans="1:12" ht="12.75" customHeight="1" thickBot="1" x14ac:dyDescent="0.25">
      <c r="A42" s="15"/>
      <c r="B42" s="225">
        <v>2</v>
      </c>
      <c r="C42" s="20" t="str">
        <f>IF([1]WD.ILeist!$AB$150&lt;$B42,"",VLOOKUP("A2",Matrix2,4,0))</f>
        <v>Vakuumfass</v>
      </c>
      <c r="D42" s="228" t="str">
        <f>IF([1]WD.ILeist!$AB$150&lt;$B42,"",VLOOKUP("A2",Matrix2,6,0))</f>
        <v>3000 lt</v>
      </c>
      <c r="E42" s="543">
        <f>IF(C42="","",E41)</f>
        <v>22</v>
      </c>
      <c r="F42" s="27">
        <f>E42/60</f>
        <v>0.36666666666666664</v>
      </c>
      <c r="G42" s="27">
        <f>F42/$H$30*10</f>
        <v>1.2222222222222221</v>
      </c>
      <c r="H42" s="226">
        <f>IF([1]WD.ILeist!$AB$150&lt;$B42,"",VLOOKUP("A2",Matrix2,7,0))</f>
        <v>1.3</v>
      </c>
      <c r="I42" s="540">
        <f>G42*H42</f>
        <v>1.5888888888888888</v>
      </c>
      <c r="J42" s="15"/>
      <c r="K42" s="10"/>
      <c r="L42" s="11"/>
    </row>
    <row r="43" spans="1:12" ht="12.75" customHeight="1" thickBot="1" x14ac:dyDescent="0.25">
      <c r="A43" s="15"/>
      <c r="B43" s="36" t="str">
        <f>"Summe variable Maschinenkosten - "&amp;WD.1Dgl!C30</f>
        <v>Summe variable Maschinenkosten - Jauche</v>
      </c>
      <c r="C43" s="36"/>
      <c r="D43" s="36"/>
      <c r="E43" s="36"/>
      <c r="F43" s="36"/>
      <c r="G43" s="229"/>
      <c r="H43" s="230"/>
      <c r="I43" s="231">
        <f>SUM(I35:I42)</f>
        <v>65.079333333333338</v>
      </c>
      <c r="J43" s="15"/>
      <c r="K43" s="10"/>
      <c r="L43" s="11"/>
    </row>
    <row r="44" spans="1:12" ht="12.75" customHeight="1" thickBot="1" x14ac:dyDescent="0.25">
      <c r="A44" s="15"/>
      <c r="B44" s="33" t="s">
        <v>156</v>
      </c>
      <c r="C44" s="33"/>
      <c r="D44" s="20"/>
      <c r="E44" s="20"/>
      <c r="F44" s="20"/>
      <c r="G44" s="232"/>
      <c r="H44" s="149">
        <f>IF([1]WD.ILeist!D24="","",[1]WD.ILeist!D24)</f>
        <v>0.2</v>
      </c>
      <c r="I44" s="629">
        <f>I43+I43*H44</f>
        <v>78.095200000000006</v>
      </c>
      <c r="J44" s="15"/>
      <c r="K44" s="10"/>
      <c r="L44" s="11"/>
    </row>
    <row r="45" spans="1:12" ht="12.75" customHeight="1" thickBot="1" x14ac:dyDescent="0.25">
      <c r="A45" s="15"/>
      <c r="B45" s="20"/>
      <c r="C45" s="20"/>
      <c r="D45" s="20"/>
      <c r="E45" s="20"/>
      <c r="F45" s="20"/>
      <c r="G45" s="197" t="s">
        <v>157</v>
      </c>
      <c r="H45" s="149">
        <f>IF([1]WD.ILeist!S75="","",[1]WD.ILeist!S75)</f>
        <v>0.11</v>
      </c>
      <c r="I45" s="629">
        <f>I44*H45</f>
        <v>8.5904720000000001</v>
      </c>
      <c r="J45" s="15"/>
      <c r="K45" s="10"/>
      <c r="L45" s="11"/>
    </row>
    <row r="46" spans="1:12" ht="12.75" customHeight="1" thickBot="1" x14ac:dyDescent="0.25">
      <c r="A46" s="15"/>
      <c r="B46" s="233" t="str">
        <f>"GESAMTE MASCHINENKOSTEN je "&amp;IF(C30="Festmist",100&amp;" dt",10&amp;" m³")</f>
        <v>GESAMTE MASCHINENKOSTEN je 10 m³</v>
      </c>
      <c r="C46" s="234"/>
      <c r="D46" s="234"/>
      <c r="E46" s="234"/>
      <c r="F46" s="234"/>
      <c r="G46" s="234"/>
      <c r="H46" s="234"/>
      <c r="I46" s="235">
        <f>SUM(I44:I45)</f>
        <v>86.685672000000011</v>
      </c>
      <c r="J46" s="15"/>
      <c r="K46" s="10"/>
      <c r="L46" s="11"/>
    </row>
    <row r="47" spans="1:12" ht="6" customHeight="1" x14ac:dyDescent="0.2">
      <c r="A47" s="15"/>
      <c r="B47" s="15"/>
      <c r="C47" s="15"/>
      <c r="D47" s="15"/>
      <c r="E47" s="15"/>
      <c r="F47" s="15"/>
      <c r="G47" s="15"/>
      <c r="H47" s="15"/>
      <c r="I47" s="236"/>
      <c r="J47" s="15"/>
      <c r="K47" s="10"/>
      <c r="L47" s="11"/>
    </row>
    <row r="48" spans="1:12" ht="12.75" customHeight="1" thickBot="1" x14ac:dyDescent="0.25">
      <c r="A48" s="15"/>
      <c r="B48" s="237" t="s">
        <v>158</v>
      </c>
      <c r="C48" s="237"/>
      <c r="D48" s="237"/>
      <c r="E48" s="237"/>
      <c r="F48" s="237"/>
      <c r="G48" s="1293" t="s">
        <v>159</v>
      </c>
      <c r="H48" s="1293"/>
      <c r="I48" s="19" t="s">
        <v>160</v>
      </c>
      <c r="J48" s="15"/>
      <c r="K48" s="10"/>
      <c r="L48" s="542"/>
    </row>
    <row r="49" spans="1:12" ht="12.75" customHeight="1" thickBot="1" x14ac:dyDescent="0.25">
      <c r="A49" s="15"/>
      <c r="B49" s="238">
        <f>IF([1]WD.ILeist!S77="","",[1]WD.ILeist!S77)</f>
        <v>18</v>
      </c>
      <c r="C49" s="239" t="str">
        <f>IF([1]WD.ILeist!F77="","",[1]WD.ILeist!I77)</f>
        <v>m³</v>
      </c>
      <c r="D49" s="240" t="str">
        <f>IF([1]WD.ILeist!D52="Festmist",[1]WD.ILeist!D18&amp;" kg Stickstoff/t",[1]WD.ILeist!D18&amp;" kg Stickstoff/m³")</f>
        <v>3,5 kg Stickstoff/m³</v>
      </c>
      <c r="E49" s="1289">
        <f>IF([1]WD.ILeist!D52="Festmist",[1]WD.ILeist!D18*[1]WD.ILeist!F77/10,[1]WD.ILeist!D18*[1]WD.ILeist!F77)</f>
        <v>45.5</v>
      </c>
      <c r="F49" s="1290"/>
      <c r="G49" s="1291">
        <f>IF(OR(H44="",I49=""),"noch leer",(I49*100%)/(100%+H44))</f>
        <v>130.02850800000002</v>
      </c>
      <c r="H49" s="1292"/>
      <c r="I49" s="630">
        <f>I46/10*B49</f>
        <v>156.03420960000003</v>
      </c>
      <c r="J49" s="15"/>
      <c r="K49" s="10"/>
      <c r="L49" s="542"/>
    </row>
    <row r="50" spans="1:12" ht="6" customHeight="1" x14ac:dyDescent="0.2">
      <c r="A50" s="15"/>
      <c r="B50" s="15"/>
      <c r="C50" s="15"/>
      <c r="D50" s="15"/>
      <c r="E50" s="15"/>
      <c r="F50" s="15"/>
      <c r="G50" s="15"/>
      <c r="H50" s="15"/>
      <c r="I50" s="15"/>
      <c r="J50" s="15"/>
      <c r="K50" s="10"/>
      <c r="L50" s="542"/>
    </row>
    <row r="51" spans="1:12" ht="12.75" customHeight="1" thickBot="1" x14ac:dyDescent="0.25">
      <c r="A51" s="15"/>
      <c r="B51" s="241" t="str">
        <f>"Arbeitszeitbedarf - "&amp;C30</f>
        <v>Arbeitszeitbedarf - Jauche</v>
      </c>
      <c r="C51" s="241"/>
      <c r="D51" s="57"/>
      <c r="E51" s="242"/>
      <c r="F51" s="242"/>
      <c r="G51" s="242"/>
      <c r="H51" s="242"/>
      <c r="I51" s="15"/>
      <c r="J51" s="15"/>
      <c r="K51" s="10"/>
      <c r="L51" s="542"/>
    </row>
    <row r="52" spans="1:12" ht="12.75" customHeight="1" thickBot="1" x14ac:dyDescent="0.25">
      <c r="A52" s="15"/>
      <c r="B52" s="243" t="s">
        <v>161</v>
      </c>
      <c r="C52" s="243"/>
      <c r="D52" s="243"/>
      <c r="E52" s="243"/>
      <c r="F52" s="243"/>
      <c r="G52" s="631">
        <f>SUM(G35,G38,G41)/10*B49</f>
        <v>9.3999999999999986</v>
      </c>
      <c r="H52" s="2" t="s">
        <v>342</v>
      </c>
      <c r="I52" s="15"/>
      <c r="J52" s="15"/>
      <c r="K52" s="10"/>
      <c r="L52" s="542"/>
    </row>
    <row r="53" spans="1:12" ht="12.75" customHeight="1" x14ac:dyDescent="0.2">
      <c r="A53" s="15"/>
      <c r="B53" s="15"/>
      <c r="C53" s="15"/>
      <c r="D53" s="15"/>
      <c r="E53" s="15"/>
      <c r="F53" s="15"/>
      <c r="G53" s="236"/>
      <c r="H53" s="15"/>
      <c r="I53" s="15"/>
      <c r="J53" s="15"/>
      <c r="K53" s="10"/>
      <c r="L53" s="542"/>
    </row>
    <row r="54" spans="1:12" ht="12.75" customHeight="1" x14ac:dyDescent="0.2">
      <c r="A54" s="15"/>
      <c r="B54" s="30" t="str">
        <f>"Gesamtbedarf pro Jahr bei "&amp;B2</f>
        <v>Gesamtbedarf pro Jahr bei Dauergrünland 3-schnittig</v>
      </c>
      <c r="C54" s="30"/>
      <c r="D54" s="30"/>
      <c r="E54" s="30"/>
      <c r="F54" s="30"/>
      <c r="G54" s="147"/>
      <c r="H54" s="57"/>
      <c r="I54" s="247" t="s">
        <v>164</v>
      </c>
      <c r="J54" s="15"/>
      <c r="K54" s="10"/>
      <c r="L54" s="542"/>
    </row>
    <row r="55" spans="1:12" ht="12.75" customHeight="1" x14ac:dyDescent="0.2">
      <c r="A55" s="15"/>
      <c r="B55" s="248" t="s">
        <v>165</v>
      </c>
      <c r="C55" s="248"/>
      <c r="D55" s="248"/>
      <c r="E55" s="248"/>
      <c r="F55" s="248"/>
      <c r="G55" s="249">
        <f>IF([1]WD.ILeist!D20="","",[1]WD.ILeist!D20)</f>
        <v>3.5</v>
      </c>
      <c r="H55" s="2" t="s">
        <v>166</v>
      </c>
      <c r="I55" s="1294" t="str">
        <f>IF(G56&gt;=[1]WD.ILeist!D14,"Achtung: Zu hohe
N-Gaben für das ÖPUL (ab 15.12.2005)","-")</f>
        <v>-</v>
      </c>
      <c r="J55" s="15"/>
      <c r="K55" s="10"/>
      <c r="L55" s="542"/>
    </row>
    <row r="56" spans="1:12" ht="12.75" customHeight="1" thickBot="1" x14ac:dyDescent="0.25">
      <c r="A56" s="15"/>
      <c r="B56" s="248" t="s">
        <v>167</v>
      </c>
      <c r="C56" s="248"/>
      <c r="D56" s="248"/>
      <c r="E56" s="248"/>
      <c r="F56" s="248"/>
      <c r="G56" s="545">
        <f>SUM(E24,E49)</f>
        <v>94.5</v>
      </c>
      <c r="H56" s="2" t="s">
        <v>168</v>
      </c>
      <c r="I56" s="1295"/>
      <c r="J56" s="15"/>
      <c r="K56" s="10"/>
      <c r="L56" s="542"/>
    </row>
    <row r="57" spans="1:12" ht="12.75" customHeight="1" thickBot="1" x14ac:dyDescent="0.25">
      <c r="A57" s="15"/>
      <c r="B57" s="248" t="str">
        <f>"Bedarf an: "&amp;C5</f>
        <v>Bedarf an: Festmist</v>
      </c>
      <c r="C57" s="248"/>
      <c r="D57" s="248"/>
      <c r="E57" s="248"/>
      <c r="F57" s="248"/>
      <c r="G57" s="632">
        <f>G55*B24</f>
        <v>661.5</v>
      </c>
      <c r="H57" s="2" t="str">
        <f>IF(C5="Festmist"," dt/Jahr"," m³/Jahr")</f>
        <v xml:space="preserve"> dt/Jahr</v>
      </c>
      <c r="I57" s="1295"/>
      <c r="J57" s="15"/>
      <c r="K57" s="10"/>
      <c r="L57" s="11"/>
    </row>
    <row r="58" spans="1:12" ht="12.75" customHeight="1" thickBot="1" x14ac:dyDescent="0.25">
      <c r="A58" s="15"/>
      <c r="B58" s="248" t="str">
        <f>"                   "&amp;C30</f>
        <v xml:space="preserve">                   Jauche</v>
      </c>
      <c r="C58" s="248"/>
      <c r="D58" s="248"/>
      <c r="E58" s="248"/>
      <c r="F58" s="248"/>
      <c r="G58" s="1102">
        <f>G55*B49</f>
        <v>63</v>
      </c>
      <c r="H58" s="2" t="str">
        <f>IF(C30="Festmist"," dt/Jahr"," m³/Jahr")</f>
        <v xml:space="preserve"> m³/Jahr</v>
      </c>
      <c r="I58" s="1295"/>
      <c r="J58" s="15"/>
      <c r="K58" s="10"/>
      <c r="L58" s="11"/>
    </row>
    <row r="59" spans="1:12" ht="12.75" customHeight="1" thickBot="1" x14ac:dyDescent="0.25">
      <c r="A59" s="15"/>
      <c r="B59" s="248" t="str">
        <f>"Arbeitszeitbedarf - gesamt ("&amp;C5&amp;" und "&amp;C30&amp;")"</f>
        <v>Arbeitszeitbedarf - gesamt (Festmist und Jauche)</v>
      </c>
      <c r="C59" s="248"/>
      <c r="D59" s="248"/>
      <c r="E59" s="248"/>
      <c r="F59" s="248"/>
      <c r="G59" s="633">
        <f>SUM(G27,G52)</f>
        <v>21.622</v>
      </c>
      <c r="H59" s="2" t="s">
        <v>342</v>
      </c>
      <c r="I59" s="1296"/>
      <c r="J59" s="15"/>
      <c r="K59" s="10"/>
      <c r="L59" s="11"/>
    </row>
    <row r="60" spans="1:12" ht="12.75" customHeight="1" x14ac:dyDescent="0.2">
      <c r="A60" s="15"/>
      <c r="B60" s="15"/>
      <c r="C60" s="15"/>
      <c r="D60" s="15"/>
      <c r="E60" s="15"/>
      <c r="F60" s="15"/>
      <c r="G60" s="15"/>
      <c r="H60" s="15"/>
      <c r="I60" s="15"/>
      <c r="J60" s="15"/>
      <c r="K60" s="10"/>
      <c r="L60" s="11"/>
    </row>
    <row r="61" spans="1:12" hidden="1" x14ac:dyDescent="0.2">
      <c r="K61" s="4"/>
      <c r="L61" s="53"/>
    </row>
    <row r="62" spans="1:12" hidden="1" x14ac:dyDescent="0.2">
      <c r="K62" s="4"/>
      <c r="L62" s="53"/>
    </row>
    <row r="63" spans="1:12" hidden="1" x14ac:dyDescent="0.2">
      <c r="K63" s="4"/>
    </row>
    <row r="64" spans="1:12" hidden="1" x14ac:dyDescent="0.2">
      <c r="K64" s="4"/>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sheetData>
  <sheetProtection sheet="1" objects="1" scenarios="1"/>
  <mergeCells count="13">
    <mergeCell ref="L1:L3"/>
    <mergeCell ref="G48:H48"/>
    <mergeCell ref="C30:C31"/>
    <mergeCell ref="E32:F32"/>
    <mergeCell ref="I55:I59"/>
    <mergeCell ref="E24:F24"/>
    <mergeCell ref="G24:H24"/>
    <mergeCell ref="A1:A2"/>
    <mergeCell ref="C5:C6"/>
    <mergeCell ref="E7:F7"/>
    <mergeCell ref="E49:F49"/>
    <mergeCell ref="G49:H49"/>
    <mergeCell ref="G23:H23"/>
  </mergeCells>
  <phoneticPr fontId="4" type="noConversion"/>
  <conditionalFormatting sqref="H5 H30">
    <cfRule type="expression" dxfId="56" priority="1" stopIfTrue="1">
      <formula>F5=""</formula>
    </cfRule>
    <cfRule type="expression" dxfId="55" priority="2" stopIfTrue="1">
      <formula>G5&lt;&gt;" kg"</formula>
    </cfRule>
  </conditionalFormatting>
  <conditionalFormatting sqref="E35:I36 E13:I14">
    <cfRule type="expression" dxfId="54" priority="3" stopIfTrue="1">
      <formula>OR($C13="",$D13="")</formula>
    </cfRule>
  </conditionalFormatting>
  <conditionalFormatting sqref="H6 H31 H44:H45 H19:H20">
    <cfRule type="cellIs" dxfId="53" priority="4" stopIfTrue="1" operator="equal">
      <formula>""</formula>
    </cfRule>
  </conditionalFormatting>
  <conditionalFormatting sqref="C5 C30">
    <cfRule type="cellIs" dxfId="52" priority="5" stopIfTrue="1" operator="equal">
      <formula>""</formula>
    </cfRule>
  </conditionalFormatting>
  <conditionalFormatting sqref="G24:H24 G49:H49">
    <cfRule type="cellIs" dxfId="51" priority="6" stopIfTrue="1" operator="equal">
      <formula>"noch leer"</formula>
    </cfRule>
  </conditionalFormatting>
  <conditionalFormatting sqref="I55:I59">
    <cfRule type="cellIs" dxfId="50" priority="7" stopIfTrue="1" operator="equal">
      <formula>"-"</formula>
    </cfRule>
  </conditionalFormatting>
  <conditionalFormatting sqref="G5 G30">
    <cfRule type="cellIs" dxfId="49" priority="8" stopIfTrue="1" operator="notEqual">
      <formula>" t"</formula>
    </cfRule>
  </conditionalFormatting>
  <conditionalFormatting sqref="F5 F30">
    <cfRule type="cellIs" dxfId="48" priority="9" stopIfTrue="1" operator="equal">
      <formula>""</formula>
    </cfRule>
    <cfRule type="expression" dxfId="47" priority="10" stopIfTrue="1">
      <formula>G5&lt;&gt;" t"</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9">
    <tabColor indexed="10"/>
  </sheetPr>
  <dimension ref="A1:K91"/>
  <sheetViews>
    <sheetView showGridLines="0" zoomScaleNormal="100" workbookViewId="0">
      <pane ySplit="10" topLeftCell="A11" activePane="bottomLeft" state="frozen"/>
      <selection activeCell="J26" sqref="J26"/>
      <selection pane="bottomLeft" activeCell="J26" sqref="J26"/>
    </sheetView>
  </sheetViews>
  <sheetFormatPr baseColWidth="10" defaultColWidth="0" defaultRowHeight="15" zeroHeight="1" x14ac:dyDescent="0.2"/>
  <cols>
    <col min="1" max="1" width="2.28515625" style="8" customWidth="1"/>
    <col min="2" max="4" width="11.28515625" style="8" customWidth="1"/>
    <col min="5" max="6" width="10" style="8" customWidth="1"/>
    <col min="7" max="8" width="11.7109375" style="8" customWidth="1"/>
    <col min="9" max="9" width="2.28515625" style="8" customWidth="1"/>
    <col min="10" max="10" width="0.85546875" style="7" customWidth="1"/>
    <col min="11" max="11" width="20.7109375" style="7" customWidth="1"/>
    <col min="12" max="16384" width="14.85546875" style="8" hidden="1"/>
  </cols>
  <sheetData>
    <row r="1" spans="1:11" ht="24.95" customHeight="1" x14ac:dyDescent="0.2">
      <c r="A1" s="300"/>
      <c r="B1" s="300" t="str">
        <f>"Vollkstenrechnung "&amp;C3</f>
        <v>Vollkstenrechnung Himbeer-Jogurt</v>
      </c>
      <c r="C1" s="300"/>
      <c r="D1" s="300"/>
      <c r="E1" s="300"/>
      <c r="F1" s="300"/>
      <c r="G1" s="300"/>
      <c r="H1" s="300"/>
      <c r="I1" s="300"/>
      <c r="J1" s="261"/>
      <c r="K1" s="1304" t="s">
        <v>11</v>
      </c>
    </row>
    <row r="2" spans="1:11" ht="24.95" customHeight="1" x14ac:dyDescent="0.2">
      <c r="A2" s="301"/>
      <c r="B2" s="301"/>
      <c r="C2" s="301"/>
      <c r="D2" s="301"/>
      <c r="E2" s="301"/>
      <c r="F2" s="301"/>
      <c r="G2" s="301"/>
      <c r="H2" s="301"/>
      <c r="I2" s="301"/>
      <c r="J2" s="264"/>
      <c r="K2" s="1304"/>
    </row>
    <row r="3" spans="1:11" ht="15" customHeight="1" x14ac:dyDescent="0.2">
      <c r="A3" s="302"/>
      <c r="B3" s="303" t="s">
        <v>226</v>
      </c>
      <c r="C3" s="304" t="str">
        <f>IF([1]Jog!C12="","",[1]Jog!C12)</f>
        <v>Himbeer-Jogurt</v>
      </c>
      <c r="D3" s="305"/>
      <c r="E3" s="306"/>
      <c r="F3" s="307"/>
      <c r="G3" s="302"/>
      <c r="H3" s="302"/>
      <c r="I3" s="302"/>
      <c r="J3" s="267"/>
      <c r="K3" s="1304"/>
    </row>
    <row r="4" spans="1:11" ht="9.9499999999999993" customHeight="1" x14ac:dyDescent="0.2">
      <c r="A4" s="302"/>
      <c r="B4" s="302"/>
      <c r="C4" s="302"/>
      <c r="D4" s="302"/>
      <c r="E4" s="302"/>
      <c r="F4" s="302"/>
      <c r="G4" s="302"/>
      <c r="H4" s="308"/>
      <c r="I4" s="302"/>
      <c r="J4" s="267"/>
      <c r="K4" s="1304"/>
    </row>
    <row r="5" spans="1:11" ht="15" customHeight="1" x14ac:dyDescent="0.2">
      <c r="A5" s="302"/>
      <c r="B5" s="303" t="s">
        <v>227</v>
      </c>
      <c r="C5" s="309"/>
      <c r="D5" s="309"/>
      <c r="E5" s="309"/>
      <c r="F5" s="1305" t="str">
        <f>IF([1]Jog!N17="","",[1]Jog!N17)</f>
        <v/>
      </c>
      <c r="G5" s="1305"/>
      <c r="H5" s="311" t="str">
        <f>IF([1]Jog!N15="","",[1]Jog!N15)</f>
        <v/>
      </c>
      <c r="I5" s="302"/>
      <c r="J5" s="267"/>
      <c r="K5" s="268"/>
    </row>
    <row r="6" spans="1:11" ht="15" customHeight="1" x14ac:dyDescent="0.2">
      <c r="A6" s="302"/>
      <c r="B6" s="312" t="str">
        <f>IF([1]Jog!B15="","",[1]Jog!B15)</f>
        <v>Glasgröße</v>
      </c>
      <c r="C6" s="312"/>
      <c r="D6" s="313"/>
      <c r="E6" s="314"/>
      <c r="F6" s="314"/>
      <c r="G6" s="314"/>
      <c r="H6" s="315">
        <f>IF([1]Jog!M15="","",[1]Jog!M15)</f>
        <v>0.26</v>
      </c>
      <c r="I6" s="302"/>
      <c r="J6" s="267"/>
      <c r="K6" s="268"/>
    </row>
    <row r="7" spans="1:11" ht="15" customHeight="1" thickBot="1" x14ac:dyDescent="0.25">
      <c r="A7" s="302"/>
      <c r="B7" s="312" t="str">
        <f>IF([1]Jog!B17="","",[1]Jog!B17)</f>
        <v>Verkaufsmenge</v>
      </c>
      <c r="C7" s="312" t="s">
        <v>228</v>
      </c>
      <c r="D7" s="312"/>
      <c r="E7" s="312"/>
      <c r="F7" s="1307">
        <f>IF([1]Jog!M17="","",[1]Jog!M17)</f>
        <v>189</v>
      </c>
      <c r="G7" s="1308"/>
      <c r="H7" s="302"/>
      <c r="I7" s="302"/>
      <c r="J7" s="267"/>
      <c r="K7" s="268"/>
    </row>
    <row r="8" spans="1:11" ht="15" customHeight="1" thickBot="1" x14ac:dyDescent="0.25">
      <c r="A8" s="302"/>
      <c r="B8" s="312"/>
      <c r="C8" s="312" t="s">
        <v>229</v>
      </c>
      <c r="D8" s="312"/>
      <c r="E8" s="312"/>
      <c r="F8" s="1309">
        <f>F7/H6</f>
        <v>726.92307692307691</v>
      </c>
      <c r="G8" s="1310"/>
      <c r="H8" s="302"/>
      <c r="I8" s="302"/>
      <c r="J8" s="267"/>
      <c r="K8" s="268"/>
    </row>
    <row r="9" spans="1:11" ht="15" customHeight="1" thickBot="1" x14ac:dyDescent="0.25">
      <c r="A9" s="302"/>
      <c r="B9" s="312" t="str">
        <f>IF([1]Jog!B19="","",[1]Jog!B19)</f>
        <v>Verkaufserlös</v>
      </c>
      <c r="C9" s="312"/>
      <c r="D9" s="312"/>
      <c r="E9" s="312"/>
      <c r="F9" s="1311">
        <f>F8*H9</f>
        <v>516.11538461538453</v>
      </c>
      <c r="G9" s="1312"/>
      <c r="H9" s="316">
        <f>IF([1]Jog!M19="","",[1]Jog!M19)</f>
        <v>0.71</v>
      </c>
      <c r="I9" s="302"/>
      <c r="J9" s="267"/>
      <c r="K9" s="268"/>
    </row>
    <row r="10" spans="1:11" ht="30" customHeight="1" thickBot="1" x14ac:dyDescent="0.25">
      <c r="A10" s="302"/>
      <c r="B10" s="317" t="str">
        <f>IF(F10="","Berechnung fehlt!",IF(F10&gt;0,"Gewinn","Verlust!"))</f>
        <v>Verlust!</v>
      </c>
      <c r="C10" s="1299" t="str">
        <f>IF(OR(F10="",G45=""),"Gewinn/Verlust?",IF(H9&lt;H45,"ACHTUNG: Der Preis deckt die Kosten nicht ab!!!",IF(H10&lt;H46,"ACHTUNG: Der tatsächliche Gewinn liegt unter dem Gewinnzuschlag!!!","")))</f>
        <v>ACHTUNG: Der Preis deckt die Kosten nicht ab!!!</v>
      </c>
      <c r="D10" s="1299"/>
      <c r="E10" s="1300"/>
      <c r="F10" s="1297">
        <f>F9-G45</f>
        <v>-2.1255636923077645</v>
      </c>
      <c r="G10" s="1298"/>
      <c r="H10" s="600">
        <f>IF(OR(H9="",H45="",F9="",G45=""),"noch leer",H9-H45)</f>
        <v>-2.9240558730159183E-3</v>
      </c>
      <c r="I10" s="307"/>
      <c r="J10" s="264"/>
      <c r="K10" s="277"/>
    </row>
    <row r="11" spans="1:11" ht="9.9499999999999993" customHeight="1" x14ac:dyDescent="0.2">
      <c r="A11" s="302"/>
      <c r="B11" s="302"/>
      <c r="C11" s="302"/>
      <c r="D11" s="302"/>
      <c r="E11" s="302"/>
      <c r="F11" s="302"/>
      <c r="G11" s="302"/>
      <c r="H11" s="302"/>
      <c r="I11" s="302"/>
      <c r="J11" s="267"/>
      <c r="K11" s="268"/>
    </row>
    <row r="12" spans="1:11" ht="15" customHeight="1" x14ac:dyDescent="0.2">
      <c r="A12" s="302"/>
      <c r="B12" s="303" t="s">
        <v>230</v>
      </c>
      <c r="C12" s="318"/>
      <c r="D12" s="318"/>
      <c r="E12" s="318"/>
      <c r="F12" s="318"/>
      <c r="G12" s="318"/>
      <c r="H12" s="318"/>
      <c r="I12" s="307"/>
      <c r="J12" s="267"/>
      <c r="K12" s="268"/>
    </row>
    <row r="13" spans="1:11" ht="15" customHeight="1" x14ac:dyDescent="0.2">
      <c r="A13" s="302"/>
      <c r="B13" s="303" t="s">
        <v>231</v>
      </c>
      <c r="C13" s="303"/>
      <c r="D13" s="310"/>
      <c r="E13" s="319"/>
      <c r="F13" s="319"/>
      <c r="G13" s="319"/>
      <c r="H13" s="319"/>
      <c r="I13" s="307"/>
      <c r="J13" s="284"/>
      <c r="K13" s="268"/>
    </row>
    <row r="14" spans="1:11" ht="15" customHeight="1" x14ac:dyDescent="0.2">
      <c r="A14" s="302"/>
      <c r="B14" s="303" t="s">
        <v>7</v>
      </c>
      <c r="C14" s="303"/>
      <c r="D14" s="1301" t="s">
        <v>92</v>
      </c>
      <c r="E14" s="1303" t="s">
        <v>232</v>
      </c>
      <c r="F14" s="1303"/>
      <c r="G14" s="1303" t="str">
        <f>"Gesamtkosten
"&amp;F5</f>
        <v xml:space="preserve">Gesamtkosten
</v>
      </c>
      <c r="H14" s="1303" t="s">
        <v>233</v>
      </c>
      <c r="I14" s="307"/>
      <c r="J14" s="284"/>
      <c r="K14" s="268"/>
    </row>
    <row r="15" spans="1:11" ht="15" customHeight="1" thickBot="1" x14ac:dyDescent="0.25">
      <c r="A15" s="302"/>
      <c r="B15" s="318" t="s">
        <v>234</v>
      </c>
      <c r="C15" s="318"/>
      <c r="D15" s="1302"/>
      <c r="E15" s="1306"/>
      <c r="F15" s="1306"/>
      <c r="G15" s="1303"/>
      <c r="H15" s="1303"/>
      <c r="I15" s="307"/>
      <c r="J15" s="284"/>
      <c r="K15" s="268"/>
    </row>
    <row r="16" spans="1:11" ht="15" customHeight="1" thickBot="1" x14ac:dyDescent="0.25">
      <c r="A16" s="302"/>
      <c r="B16" s="312" t="str">
        <f>IF([1]Jog!B22="","",[1]Jog!B22)</f>
        <v>Rohmilch</v>
      </c>
      <c r="C16" s="312"/>
      <c r="D16" s="321">
        <f>F7</f>
        <v>189</v>
      </c>
      <c r="E16" s="322">
        <f>IF([1]Jog!M22="","",[1]Jog!M22)</f>
        <v>0.34</v>
      </c>
      <c r="F16" s="323" t="str">
        <f>IF([1]Jog!N22="","",[1]Jog!N22)</f>
        <v>pro lt</v>
      </c>
      <c r="G16" s="324">
        <f>D16*E16</f>
        <v>64.260000000000005</v>
      </c>
      <c r="H16" s="325"/>
      <c r="I16" s="307"/>
      <c r="J16" s="267"/>
      <c r="K16" s="268"/>
    </row>
    <row r="17" spans="1:11" ht="15" customHeight="1" thickBot="1" x14ac:dyDescent="0.25">
      <c r="A17" s="302"/>
      <c r="B17" s="326" t="s">
        <v>235</v>
      </c>
      <c r="C17" s="326"/>
      <c r="D17" s="327"/>
      <c r="E17" s="328"/>
      <c r="F17" s="328"/>
      <c r="G17" s="602">
        <f>SUM(G16)</f>
        <v>64.260000000000005</v>
      </c>
      <c r="H17" s="329">
        <f>G17/$F$8</f>
        <v>8.8400000000000006E-2</v>
      </c>
      <c r="I17" s="307"/>
      <c r="J17" s="264"/>
      <c r="K17" s="277"/>
    </row>
    <row r="18" spans="1:11" ht="3" customHeight="1" x14ac:dyDescent="0.2">
      <c r="A18" s="302"/>
      <c r="B18" s="330"/>
      <c r="C18" s="330"/>
      <c r="D18" s="331"/>
      <c r="E18" s="332"/>
      <c r="F18" s="332"/>
      <c r="G18" s="332"/>
      <c r="H18" s="332"/>
      <c r="I18" s="307"/>
      <c r="J18" s="267"/>
      <c r="K18" s="268"/>
    </row>
    <row r="19" spans="1:11" ht="15" customHeight="1" thickBot="1" x14ac:dyDescent="0.25">
      <c r="A19" s="302"/>
      <c r="B19" s="318" t="s">
        <v>236</v>
      </c>
      <c r="C19" s="318"/>
      <c r="D19" s="320" t="s">
        <v>92</v>
      </c>
      <c r="E19" s="333" t="s">
        <v>237</v>
      </c>
      <c r="F19" s="334" t="s">
        <v>238</v>
      </c>
      <c r="G19" s="320" t="s">
        <v>239</v>
      </c>
      <c r="H19" s="320" t="s">
        <v>240</v>
      </c>
      <c r="I19" s="307"/>
      <c r="J19" s="267"/>
      <c r="K19" s="268"/>
    </row>
    <row r="20" spans="1:11" ht="15" customHeight="1" thickBot="1" x14ac:dyDescent="0.25">
      <c r="A20" s="302"/>
      <c r="B20" s="312" t="str">
        <f>IF([1]Jog!B25="","",[1]Jog!B25)</f>
        <v>Glas</v>
      </c>
      <c r="C20" s="312"/>
      <c r="D20" s="335">
        <f>F8</f>
        <v>726.92307692307691</v>
      </c>
      <c r="E20" s="322">
        <f>IF([1]Jog!O25="","",[1]Jog!O25)</f>
        <v>0.21</v>
      </c>
      <c r="F20" s="323" t="str">
        <f>IF([1]Jog!J25="","",[1]Jog!J25)</f>
        <v>/ Stk.</v>
      </c>
      <c r="G20" s="324">
        <f>D20*E20</f>
        <v>152.65384615384613</v>
      </c>
      <c r="H20" s="325"/>
      <c r="I20" s="307"/>
      <c r="J20" s="267"/>
      <c r="K20" s="268"/>
    </row>
    <row r="21" spans="1:11" ht="15" customHeight="1" thickBot="1" x14ac:dyDescent="0.25">
      <c r="A21" s="302"/>
      <c r="B21" s="312" t="str">
        <f>IF([1]Jog!B27="","",[1]Jog!B27)</f>
        <v>Deckel und Etikett</v>
      </c>
      <c r="C21" s="312"/>
      <c r="D21" s="335">
        <f>F8</f>
        <v>726.92307692307691</v>
      </c>
      <c r="E21" s="322">
        <f>IF([1]Jog!O27="","",[1]Jog!O27)</f>
        <v>0.11</v>
      </c>
      <c r="F21" s="323" t="str">
        <f>IF([1]Jog!J27="","",[1]Jog!J27)</f>
        <v>/ Stk.</v>
      </c>
      <c r="G21" s="589">
        <f>IF(OR(D21="",E21=""),"",D21*E21)</f>
        <v>79.961538461538467</v>
      </c>
      <c r="H21" s="325"/>
      <c r="I21" s="307"/>
      <c r="J21" s="267"/>
      <c r="K21" s="268"/>
    </row>
    <row r="22" spans="1:11" ht="15" customHeight="1" thickBot="1" x14ac:dyDescent="0.25">
      <c r="A22" s="302"/>
      <c r="B22" s="312" t="str">
        <f>IF([1]Jog!B29="","",[1]Jog!B29)</f>
        <v>Jogurtkultur</v>
      </c>
      <c r="C22" s="312"/>
      <c r="D22" s="336">
        <f>IF([1]Jog!N29="","",[1]Jog!N29)</f>
        <v>4</v>
      </c>
      <c r="E22" s="322">
        <f>IF([1]Jog!O29="","",[1]Jog!O29)</f>
        <v>0.44</v>
      </c>
      <c r="F22" s="323" t="str">
        <f>IF([1]Jog!J29="","",[1]Jog!J29)</f>
        <v>/ Kaffeelöffel</v>
      </c>
      <c r="G22" s="324">
        <f t="shared" ref="G22:G24" si="0">D22*E22</f>
        <v>1.76</v>
      </c>
      <c r="H22" s="325"/>
      <c r="I22" s="307"/>
      <c r="J22" s="264"/>
      <c r="K22" s="277"/>
    </row>
    <row r="23" spans="1:11" ht="15" customHeight="1" thickBot="1" x14ac:dyDescent="0.25">
      <c r="A23" s="302"/>
      <c r="B23" s="312" t="str">
        <f>IF([1]Jog!B31="","",[1]Jog!B31)</f>
        <v>Geschmackszutaten: Himbee</v>
      </c>
      <c r="C23" s="312"/>
      <c r="D23" s="337">
        <f>IF([1]Jog!N31="","",[1]Jog!N31)</f>
        <v>1.6</v>
      </c>
      <c r="E23" s="322">
        <f>IF([1]Jog!O31="","",[1]Jog!O31)</f>
        <v>17.850000000000001</v>
      </c>
      <c r="F23" s="323" t="str">
        <f>IF([1]Jog!J31="","",[1]Jog!J31)</f>
        <v>/ kg</v>
      </c>
      <c r="G23" s="1101">
        <f t="shared" si="0"/>
        <v>28.560000000000002</v>
      </c>
      <c r="H23" s="325"/>
      <c r="I23" s="307"/>
      <c r="J23" s="267"/>
      <c r="K23" s="268"/>
    </row>
    <row r="24" spans="1:11" ht="15" customHeight="1" thickBot="1" x14ac:dyDescent="0.25">
      <c r="A24" s="302"/>
      <c r="B24" s="312" t="str">
        <f>IF([1]Jog!B33="","",[1]Jog!B33)</f>
        <v>Zucker</v>
      </c>
      <c r="C24" s="312"/>
      <c r="D24" s="337">
        <f>IF([1]Jog!N33="","",[1]Jog!N33)</f>
        <v>0.5</v>
      </c>
      <c r="E24" s="322">
        <f>IF([1]Jog!O33="","",[1]Jog!O33)</f>
        <v>0.95</v>
      </c>
      <c r="F24" s="323" t="str">
        <f>IF([1]Jog!J33="","",[1]Jog!J33)</f>
        <v>/ kg</v>
      </c>
      <c r="G24" s="324">
        <f t="shared" si="0"/>
        <v>0.47499999999999998</v>
      </c>
      <c r="H24" s="325"/>
      <c r="I24" s="307"/>
      <c r="J24" s="267"/>
      <c r="K24" s="268"/>
    </row>
    <row r="25" spans="1:11" ht="15" customHeight="1" x14ac:dyDescent="0.2">
      <c r="A25" s="302"/>
      <c r="B25" s="312" t="str">
        <f>IF([1]Jog!B35="","",[1]Jog!B35)</f>
        <v>Strom</v>
      </c>
      <c r="C25" s="312"/>
      <c r="D25" s="338">
        <f>IF([1]Jog!N35="","",[1]Jog!N35)</f>
        <v>25</v>
      </c>
      <c r="E25" s="322">
        <f>IF([1]Jog!O35="","",[1]Jog!O35)</f>
        <v>0.15</v>
      </c>
      <c r="F25" s="323" t="str">
        <f>IF([1]Jog!J35="","",[1]Jog!J35)</f>
        <v>/ KWh</v>
      </c>
      <c r="G25" s="590">
        <f>IF(OR(D25="",E25=""),"",D25*E25)</f>
        <v>3.75</v>
      </c>
      <c r="H25" s="325"/>
      <c r="I25" s="307"/>
      <c r="J25" s="267"/>
      <c r="K25" s="268"/>
    </row>
    <row r="26" spans="1:11" ht="15" customHeight="1" x14ac:dyDescent="0.2">
      <c r="A26" s="302"/>
      <c r="B26" s="312" t="str">
        <f>IF([1]Jog!B37="","",[1]Jog!B37)</f>
        <v>Wasser (inkl. Abwasser)</v>
      </c>
      <c r="C26" s="312"/>
      <c r="D26" s="339">
        <f>IF([1]Jog!N37="","",[1]Jog!N37)</f>
        <v>3.2</v>
      </c>
      <c r="E26" s="322">
        <f>IF([1]Jog!O37="","",[1]Jog!O37)</f>
        <v>1.79</v>
      </c>
      <c r="F26" s="323" t="str">
        <f>IF([1]Jog!J37="","",[1]Jog!J37)</f>
        <v>/ m³</v>
      </c>
      <c r="G26" s="591">
        <f>IF(OR(D26="",E26=""),"",D26*E26)</f>
        <v>5.7280000000000006</v>
      </c>
      <c r="H26" s="325"/>
      <c r="I26" s="307"/>
      <c r="J26" s="267"/>
      <c r="K26" s="297"/>
    </row>
    <row r="27" spans="1:11" ht="15" customHeight="1" x14ac:dyDescent="0.2">
      <c r="A27" s="302"/>
      <c r="B27" s="312" t="str">
        <f>IF([1]Jog!B39="","",[1]Jog!B39)</f>
        <v/>
      </c>
      <c r="C27" s="312"/>
      <c r="D27" s="337" t="str">
        <f>IF([1]Jog!N39="","",[1]Jog!N39)</f>
        <v/>
      </c>
      <c r="E27" s="322" t="str">
        <f>IF([1]Jog!O39="","",[1]Jog!O39)</f>
        <v/>
      </c>
      <c r="F27" s="340" t="str">
        <f>IF([1]Jog!J39="","",[1]Jog!J39)</f>
        <v/>
      </c>
      <c r="G27" s="591"/>
      <c r="H27" s="325"/>
      <c r="I27" s="307"/>
      <c r="J27" s="299"/>
      <c r="K27" s="297"/>
    </row>
    <row r="28" spans="1:11" ht="15" customHeight="1" thickBot="1" x14ac:dyDescent="0.25">
      <c r="A28" s="302"/>
      <c r="B28" s="312" t="str">
        <f>IF([1]Jog!B41="","",[1]Jog!B41)</f>
        <v/>
      </c>
      <c r="C28" s="312"/>
      <c r="D28" s="335" t="str">
        <f>IF([1]Jog!N41="","",[1]Jog!N41)</f>
        <v/>
      </c>
      <c r="E28" s="322" t="str">
        <f>IF([1]Jog!O41="","",[1]Jog!O41)</f>
        <v/>
      </c>
      <c r="F28" s="340" t="str">
        <f>IF([1]Jog!J41="","",[1]Jog!J41)</f>
        <v/>
      </c>
      <c r="G28" s="592"/>
      <c r="H28" s="325"/>
      <c r="I28" s="307"/>
      <c r="J28" s="299"/>
      <c r="K28" s="593"/>
    </row>
    <row r="29" spans="1:11" ht="15" customHeight="1" thickBot="1" x14ac:dyDescent="0.25">
      <c r="A29" s="302"/>
      <c r="B29" s="326" t="s">
        <v>241</v>
      </c>
      <c r="C29" s="326"/>
      <c r="D29" s="327"/>
      <c r="E29" s="328"/>
      <c r="F29" s="328"/>
      <c r="G29" s="329">
        <f>SUM(G20:G28)</f>
        <v>272.88838461538461</v>
      </c>
      <c r="H29" s="329">
        <f>G29/$F$8</f>
        <v>0.37540201058201056</v>
      </c>
      <c r="I29" s="307"/>
      <c r="J29" s="299"/>
      <c r="K29" s="593"/>
    </row>
    <row r="30" spans="1:11" ht="3" customHeight="1" x14ac:dyDescent="0.2">
      <c r="A30" s="302"/>
      <c r="B30" s="330"/>
      <c r="C30" s="330"/>
      <c r="D30" s="331"/>
      <c r="E30" s="332"/>
      <c r="F30" s="332"/>
      <c r="G30" s="332"/>
      <c r="H30" s="332"/>
      <c r="I30" s="307"/>
      <c r="J30" s="299"/>
      <c r="K30" s="593"/>
    </row>
    <row r="31" spans="1:11" ht="15" customHeight="1" x14ac:dyDescent="0.2">
      <c r="A31" s="302"/>
      <c r="B31" s="318" t="s">
        <v>242</v>
      </c>
      <c r="C31" s="318"/>
      <c r="D31" s="320"/>
      <c r="E31" s="333" t="s">
        <v>243</v>
      </c>
      <c r="F31" s="334" t="s">
        <v>238</v>
      </c>
      <c r="G31" s="320" t="s">
        <v>239</v>
      </c>
      <c r="H31" s="320" t="s">
        <v>240</v>
      </c>
      <c r="I31" s="302"/>
      <c r="J31" s="299"/>
      <c r="K31" s="593"/>
    </row>
    <row r="32" spans="1:11" ht="15" customHeight="1" thickBot="1" x14ac:dyDescent="0.25">
      <c r="A32" s="302"/>
      <c r="B32" s="312" t="str">
        <f>IF([1]Jog!B44="","",[1]Jog!B44)</f>
        <v>Arbeitszeitbedarf für Herstellung und Abfüllung</v>
      </c>
      <c r="C32" s="312"/>
      <c r="D32" s="341"/>
      <c r="E32" s="342">
        <f>IF([1]Jog!N44="","",[1]Jog!N44)</f>
        <v>19</v>
      </c>
      <c r="F32" s="636">
        <f>IF([1]Jog!O44="","",[1]Jog!O44)</f>
        <v>189</v>
      </c>
      <c r="G32" s="343"/>
      <c r="H32" s="343"/>
      <c r="I32" s="302"/>
      <c r="J32" s="299"/>
      <c r="K32" s="593"/>
    </row>
    <row r="33" spans="1:11" ht="15" customHeight="1" thickBot="1" x14ac:dyDescent="0.25">
      <c r="A33" s="302"/>
      <c r="B33" s="312" t="str">
        <f>IF([1]Jog!B46="","",[1]Jog!B46)</f>
        <v>Lohnansatz</v>
      </c>
      <c r="C33" s="312"/>
      <c r="D33" s="344"/>
      <c r="E33" s="345">
        <f>IF([1]Jog!N46="","",[1]Jog!N46)</f>
        <v>7.4</v>
      </c>
      <c r="F33" s="346" t="str">
        <f>IF([1]Jog!O46="","",[1]Jog!O46)</f>
        <v>je Akh</v>
      </c>
      <c r="G33" s="347">
        <f>E32*E33</f>
        <v>140.6</v>
      </c>
      <c r="H33" s="325"/>
      <c r="I33" s="302"/>
      <c r="J33" s="299"/>
      <c r="K33" s="593"/>
    </row>
    <row r="34" spans="1:11" ht="15" customHeight="1" x14ac:dyDescent="0.2">
      <c r="A34" s="302"/>
      <c r="B34" s="326" t="s">
        <v>244</v>
      </c>
      <c r="C34" s="326"/>
      <c r="D34" s="327"/>
      <c r="E34" s="328"/>
      <c r="F34" s="328"/>
      <c r="G34" s="594">
        <f>SUM(G33)</f>
        <v>140.6</v>
      </c>
      <c r="H34" s="595">
        <f>IF(OR(G34="",$F$8=""),"",G34/$F$8)</f>
        <v>0.19341798941798941</v>
      </c>
      <c r="I34" s="302"/>
      <c r="J34" s="299"/>
      <c r="K34" s="593"/>
    </row>
    <row r="35" spans="1:11" ht="3" customHeight="1" x14ac:dyDescent="0.2">
      <c r="A35" s="302"/>
      <c r="B35" s="330"/>
      <c r="C35" s="330"/>
      <c r="D35" s="331"/>
      <c r="E35" s="332"/>
      <c r="F35" s="332"/>
      <c r="G35" s="332"/>
      <c r="H35" s="332"/>
      <c r="I35" s="307"/>
      <c r="J35" s="299"/>
      <c r="K35" s="593"/>
    </row>
    <row r="36" spans="1:11" ht="15" customHeight="1" thickBot="1" x14ac:dyDescent="0.25">
      <c r="A36" s="302"/>
      <c r="B36" s="318" t="s">
        <v>8</v>
      </c>
      <c r="C36" s="318"/>
      <c r="D36" s="320"/>
      <c r="E36" s="333" t="s">
        <v>237</v>
      </c>
      <c r="F36" s="334" t="s">
        <v>238</v>
      </c>
      <c r="G36" s="320" t="s">
        <v>239</v>
      </c>
      <c r="H36" s="320" t="s">
        <v>240</v>
      </c>
      <c r="I36" s="302"/>
      <c r="J36" s="299"/>
      <c r="K36" s="593"/>
    </row>
    <row r="37" spans="1:11" ht="15" customHeight="1" thickBot="1" x14ac:dyDescent="0.25">
      <c r="A37" s="307"/>
      <c r="B37" s="348" t="str">
        <f>IF([1]Jog!B49="","",[1]Jog!B49)</f>
        <v>Pasteur</v>
      </c>
      <c r="C37" s="348"/>
      <c r="D37" s="348"/>
      <c r="E37" s="322">
        <f>IF([1]Jog!N49="","",[1]Jog!N49)</f>
        <v>670</v>
      </c>
      <c r="F37" s="349" t="str">
        <f>IF([1]Jog!O49="","",[1]Jog!O49)</f>
        <v>/Jahr</v>
      </c>
      <c r="G37" s="1101">
        <f t="shared" ref="G37:G39" si="1">E37/52</f>
        <v>12.884615384615385</v>
      </c>
      <c r="H37" s="325"/>
      <c r="I37" s="307"/>
      <c r="J37" s="299"/>
      <c r="K37" s="593"/>
    </row>
    <row r="38" spans="1:11" ht="15" customHeight="1" thickBot="1" x14ac:dyDescent="0.25">
      <c r="A38" s="307"/>
      <c r="B38" s="348" t="str">
        <f>IF([1]Jog!B51="","",[1]Jog!B51)</f>
        <v>Kühlschrank</v>
      </c>
      <c r="C38" s="348"/>
      <c r="D38" s="348"/>
      <c r="E38" s="322">
        <f>IF([1]Jog!N51="","",[1]Jog!N51)</f>
        <v>330</v>
      </c>
      <c r="F38" s="349" t="str">
        <f>IF([1]Jog!O51="","",[1]Jog!O51)</f>
        <v>/Jahr</v>
      </c>
      <c r="G38" s="324">
        <f t="shared" si="1"/>
        <v>6.3461538461538458</v>
      </c>
      <c r="H38" s="325"/>
      <c r="I38" s="307"/>
      <c r="J38" s="299"/>
      <c r="K38" s="593"/>
    </row>
    <row r="39" spans="1:11" ht="15" customHeight="1" thickBot="1" x14ac:dyDescent="0.25">
      <c r="A39" s="307"/>
      <c r="B39" s="348" t="str">
        <f>IF([1]Jog!B53="","",[1]Jog!B53)</f>
        <v>Geschirrspüler</v>
      </c>
      <c r="C39" s="348"/>
      <c r="D39" s="348"/>
      <c r="E39" s="322">
        <f>IF([1]Jog!N53="","",[1]Jog!N53)</f>
        <v>270</v>
      </c>
      <c r="F39" s="349" t="str">
        <f>IF([1]Jog!O53="","",[1]Jog!O53)</f>
        <v>/Jahr</v>
      </c>
      <c r="G39" s="324">
        <f t="shared" si="1"/>
        <v>5.1923076923076925</v>
      </c>
      <c r="H39" s="325"/>
      <c r="I39" s="307"/>
      <c r="J39" s="299"/>
      <c r="K39" s="593"/>
    </row>
    <row r="40" spans="1:11" ht="15" customHeight="1" thickBot="1" x14ac:dyDescent="0.25">
      <c r="A40" s="302"/>
      <c r="B40" s="326" t="s">
        <v>245</v>
      </c>
      <c r="C40" s="326"/>
      <c r="D40" s="327"/>
      <c r="E40" s="328"/>
      <c r="F40" s="328"/>
      <c r="G40" s="329">
        <f>SUM(G37:G39)</f>
        <v>24.423076923076923</v>
      </c>
      <c r="H40" s="596">
        <f>IF(OR(G40="",$F$8=""),"",G40/$F$8)</f>
        <v>3.3597883597883599E-2</v>
      </c>
      <c r="I40" s="302"/>
      <c r="J40" s="299"/>
      <c r="K40" s="593"/>
    </row>
    <row r="41" spans="1:11" ht="15" customHeight="1" thickBot="1" x14ac:dyDescent="0.25">
      <c r="A41" s="350"/>
      <c r="B41" s="351" t="s">
        <v>246</v>
      </c>
      <c r="C41" s="351"/>
      <c r="D41" s="351"/>
      <c r="E41" s="351"/>
      <c r="F41" s="351"/>
      <c r="G41" s="352">
        <f>G16+G29+G34+G40</f>
        <v>502.17146153846147</v>
      </c>
      <c r="H41" s="599">
        <f>IF(OR(G41="",$F$8=""),"",G41/$F$8)</f>
        <v>0.69081788359788354</v>
      </c>
      <c r="I41" s="350"/>
      <c r="J41" s="299"/>
      <c r="K41" s="593"/>
    </row>
    <row r="42" spans="1:11" ht="9.9499999999999993" customHeight="1" x14ac:dyDescent="0.2">
      <c r="A42" s="350"/>
      <c r="B42" s="330"/>
      <c r="C42" s="330"/>
      <c r="D42" s="330"/>
      <c r="E42" s="330"/>
      <c r="F42" s="330"/>
      <c r="G42" s="353"/>
      <c r="H42" s="353"/>
      <c r="I42" s="350"/>
      <c r="J42" s="299"/>
      <c r="K42" s="593"/>
    </row>
    <row r="43" spans="1:11" ht="15" customHeight="1" thickBot="1" x14ac:dyDescent="0.25">
      <c r="A43" s="302"/>
      <c r="B43" s="303" t="s">
        <v>247</v>
      </c>
      <c r="C43" s="309"/>
      <c r="D43" s="309"/>
      <c r="E43" s="309"/>
      <c r="F43" s="309"/>
      <c r="G43" s="320" t="s">
        <v>239</v>
      </c>
      <c r="H43" s="320" t="s">
        <v>240</v>
      </c>
      <c r="I43" s="302"/>
      <c r="J43" s="299"/>
      <c r="K43" s="593"/>
    </row>
    <row r="44" spans="1:11" ht="15" customHeight="1" thickBot="1" x14ac:dyDescent="0.25">
      <c r="A44" s="307"/>
      <c r="B44" s="348" t="str">
        <f>IF([1]Jog!B56="","",[1]Jog!B56)</f>
        <v>Gemein- und Vermarktungskostenzuschlag</v>
      </c>
      <c r="C44" s="348"/>
      <c r="D44" s="348"/>
      <c r="E44" s="354">
        <f>IF([1]Jog!N56="","",[1]Jog!N56)</f>
        <v>3.2000000000000001E-2</v>
      </c>
      <c r="F44" s="355" t="str">
        <f>IF([1]Jog!O56="","",[1]Jog!O56)</f>
        <v>der Herstellungskosten</v>
      </c>
      <c r="G44" s="324">
        <f>G41*E44</f>
        <v>16.069486769230767</v>
      </c>
      <c r="H44" s="325"/>
      <c r="I44" s="307"/>
      <c r="J44" s="299"/>
      <c r="K44" s="593"/>
    </row>
    <row r="45" spans="1:11" ht="15" customHeight="1" thickBot="1" x14ac:dyDescent="0.25">
      <c r="A45" s="350"/>
      <c r="B45" s="351" t="s">
        <v>248</v>
      </c>
      <c r="C45" s="351"/>
      <c r="D45" s="351"/>
      <c r="E45" s="351"/>
      <c r="F45" s="351"/>
      <c r="G45" s="597">
        <f>SUM(G41,G44)</f>
        <v>518.24094830769229</v>
      </c>
      <c r="H45" s="598">
        <f>IF(OR(G45="",$F$8=""),"",G45/$F$8)</f>
        <v>0.71292405587301588</v>
      </c>
      <c r="I45" s="350"/>
      <c r="J45" s="299"/>
      <c r="K45" s="593"/>
    </row>
    <row r="46" spans="1:11" ht="15" customHeight="1" thickBot="1" x14ac:dyDescent="0.25">
      <c r="A46" s="307"/>
      <c r="B46" s="348" t="str">
        <f>IF([1]Jog!B58="","",[1]Jog!B58)</f>
        <v>Gewinn- und Risikozuschlag</v>
      </c>
      <c r="C46" s="348"/>
      <c r="D46" s="348"/>
      <c r="E46" s="354">
        <f>IF([1]Jog!N58="","",[1]Jog!N58)</f>
        <v>3.6999999999999998E-2</v>
      </c>
      <c r="F46" s="356" t="str">
        <f>IF([1]Jog!O58="","",[1]Jog!O58)</f>
        <v>der Vollkosten</v>
      </c>
      <c r="G46" s="324">
        <f>G45*E46</f>
        <v>19.174915087384615</v>
      </c>
      <c r="H46" s="635">
        <f>G46/F8</f>
        <v>2.6378190067301587E-2</v>
      </c>
      <c r="I46" s="307"/>
      <c r="J46" s="299"/>
      <c r="K46" s="593"/>
    </row>
    <row r="47" spans="1:11" ht="15" customHeight="1" thickBot="1" x14ac:dyDescent="0.25">
      <c r="A47" s="350"/>
      <c r="B47" s="357" t="s">
        <v>249</v>
      </c>
      <c r="C47" s="357"/>
      <c r="D47" s="357"/>
      <c r="E47" s="357"/>
      <c r="F47" s="357"/>
      <c r="G47" s="601">
        <f>SUM(G45:G46)</f>
        <v>537.41586339507694</v>
      </c>
      <c r="H47" s="358">
        <f>G47/$F$8</f>
        <v>0.73930224594031746</v>
      </c>
      <c r="I47" s="350"/>
      <c r="J47" s="299"/>
      <c r="K47" s="593"/>
    </row>
    <row r="48" spans="1:11" x14ac:dyDescent="0.2">
      <c r="J48" s="299"/>
      <c r="K48" s="593"/>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sheet="1" objects="1" scenarios="1"/>
  <mergeCells count="11">
    <mergeCell ref="F10:G10"/>
    <mergeCell ref="C10:E10"/>
    <mergeCell ref="D14:D15"/>
    <mergeCell ref="G14:G15"/>
    <mergeCell ref="K1:K4"/>
    <mergeCell ref="H14:H15"/>
    <mergeCell ref="F5:G5"/>
    <mergeCell ref="E14:F15"/>
    <mergeCell ref="F7:G7"/>
    <mergeCell ref="F8:G8"/>
    <mergeCell ref="F9:G9"/>
  </mergeCells>
  <phoneticPr fontId="4" type="noConversion"/>
  <conditionalFormatting sqref="E46 E44 D16:F16 D20:F26 E32:F33 E37:F39 H6 H9 F7:G7">
    <cfRule type="cellIs" dxfId="46" priority="1" stopIfTrue="1" operator="equal">
      <formula>""</formula>
    </cfRule>
  </conditionalFormatting>
  <conditionalFormatting sqref="D3:E3">
    <cfRule type="expression" dxfId="45" priority="2" stopIfTrue="1">
      <formula>#REF!=""</formula>
    </cfRule>
  </conditionalFormatting>
  <conditionalFormatting sqref="B10">
    <cfRule type="cellIs" dxfId="44" priority="3" stopIfTrue="1" operator="equal">
      <formula>"Berechnung fehlt!"</formula>
    </cfRule>
    <cfRule type="expression" dxfId="43" priority="4" stopIfTrue="1">
      <formula>$C$10="ACHTUNG: Der tatsächliche Gewinn liegt unter dem Gewinnzuschlag!!!"</formula>
    </cfRule>
    <cfRule type="cellIs" dxfId="42" priority="5" stopIfTrue="1" operator="equal">
      <formula>"Verlust!"</formula>
    </cfRule>
  </conditionalFormatting>
  <conditionalFormatting sqref="F10:G10">
    <cfRule type="cellIs" dxfId="41" priority="6" stopIfTrue="1" operator="lessThan">
      <formula>0</formula>
    </cfRule>
    <cfRule type="expression" dxfId="40" priority="7" stopIfTrue="1">
      <formula>$C$10="ACHTUNG: Der tatsächliche Gewinn liegt unter dem Gewinnzuschlag!!!"</formula>
    </cfRule>
    <cfRule type="cellIs" dxfId="39" priority="8" stopIfTrue="1" operator="equal">
      <formula>"noch leer"</formula>
    </cfRule>
  </conditionalFormatting>
  <conditionalFormatting sqref="C10:E10">
    <cfRule type="cellIs" dxfId="38" priority="9" stopIfTrue="1" operator="equal">
      <formula>"ACHTUNG: Der Preis deckt die Kosten nicht ab!!!"</formula>
    </cfRule>
    <cfRule type="expression" dxfId="37" priority="10" stopIfTrue="1">
      <formula>$C$10="ACHTUNG: Der tatsächliche Gewinn liegt unter dem Gewinnzuschlag!!!"</formula>
    </cfRule>
    <cfRule type="cellIs" dxfId="36" priority="11" stopIfTrue="1" operator="equal">
      <formula>"Gewinn/Verlust?"</formula>
    </cfRule>
  </conditionalFormatting>
  <conditionalFormatting sqref="H10">
    <cfRule type="cellIs" dxfId="35" priority="12" stopIfTrue="1" operator="lessThan">
      <formula>0</formula>
    </cfRule>
    <cfRule type="expression" dxfId="34" priority="13" stopIfTrue="1">
      <formula>$C$10="ACHTUNG: Der tatsächliche Gewinn liegt unter dem Gewinnzuschlag!!!"</formula>
    </cfRule>
    <cfRule type="cellIs" dxfId="33" priority="14"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verticalDpi="300" r:id="rId1"/>
  <headerFooter alignWithMargins="0">
    <oddHeader>&amp;R&amp;8&amp;U&amp;F - Seite &amp;P/&amp;N</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9">
    <tabColor indexed="10"/>
  </sheetPr>
  <dimension ref="A1:G19"/>
  <sheetViews>
    <sheetView showGridLines="0" zoomScaleNormal="100" workbookViewId="0">
      <pane ySplit="3" topLeftCell="A4" activePane="bottomLeft" state="frozen"/>
      <selection activeCell="J26" sqref="J26"/>
      <selection pane="bottomLeft" activeCell="J26" sqref="J26"/>
    </sheetView>
  </sheetViews>
  <sheetFormatPr baseColWidth="10" defaultColWidth="0" defaultRowHeight="12.75" zeroHeight="1" x14ac:dyDescent="0.2"/>
  <cols>
    <col min="1" max="1" width="2.7109375" style="1" customWidth="1"/>
    <col min="2" max="2" width="6.7109375" style="1" customWidth="1"/>
    <col min="3" max="3" width="60.7109375" style="1" customWidth="1"/>
    <col min="4" max="4" width="15.7109375" style="1" customWidth="1"/>
    <col min="5" max="5" width="2.7109375" style="1" customWidth="1"/>
    <col min="6" max="6" width="0.85546875" style="1" customWidth="1"/>
    <col min="7" max="7" width="20.7109375" style="1" customWidth="1"/>
    <col min="8" max="16384" width="0" style="1" hidden="1"/>
  </cols>
  <sheetData>
    <row r="1" spans="1:7" ht="24.95" customHeight="1" x14ac:dyDescent="0.2">
      <c r="A1" s="16"/>
      <c r="B1" s="17" t="str">
        <f>"Fixkosten für das Jahr "&amp;IF([1]Allg!E12="","",[1]Allg!E12)</f>
        <v>Fixkosten für das Jahr 2020</v>
      </c>
      <c r="C1" s="359"/>
      <c r="D1" s="360"/>
      <c r="E1" s="361"/>
      <c r="F1" s="261"/>
      <c r="G1" s="1304" t="s">
        <v>11</v>
      </c>
    </row>
    <row r="2" spans="1:7" ht="30" customHeight="1" x14ac:dyDescent="0.2">
      <c r="A2" s="53"/>
      <c r="B2" s="53"/>
      <c r="D2" s="53"/>
      <c r="E2" s="53"/>
      <c r="F2" s="264"/>
      <c r="G2" s="1304"/>
    </row>
    <row r="3" spans="1:7" ht="20.100000000000001" customHeight="1" x14ac:dyDescent="0.2">
      <c r="A3" s="53"/>
      <c r="B3" s="30" t="s">
        <v>250</v>
      </c>
      <c r="C3" s="30"/>
      <c r="D3" s="19" t="s">
        <v>251</v>
      </c>
      <c r="E3" s="53"/>
      <c r="F3" s="267"/>
      <c r="G3" s="1304"/>
    </row>
    <row r="4" spans="1:7" ht="21.95" customHeight="1" x14ac:dyDescent="0.2">
      <c r="A4" s="53"/>
      <c r="B4" s="50">
        <v>1</v>
      </c>
      <c r="C4" s="20" t="str">
        <f>IF([1]FK!C12="","",[1]FK!C12)</f>
        <v>Betriebsversicherungen</v>
      </c>
      <c r="D4" s="362">
        <f>IF([1]FK!N12="","",-[1]FK!N12)</f>
        <v>-646</v>
      </c>
      <c r="E4" s="363"/>
      <c r="F4" s="267"/>
      <c r="G4" s="268"/>
    </row>
    <row r="5" spans="1:7" ht="21.95" customHeight="1" x14ac:dyDescent="0.2">
      <c r="A5" s="53"/>
      <c r="B5" s="50">
        <v>2</v>
      </c>
      <c r="C5" s="20" t="str">
        <f>IF([1]FK!C14="","",[1]FK!C14)</f>
        <v>Betriebssteuern und -abgaben</v>
      </c>
      <c r="D5" s="362">
        <f>IF([1]FK!N14="","",-[1]FK!N14)</f>
        <v>-285</v>
      </c>
      <c r="E5" s="363"/>
      <c r="F5" s="267"/>
      <c r="G5" s="268"/>
    </row>
    <row r="6" spans="1:7" ht="21.95" customHeight="1" x14ac:dyDescent="0.2">
      <c r="A6" s="53"/>
      <c r="B6" s="50">
        <v>3</v>
      </c>
      <c r="C6" s="20" t="str">
        <f>IF([1]FK!C15="","",[1]FK!C15)</f>
        <v>Abschreibung</v>
      </c>
      <c r="D6" s="364" t="str">
        <f>IF([1]FK!N15="","",-[1]FK!N15)</f>
        <v/>
      </c>
      <c r="E6" s="363"/>
      <c r="F6" s="267"/>
      <c r="G6" s="268"/>
    </row>
    <row r="7" spans="1:7" ht="21.95" customHeight="1" x14ac:dyDescent="0.2">
      <c r="A7" s="53"/>
      <c r="B7" s="50"/>
      <c r="C7" s="20" t="str">
        <f>IF([1]FK!C16="","",[1]FK!C16)</f>
        <v xml:space="preserve">              Grundverbesserungen</v>
      </c>
      <c r="D7" s="365">
        <f>IF(AV!I9="","noch leer",-AV!I9)</f>
        <v>0</v>
      </c>
      <c r="E7" s="363"/>
      <c r="F7" s="267"/>
      <c r="G7" s="268"/>
    </row>
    <row r="8" spans="1:7" ht="21.95" customHeight="1" x14ac:dyDescent="0.2">
      <c r="A8" s="53"/>
      <c r="B8" s="50"/>
      <c r="C8" s="20" t="str">
        <f>IF([1]FK!C17="","",[1]FK!C17)</f>
        <v xml:space="preserve">              Betriebs- und Geschäftsausstattung</v>
      </c>
      <c r="D8" s="365"/>
      <c r="E8" s="363"/>
      <c r="F8" s="267"/>
      <c r="G8" s="268"/>
    </row>
    <row r="9" spans="1:7" ht="21.95" customHeight="1" x14ac:dyDescent="0.2">
      <c r="A9" s="53"/>
      <c r="B9" s="50"/>
      <c r="C9" s="20" t="str">
        <f>IF([1]FK!C19="","",[1]FK!C19)</f>
        <v xml:space="preserve">              Gebäude</v>
      </c>
      <c r="D9" s="365">
        <f>IF(AV!I19="","noch leer",-AV!I19)</f>
        <v>-3425.8139534883721</v>
      </c>
      <c r="E9" s="363"/>
      <c r="F9" s="267"/>
      <c r="G9" s="268"/>
    </row>
    <row r="10" spans="1:7" ht="21.95" customHeight="1" x14ac:dyDescent="0.2">
      <c r="A10" s="53"/>
      <c r="B10" s="50"/>
      <c r="C10" s="20" t="str">
        <f>IF([1]FK!C18="","",[1]FK!C18)</f>
        <v xml:space="preserve">              Maschinen</v>
      </c>
      <c r="D10" s="365">
        <f>IF(AV!I41="","noch leer",-AV!I41)</f>
        <v>-3944.3952380952387</v>
      </c>
      <c r="E10" s="363"/>
      <c r="F10" s="264"/>
      <c r="G10" s="277"/>
    </row>
    <row r="11" spans="1:7" ht="21.95" customHeight="1" x14ac:dyDescent="0.2">
      <c r="A11" s="53"/>
      <c r="B11" s="50">
        <v>4</v>
      </c>
      <c r="C11" s="20" t="str">
        <f>IF([1]FK!C20="","",[1]FK!C20)</f>
        <v>Gebäudereparaturen</v>
      </c>
      <c r="D11" s="362">
        <f>IF([1]FK!N20="","",-[1]FK!N20)</f>
        <v>-1140</v>
      </c>
      <c r="E11" s="363"/>
      <c r="F11" s="267"/>
      <c r="G11" s="268"/>
    </row>
    <row r="12" spans="1:7" ht="21.95" customHeight="1" x14ac:dyDescent="0.2">
      <c r="A12" s="53"/>
      <c r="B12" s="50">
        <v>5</v>
      </c>
      <c r="C12" s="20" t="str">
        <f>IF([1]FK!C22="","",[1]FK!C22)</f>
        <v>Pachtzinse</v>
      </c>
      <c r="D12" s="362" t="str">
        <f>IF([1]FK!N22="","",-[1]FK!N22)</f>
        <v/>
      </c>
      <c r="E12" s="363"/>
      <c r="F12" s="267"/>
      <c r="G12" s="268"/>
    </row>
    <row r="13" spans="1:7" ht="21.95" customHeight="1" x14ac:dyDescent="0.2">
      <c r="A13" s="53"/>
      <c r="B13" s="50">
        <v>6</v>
      </c>
      <c r="C13" s="20" t="str">
        <f>IF([1]FK!C24="","",[1]FK!C24)</f>
        <v>Schuldzinse</v>
      </c>
      <c r="D13" s="362">
        <f>IF([1]FK!N24="","",-[1]FK!N24)</f>
        <v>-463</v>
      </c>
      <c r="E13" s="363"/>
      <c r="F13" s="284"/>
      <c r="G13" s="268"/>
    </row>
    <row r="14" spans="1:7" ht="21.95" customHeight="1" x14ac:dyDescent="0.2">
      <c r="A14" s="53"/>
      <c r="B14" s="50">
        <v>7</v>
      </c>
      <c r="C14" s="20" t="str">
        <f>IF([1]FK!C26="","",[1]FK!C26)</f>
        <v>Ausgedingelasten</v>
      </c>
      <c r="D14" s="362" t="str">
        <f>IF([1]FK!N26="","",-[1]FK!N26)</f>
        <v/>
      </c>
      <c r="E14" s="363"/>
      <c r="F14" s="284"/>
      <c r="G14" s="268"/>
    </row>
    <row r="15" spans="1:7" ht="21.95" customHeight="1" x14ac:dyDescent="0.2">
      <c r="A15" s="53"/>
      <c r="B15" s="50">
        <v>8</v>
      </c>
      <c r="C15" s="20" t="str">
        <f>IF([1]FK!C28="","",[1]FK!C28)</f>
        <v>Vewaltungskosten</v>
      </c>
      <c r="D15" s="362">
        <f>IF([1]FK!N28="","",-[1]FK!N28)</f>
        <v>-651</v>
      </c>
      <c r="E15" s="363"/>
      <c r="F15" s="284"/>
      <c r="G15" s="268"/>
    </row>
    <row r="16" spans="1:7" ht="21.95" customHeight="1" x14ac:dyDescent="0.2">
      <c r="A16" s="53"/>
      <c r="B16" s="50">
        <v>9</v>
      </c>
      <c r="C16" s="20" t="str">
        <f>IF([1]FK!C30="","",[1]FK!C30)</f>
        <v/>
      </c>
      <c r="D16" s="366" t="str">
        <f>IF([1]FK!N30="","",-[1]FK!N30)</f>
        <v/>
      </c>
      <c r="E16" s="363"/>
      <c r="F16" s="267"/>
      <c r="G16" s="268"/>
    </row>
    <row r="17" spans="1:7" ht="21.95" customHeight="1" thickBot="1" x14ac:dyDescent="0.25">
      <c r="A17" s="53"/>
      <c r="B17" s="50">
        <v>10</v>
      </c>
      <c r="C17" s="20" t="str">
        <f>IF([1]FK!C32="","",[1]FK!C32)</f>
        <v/>
      </c>
      <c r="D17" s="366" t="str">
        <f>IF([1]FK!N32="","",-[1]FK!N32)</f>
        <v/>
      </c>
      <c r="E17" s="363"/>
      <c r="F17" s="264"/>
      <c r="G17" s="277"/>
    </row>
    <row r="18" spans="1:7" ht="21.95" customHeight="1" thickBot="1" x14ac:dyDescent="0.25">
      <c r="A18" s="53"/>
      <c r="B18" s="367" t="s">
        <v>245</v>
      </c>
      <c r="C18" s="367"/>
      <c r="D18" s="368">
        <f>SUM(D4:D17)</f>
        <v>-10555.20919158361</v>
      </c>
      <c r="E18" s="363"/>
      <c r="F18" s="267"/>
      <c r="G18" s="268"/>
    </row>
    <row r="19" spans="1:7" x14ac:dyDescent="0.2">
      <c r="F19" s="529"/>
      <c r="G19" s="603"/>
    </row>
  </sheetData>
  <sheetProtection sheet="1" objects="1" scenarios="1"/>
  <mergeCells count="1">
    <mergeCell ref="G1:G3"/>
  </mergeCells>
  <phoneticPr fontId="4" type="noConversion"/>
  <conditionalFormatting sqref="D7:D10">
    <cfRule type="cellIs" dxfId="32" priority="1"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20">
    <tabColor indexed="10"/>
  </sheetPr>
  <dimension ref="A1:M64"/>
  <sheetViews>
    <sheetView showGridLines="0" zoomScaleNormal="100" workbookViewId="0">
      <pane ySplit="4" topLeftCell="A5" activePane="bottomLeft" state="frozen"/>
      <selection activeCell="J26" sqref="J26"/>
      <selection pane="bottomLeft" activeCell="J26" sqref="J26"/>
    </sheetView>
  </sheetViews>
  <sheetFormatPr baseColWidth="10" defaultColWidth="0" defaultRowHeight="0" customHeight="1" zeroHeight="1" x14ac:dyDescent="0.2"/>
  <cols>
    <col min="1" max="1" width="2.7109375" style="56" customWidth="1"/>
    <col min="2" max="2" width="14.7109375" style="384" customWidth="1"/>
    <col min="3" max="3" width="2.7109375" style="384" customWidth="1"/>
    <col min="4" max="4" width="5.7109375" style="56" customWidth="1"/>
    <col min="5" max="6" width="10.7109375" style="83" customWidth="1"/>
    <col min="7" max="7" width="6.7109375" style="56" customWidth="1"/>
    <col min="8" max="10" width="10.7109375" style="83" customWidth="1"/>
    <col min="11" max="11" width="2.7109375" style="56" customWidth="1"/>
    <col min="12" max="12" width="0.85546875" style="1" customWidth="1"/>
    <col min="13" max="13" width="20.7109375" style="1" customWidth="1"/>
    <col min="14" max="16384" width="11.42578125" style="56" hidden="1"/>
  </cols>
  <sheetData>
    <row r="1" spans="1:13" ht="24.95" customHeight="1" x14ac:dyDescent="0.2">
      <c r="A1" s="16"/>
      <c r="B1" s="17" t="s">
        <v>252</v>
      </c>
      <c r="C1" s="17"/>
      <c r="D1" s="17"/>
      <c r="E1" s="17"/>
      <c r="F1" s="17"/>
      <c r="G1" s="17"/>
      <c r="H1" s="17"/>
      <c r="I1" s="17"/>
      <c r="J1" s="17"/>
      <c r="K1" s="17"/>
      <c r="L1" s="261"/>
      <c r="M1" s="1304" t="s">
        <v>11</v>
      </c>
    </row>
    <row r="2" spans="1:13" ht="30" customHeight="1" x14ac:dyDescent="0.2">
      <c r="B2" s="369"/>
      <c r="C2" s="369"/>
      <c r="D2" s="370"/>
      <c r="E2" s="370"/>
      <c r="F2" s="370"/>
      <c r="G2" s="370"/>
      <c r="H2" s="370"/>
      <c r="I2" s="370"/>
      <c r="J2" s="370"/>
      <c r="L2" s="264"/>
      <c r="M2" s="1304"/>
    </row>
    <row r="3" spans="1:13" ht="14.1" customHeight="1" x14ac:dyDescent="0.2">
      <c r="B3" s="87"/>
      <c r="C3" s="87"/>
      <c r="D3" s="1313" t="s">
        <v>253</v>
      </c>
      <c r="E3" s="1313"/>
      <c r="F3" s="371">
        <f>IF([1]Allg!E12="","",[1]Allg!E12)</f>
        <v>2020</v>
      </c>
      <c r="G3" s="1313" t="s">
        <v>254</v>
      </c>
      <c r="H3" s="1313"/>
      <c r="I3" s="371">
        <f>IF([1]Allg!E12="","",[1]Allg!E12)</f>
        <v>2020</v>
      </c>
      <c r="J3" s="1314" t="s">
        <v>255</v>
      </c>
      <c r="L3" s="267"/>
      <c r="M3" s="1304"/>
    </row>
    <row r="4" spans="1:13" ht="14.1" customHeight="1" x14ac:dyDescent="0.2">
      <c r="B4" s="372" t="s">
        <v>256</v>
      </c>
      <c r="C4" s="372"/>
      <c r="D4" s="75" t="s">
        <v>92</v>
      </c>
      <c r="E4" s="82" t="s">
        <v>257</v>
      </c>
      <c r="F4" s="82" t="s">
        <v>85</v>
      </c>
      <c r="G4" s="75" t="s">
        <v>92</v>
      </c>
      <c r="H4" s="82" t="s">
        <v>257</v>
      </c>
      <c r="I4" s="82" t="s">
        <v>85</v>
      </c>
      <c r="J4" s="1314"/>
      <c r="L4" s="267"/>
      <c r="M4" s="1304"/>
    </row>
    <row r="5" spans="1:13" ht="14.1" customHeight="1" x14ac:dyDescent="0.2">
      <c r="B5" s="87" t="str">
        <f>IF([1]UV!D14="","",[1]UV!D14)</f>
        <v>RINDER</v>
      </c>
      <c r="C5" s="87"/>
      <c r="D5" s="64"/>
      <c r="E5" s="64"/>
      <c r="F5" s="64"/>
      <c r="G5" s="64"/>
      <c r="H5" s="64"/>
      <c r="I5" s="64"/>
      <c r="J5" s="64"/>
      <c r="L5" s="267"/>
      <c r="M5" s="268"/>
    </row>
    <row r="6" spans="1:13" ht="14.1" customHeight="1" thickBot="1" x14ac:dyDescent="0.25">
      <c r="B6" s="66" t="str">
        <f>IF([1]UV!C18="","",[1]UV!C18)</f>
        <v>Milchkühe</v>
      </c>
      <c r="C6" s="66"/>
      <c r="D6" s="373">
        <f>IF([1]UV!E18="","",[1]UV!E18)</f>
        <v>4</v>
      </c>
      <c r="E6" s="374">
        <f>IF([1]UV!S18="","",[1]UV!S18)</f>
        <v>1102</v>
      </c>
      <c r="F6" s="612">
        <f>IF($B6="","",D6*E6)</f>
        <v>4408</v>
      </c>
      <c r="G6" s="375">
        <f>IF([1]UV!K18="","",[1]UV!K18)</f>
        <v>4</v>
      </c>
      <c r="H6" s="116">
        <f>IF([1]UV!T18="","",[1]UV!T18)</f>
        <v>1102</v>
      </c>
      <c r="I6" s="613">
        <f>IF($B6="","",G6*H6)</f>
        <v>4408</v>
      </c>
      <c r="J6" s="613">
        <f>IF($B6="","",I6-F6)</f>
        <v>0</v>
      </c>
      <c r="L6" s="267"/>
      <c r="M6" s="268"/>
    </row>
    <row r="7" spans="1:13" ht="14.1" customHeight="1" thickBot="1" x14ac:dyDescent="0.25">
      <c r="B7" s="66" t="str">
        <f>IF([1]UV!C20="","",[1]UV!C20)</f>
        <v>Kalbinnen</v>
      </c>
      <c r="C7" s="66"/>
      <c r="D7" s="373">
        <f>IF([1]UV!E20="","",[1]UV!E20)</f>
        <v>2</v>
      </c>
      <c r="E7" s="374">
        <f>IF([1]UV!S20="","",[1]UV!S20)</f>
        <v>1178</v>
      </c>
      <c r="F7" s="608">
        <f t="shared" ref="F7:F8" si="0">D7*E7</f>
        <v>2356</v>
      </c>
      <c r="G7" s="375">
        <f>IF([1]UV!K20="","",[1]UV!K20)</f>
        <v>3</v>
      </c>
      <c r="H7" s="116">
        <f>IF([1]UV!T20="","",[1]UV!T20)</f>
        <v>1178</v>
      </c>
      <c r="I7" s="609">
        <f t="shared" ref="I7:I8" si="1">G7*H7</f>
        <v>3534</v>
      </c>
      <c r="J7" s="609">
        <f t="shared" ref="J7:J8" si="2">I7-F7</f>
        <v>1178</v>
      </c>
      <c r="L7" s="267"/>
      <c r="M7" s="268"/>
    </row>
    <row r="8" spans="1:13" ht="14.1" customHeight="1" thickBot="1" x14ac:dyDescent="0.25">
      <c r="B8" s="66" t="str">
        <f>IF([1]UV!C22="","",[1]UV!C22)</f>
        <v>Kälber</v>
      </c>
      <c r="C8" s="66"/>
      <c r="D8" s="373">
        <f>IF([1]UV!E22="","",[1]UV!E22)</f>
        <v>2</v>
      </c>
      <c r="E8" s="374">
        <f>IF([1]UV!S22="","",[1]UV!S22)</f>
        <v>171</v>
      </c>
      <c r="F8" s="608">
        <f t="shared" si="0"/>
        <v>342</v>
      </c>
      <c r="G8" s="375">
        <f>IF([1]UV!K22="","",[1]UV!K22)</f>
        <v>3</v>
      </c>
      <c r="H8" s="116">
        <f>IF([1]UV!T22="","",[1]UV!T22)</f>
        <v>171</v>
      </c>
      <c r="I8" s="609">
        <f t="shared" si="1"/>
        <v>513</v>
      </c>
      <c r="J8" s="609">
        <f t="shared" si="2"/>
        <v>171</v>
      </c>
      <c r="L8" s="267"/>
      <c r="M8" s="268"/>
    </row>
    <row r="9" spans="1:13" ht="14.1" customHeight="1" x14ac:dyDescent="0.2">
      <c r="B9" s="66" t="str">
        <f>IF([1]UV!C24="","",[1]UV!C24)</f>
        <v/>
      </c>
      <c r="C9" s="66"/>
      <c r="D9" s="373" t="str">
        <f>IF([1]UV!E24="","",[1]UV!E24)</f>
        <v/>
      </c>
      <c r="E9" s="374" t="str">
        <f>IF([1]UV!S24="","",[1]UV!S24)</f>
        <v/>
      </c>
      <c r="F9" s="103" t="str">
        <f>IF($B9="","",D9*E9)</f>
        <v/>
      </c>
      <c r="G9" s="375" t="str">
        <f>IF([1]UV!K24="","",[1]UV!K24)</f>
        <v/>
      </c>
      <c r="H9" s="116" t="str">
        <f>IF([1]UV!T24="","",[1]UV!T24)</f>
        <v/>
      </c>
      <c r="I9" s="616" t="str">
        <f>IF($B9="","",G9*H9)</f>
        <v/>
      </c>
      <c r="J9" s="616" t="str">
        <f>IF($B9="","",I9-F9)</f>
        <v/>
      </c>
      <c r="L9" s="267"/>
      <c r="M9" s="268"/>
    </row>
    <row r="10" spans="1:13" ht="14.1" customHeight="1" x14ac:dyDescent="0.2">
      <c r="B10" s="66" t="str">
        <f>IF([1]UV!C26="","",[1]UV!C26)</f>
        <v/>
      </c>
      <c r="C10" s="66"/>
      <c r="D10" s="373" t="str">
        <f>IF([1]UV!E26="","",[1]UV!E26)</f>
        <v/>
      </c>
      <c r="E10" s="374" t="str">
        <f>IF([1]UV!S26="","",[1]UV!S26)</f>
        <v/>
      </c>
      <c r="F10" s="103" t="str">
        <f>IF($B10="","",D10*E10)</f>
        <v/>
      </c>
      <c r="G10" s="375" t="str">
        <f>IF([1]UV!K26="","",[1]UV!K26)</f>
        <v/>
      </c>
      <c r="H10" s="116" t="str">
        <f>IF([1]UV!T26="","",[1]UV!T26)</f>
        <v/>
      </c>
      <c r="I10" s="616" t="str">
        <f>IF($B10="","",G10*H10)</f>
        <v/>
      </c>
      <c r="J10" s="616" t="str">
        <f>IF($B10="","",I10-F10)</f>
        <v/>
      </c>
      <c r="L10" s="264"/>
      <c r="M10" s="277"/>
    </row>
    <row r="11" spans="1:13" ht="14.1" customHeight="1" x14ac:dyDescent="0.2">
      <c r="B11" s="66" t="str">
        <f>IF([1]UV!C28="","",[1]UV!C28)</f>
        <v/>
      </c>
      <c r="C11" s="66"/>
      <c r="D11" s="373" t="str">
        <f>IF([1]UV!E28="","",[1]UV!E28)</f>
        <v/>
      </c>
      <c r="E11" s="374" t="str">
        <f>IF([1]UV!S28="","",[1]UV!S28)</f>
        <v/>
      </c>
      <c r="F11" s="103"/>
      <c r="G11" s="375" t="str">
        <f>IF([1]UV!K28="","",[1]UV!K28)</f>
        <v/>
      </c>
      <c r="H11" s="116" t="str">
        <f>IF([1]UV!T28="","",[1]UV!T28)</f>
        <v/>
      </c>
      <c r="I11" s="616"/>
      <c r="J11" s="616"/>
      <c r="L11" s="267"/>
      <c r="M11" s="268"/>
    </row>
    <row r="12" spans="1:13" ht="14.1" customHeight="1" thickBot="1" x14ac:dyDescent="0.25">
      <c r="B12" s="66" t="str">
        <f>IF([1]UV!C30="","",[1]UV!C30)</f>
        <v/>
      </c>
      <c r="C12" s="66"/>
      <c r="D12" s="373" t="str">
        <f>IF([1]UV!E30="","",[1]UV!E30)</f>
        <v/>
      </c>
      <c r="E12" s="374" t="str">
        <f>IF([1]UV!S30="","",[1]UV!S30)</f>
        <v/>
      </c>
      <c r="F12" s="612"/>
      <c r="G12" s="375" t="str">
        <f>IF([1]UV!K30="","",[1]UV!K30)</f>
        <v/>
      </c>
      <c r="H12" s="116" t="str">
        <f>IF([1]UV!T30="","",[1]UV!T30)</f>
        <v/>
      </c>
      <c r="I12" s="613"/>
      <c r="J12" s="613"/>
      <c r="L12" s="267"/>
      <c r="M12" s="268"/>
    </row>
    <row r="13" spans="1:13" ht="14.1" customHeight="1" thickBot="1" x14ac:dyDescent="0.25">
      <c r="B13" s="376" t="str">
        <f>"Summe "&amp;B5</f>
        <v>Summe RINDER</v>
      </c>
      <c r="C13" s="377"/>
      <c r="D13" s="128"/>
      <c r="E13" s="128"/>
      <c r="F13" s="378">
        <f>SUM(F6:F12)</f>
        <v>7106</v>
      </c>
      <c r="G13" s="128"/>
      <c r="H13" s="379"/>
      <c r="I13" s="380">
        <f t="shared" ref="I13:J13" si="3">SUM(I6:I12)</f>
        <v>8455</v>
      </c>
      <c r="J13" s="380">
        <f t="shared" si="3"/>
        <v>1349</v>
      </c>
      <c r="L13" s="284"/>
      <c r="M13" s="268"/>
    </row>
    <row r="14" spans="1:13" ht="6" customHeight="1" thickBot="1" x14ac:dyDescent="0.25">
      <c r="B14" s="56"/>
      <c r="C14" s="56"/>
      <c r="E14" s="56"/>
      <c r="F14" s="56"/>
      <c r="H14" s="56"/>
      <c r="I14" s="56"/>
      <c r="J14" s="56"/>
      <c r="L14" s="284"/>
      <c r="M14" s="268"/>
    </row>
    <row r="15" spans="1:13" ht="13.5" thickBot="1" x14ac:dyDescent="0.25">
      <c r="B15" s="56"/>
      <c r="C15" s="381" t="s">
        <v>1</v>
      </c>
      <c r="D15" s="382" t="s">
        <v>258</v>
      </c>
      <c r="E15" s="56"/>
      <c r="F15" s="383" t="s">
        <v>259</v>
      </c>
      <c r="H15" s="56"/>
      <c r="I15" s="56"/>
      <c r="J15" s="56"/>
      <c r="L15" s="284"/>
      <c r="M15" s="268"/>
    </row>
    <row r="16" spans="1:13" ht="3.95" customHeight="1" thickBot="1" x14ac:dyDescent="0.25">
      <c r="B16" s="56"/>
      <c r="C16" s="56"/>
      <c r="E16" s="56"/>
      <c r="F16" s="56"/>
      <c r="H16" s="56"/>
      <c r="I16" s="56"/>
      <c r="J16" s="56"/>
      <c r="L16" s="267"/>
      <c r="M16" s="268"/>
    </row>
    <row r="17" spans="2:13" ht="15.75" thickBot="1" x14ac:dyDescent="0.25">
      <c r="B17" s="56"/>
      <c r="C17" s="381"/>
      <c r="D17" s="382" t="s">
        <v>260</v>
      </c>
      <c r="E17" s="56"/>
      <c r="F17" s="56"/>
      <c r="H17" s="56"/>
      <c r="I17" s="56"/>
      <c r="J17" s="56"/>
      <c r="L17" s="264"/>
      <c r="M17" s="277"/>
    </row>
    <row r="18" spans="2:13" ht="3.95" customHeight="1" thickBot="1" x14ac:dyDescent="0.25">
      <c r="B18" s="56"/>
      <c r="C18" s="56"/>
      <c r="E18" s="56"/>
      <c r="F18" s="56"/>
      <c r="H18" s="56"/>
      <c r="I18" s="56"/>
      <c r="J18" s="56"/>
      <c r="L18" s="267"/>
      <c r="M18" s="268"/>
    </row>
    <row r="19" spans="2:13" ht="13.5" thickBot="1" x14ac:dyDescent="0.25">
      <c r="B19" s="56"/>
      <c r="C19" s="381"/>
      <c r="D19" s="382" t="s">
        <v>261</v>
      </c>
      <c r="E19" s="56"/>
      <c r="F19" s="56"/>
      <c r="H19" s="56"/>
      <c r="I19" s="56"/>
      <c r="J19" s="56"/>
      <c r="L19" s="529"/>
      <c r="M19" s="603"/>
    </row>
    <row r="20" spans="2:13" ht="6" customHeight="1" x14ac:dyDescent="0.2">
      <c r="B20" s="56"/>
      <c r="C20" s="56"/>
      <c r="E20" s="56"/>
      <c r="F20" s="56"/>
      <c r="H20" s="56"/>
      <c r="I20" s="56"/>
      <c r="J20" s="56"/>
      <c r="L20" s="529"/>
      <c r="M20" s="603"/>
    </row>
    <row r="21" spans="2:13" ht="14.1" hidden="1" customHeight="1" x14ac:dyDescent="0.2">
      <c r="B21" s="87" t="str">
        <f>IF([1]UV!D32="","",UPPER([1]UV!D32))</f>
        <v>SCHWEINE</v>
      </c>
      <c r="C21" s="87"/>
      <c r="D21" s="64"/>
      <c r="E21" s="64"/>
      <c r="F21" s="64"/>
      <c r="G21" s="64"/>
      <c r="H21" s="64"/>
      <c r="I21" s="64"/>
      <c r="J21" s="64"/>
      <c r="L21" s="529"/>
      <c r="M21" s="603"/>
    </row>
    <row r="22" spans="2:13" ht="14.1" hidden="1" customHeight="1" x14ac:dyDescent="0.2">
      <c r="B22" s="66" t="str">
        <f>IF([1]UV!C36="","",[1]UV!C36)</f>
        <v/>
      </c>
      <c r="C22" s="66"/>
      <c r="D22" s="373" t="str">
        <f>IF([1]UV!E36="","",[1]UV!E36)</f>
        <v/>
      </c>
      <c r="E22" s="374" t="str">
        <f>IF([1]UV!S36="","",[1]UV!S36)</f>
        <v/>
      </c>
      <c r="F22" s="103" t="str">
        <f>IF($B22="","",D22*E22)</f>
        <v/>
      </c>
      <c r="G22" s="375" t="str">
        <f>IF([1]UV!K36="","",[1]UV!K36)</f>
        <v/>
      </c>
      <c r="H22" s="116" t="str">
        <f>IF([1]UV!T36="","",[1]UV!T36)</f>
        <v/>
      </c>
      <c r="I22" s="616" t="str">
        <f>IF($B22="","",G22*H22)</f>
        <v/>
      </c>
      <c r="J22" s="616" t="str">
        <f>IF($B22="","",I22-F22)</f>
        <v/>
      </c>
      <c r="L22" s="529"/>
      <c r="M22" s="603"/>
    </row>
    <row r="23" spans="2:13" ht="14.1" hidden="1" customHeight="1" x14ac:dyDescent="0.2">
      <c r="B23" s="66" t="str">
        <f>IF([1]UV!C38="","",[1]UV!C38)</f>
        <v/>
      </c>
      <c r="C23" s="66"/>
      <c r="D23" s="373" t="str">
        <f>IF([1]UV!E38="","",[1]UV!E38)</f>
        <v/>
      </c>
      <c r="E23" s="374" t="str">
        <f>IF([1]UV!S38="","",[1]UV!S38)</f>
        <v/>
      </c>
      <c r="F23" s="103" t="str">
        <f>IF($B23="","",D23*E23)</f>
        <v/>
      </c>
      <c r="G23" s="375" t="str">
        <f>IF([1]UV!K38="","",[1]UV!K38)</f>
        <v/>
      </c>
      <c r="H23" s="116" t="str">
        <f>IF([1]UV!T38="","",[1]UV!T38)</f>
        <v/>
      </c>
      <c r="I23" s="616" t="str">
        <f>IF($B23="","",G23*H23)</f>
        <v/>
      </c>
      <c r="J23" s="616" t="str">
        <f>IF($B23="","",I23-F23)</f>
        <v/>
      </c>
      <c r="L23" s="529"/>
      <c r="M23" s="603"/>
    </row>
    <row r="24" spans="2:13" ht="14.1" hidden="1" customHeight="1" x14ac:dyDescent="0.2">
      <c r="B24" s="66" t="str">
        <f>IF([1]UV!C40="","",[1]UV!C40)</f>
        <v/>
      </c>
      <c r="C24" s="66"/>
      <c r="D24" s="373" t="str">
        <f>IF([1]UV!E40="","",[1]UV!E40)</f>
        <v/>
      </c>
      <c r="E24" s="374" t="str">
        <f>IF([1]UV!S40="","",[1]UV!S40)</f>
        <v/>
      </c>
      <c r="F24" s="103"/>
      <c r="G24" s="375" t="str">
        <f>IF([1]UV!K40="","",[1]UV!K40)</f>
        <v/>
      </c>
      <c r="H24" s="116" t="str">
        <f>IF([1]UV!T40="","",[1]UV!T40)</f>
        <v/>
      </c>
      <c r="I24" s="616"/>
      <c r="J24" s="616"/>
      <c r="L24" s="529"/>
      <c r="M24" s="603"/>
    </row>
    <row r="25" spans="2:13" ht="14.1" hidden="1" customHeight="1" x14ac:dyDescent="0.2">
      <c r="B25" s="66" t="str">
        <f>IF([1]UV!C42="","",[1]UV!C42)</f>
        <v/>
      </c>
      <c r="C25" s="66"/>
      <c r="D25" s="373" t="str">
        <f>IF([1]UV!E42="","",[1]UV!E42)</f>
        <v/>
      </c>
      <c r="E25" s="374" t="str">
        <f>IF([1]UV!S42="","",[1]UV!S42)</f>
        <v/>
      </c>
      <c r="F25" s="103"/>
      <c r="G25" s="375" t="str">
        <f>IF([1]UV!K42="","",[1]UV!K42)</f>
        <v/>
      </c>
      <c r="H25" s="116" t="str">
        <f>IF([1]UV!T42="","",[1]UV!T42)</f>
        <v/>
      </c>
      <c r="I25" s="616"/>
      <c r="J25" s="616"/>
      <c r="L25" s="529"/>
      <c r="M25" s="603"/>
    </row>
    <row r="26" spans="2:13" ht="14.1" hidden="1" customHeight="1" x14ac:dyDescent="0.2">
      <c r="B26" s="66" t="str">
        <f>IF([1]UV!C44="","",[1]UV!C44)</f>
        <v/>
      </c>
      <c r="C26" s="66"/>
      <c r="D26" s="373" t="str">
        <f>IF([1]UV!E44="","",[1]UV!E44)</f>
        <v/>
      </c>
      <c r="E26" s="374" t="str">
        <f>IF([1]UV!S44="","",[1]UV!S44)</f>
        <v/>
      </c>
      <c r="F26" s="103"/>
      <c r="G26" s="375" t="str">
        <f>IF([1]UV!K44="","",[1]UV!K44)</f>
        <v/>
      </c>
      <c r="H26" s="116" t="str">
        <f>IF([1]UV!T44="","",[1]UV!T44)</f>
        <v/>
      </c>
      <c r="I26" s="616"/>
      <c r="J26" s="616"/>
      <c r="L26" s="529"/>
      <c r="M26" s="603"/>
    </row>
    <row r="27" spans="2:13" ht="14.1" hidden="1" customHeight="1" x14ac:dyDescent="0.2">
      <c r="B27" s="376" t="str">
        <f>"Summe "&amp;B21</f>
        <v>Summe SCHWEINE</v>
      </c>
      <c r="C27" s="377"/>
      <c r="D27" s="128"/>
      <c r="E27" s="128"/>
      <c r="F27" s="610" t="str">
        <f>IF(SUM(F22:F26)=0,"",SUM(F22:F26))</f>
        <v/>
      </c>
      <c r="G27" s="128"/>
      <c r="H27" s="379"/>
      <c r="I27" s="611" t="str">
        <f>IF(SUM(I22:I26)=0,"",SUM(I22:I26))</f>
        <v/>
      </c>
      <c r="J27" s="611" t="str">
        <f>IF(SUM(J22:J26)=0,"",SUM(J22:J26))</f>
        <v/>
      </c>
      <c r="L27" s="529"/>
      <c r="M27" s="603"/>
    </row>
    <row r="28" spans="2:13" ht="6" hidden="1" customHeight="1" x14ac:dyDescent="0.2">
      <c r="B28" s="56"/>
      <c r="C28" s="56"/>
      <c r="E28" s="56"/>
      <c r="F28" s="56"/>
      <c r="H28" s="56"/>
      <c r="I28" s="56"/>
      <c r="J28" s="56"/>
      <c r="L28" s="529"/>
      <c r="M28" s="603"/>
    </row>
    <row r="29" spans="2:13" ht="14.1" customHeight="1" x14ac:dyDescent="0.2">
      <c r="B29" s="87" t="s">
        <v>262</v>
      </c>
      <c r="C29" s="87"/>
      <c r="D29" s="64"/>
      <c r="E29" s="64"/>
      <c r="F29" s="64"/>
      <c r="G29" s="64"/>
      <c r="H29" s="64"/>
      <c r="I29" s="64"/>
      <c r="J29" s="64"/>
      <c r="L29" s="529"/>
      <c r="M29" s="603"/>
    </row>
    <row r="30" spans="2:13" ht="14.1" customHeight="1" x14ac:dyDescent="0.2">
      <c r="B30" s="87" t="s">
        <v>263</v>
      </c>
      <c r="C30" s="87"/>
      <c r="D30" s="64"/>
      <c r="E30" s="64"/>
      <c r="F30" s="64"/>
      <c r="G30" s="64"/>
      <c r="H30" s="64"/>
      <c r="I30" s="64"/>
      <c r="J30" s="64"/>
      <c r="L30" s="529"/>
      <c r="M30" s="603"/>
    </row>
    <row r="31" spans="2:13" ht="14.1" customHeight="1" x14ac:dyDescent="0.2">
      <c r="B31" s="66" t="str">
        <f>IF([1]UV!C50="","",[1]UV!C50)</f>
        <v>Gerste</v>
      </c>
      <c r="C31" s="66"/>
      <c r="D31" s="373">
        <f>IF([1]UV!E50="","",[1]UV!E50)</f>
        <v>25</v>
      </c>
      <c r="E31" s="374">
        <f>IF([1]UV!S50="","",[1]UV!S50)</f>
        <v>0.13</v>
      </c>
      <c r="F31" s="103">
        <f>IF($B31="","",D31*E31)</f>
        <v>3.25</v>
      </c>
      <c r="G31" s="375">
        <f>IF([1]UV!K50="","",[1]UV!K50)</f>
        <v>100</v>
      </c>
      <c r="H31" s="116">
        <f>IF([1]UV!T50="","",[1]UV!T50)</f>
        <v>0.13</v>
      </c>
      <c r="I31" s="616">
        <f>IF($B31="","",G31*H31)</f>
        <v>13</v>
      </c>
      <c r="J31" s="616">
        <f>IF($B31="","",I31-F31)</f>
        <v>9.75</v>
      </c>
      <c r="L31" s="529"/>
      <c r="M31" s="603"/>
    </row>
    <row r="32" spans="2:13" ht="14.1" customHeight="1" thickBot="1" x14ac:dyDescent="0.25">
      <c r="B32" s="66" t="str">
        <f>IF([1]UV!C52="","",[1]UV!C52)</f>
        <v>Hafer</v>
      </c>
      <c r="C32" s="66"/>
      <c r="D32" s="373">
        <f>IF([1]UV!E52="","",[1]UV!E52)</f>
        <v>4</v>
      </c>
      <c r="E32" s="374">
        <f>IF([1]UV!S52="","",[1]UV!S52)</f>
        <v>0.15</v>
      </c>
      <c r="F32" s="612">
        <f>D32*E32</f>
        <v>0.6</v>
      </c>
      <c r="G32" s="375">
        <f>IF([1]UV!K52="","",[1]UV!K52)</f>
        <v>25</v>
      </c>
      <c r="H32" s="116">
        <f>IF([1]UV!T52="","",[1]UV!T52)</f>
        <v>0.15</v>
      </c>
      <c r="I32" s="613">
        <f>G32*H32</f>
        <v>3.75</v>
      </c>
      <c r="J32" s="613">
        <f>I32-F32</f>
        <v>3.15</v>
      </c>
      <c r="L32" s="529"/>
      <c r="M32" s="603"/>
    </row>
    <row r="33" spans="2:13" ht="14.1" customHeight="1" thickBot="1" x14ac:dyDescent="0.25">
      <c r="B33" s="66" t="str">
        <f>IF([1]UV!C54="","",[1]UV!C54)</f>
        <v>Kartoffel</v>
      </c>
      <c r="C33" s="66"/>
      <c r="D33" s="373">
        <f>IF([1]UV!E54="","",[1]UV!E54)</f>
        <v>1450</v>
      </c>
      <c r="E33" s="374">
        <f>IF([1]UV!S54="","",[1]UV!S54)</f>
        <v>0.21</v>
      </c>
      <c r="F33" s="608">
        <f>D33*E33</f>
        <v>304.5</v>
      </c>
      <c r="G33" s="375">
        <f>IF([1]UV!K54="","",[1]UV!K54)</f>
        <v>650</v>
      </c>
      <c r="H33" s="116">
        <f>IF([1]UV!T54="","",[1]UV!T54)</f>
        <v>0.21</v>
      </c>
      <c r="I33" s="609">
        <f>G33*H33</f>
        <v>136.5</v>
      </c>
      <c r="J33" s="609">
        <f>I33-F33</f>
        <v>-168</v>
      </c>
      <c r="L33" s="529"/>
      <c r="M33" s="603"/>
    </row>
    <row r="34" spans="2:13" ht="14.1" customHeight="1" x14ac:dyDescent="0.2">
      <c r="B34" s="66" t="str">
        <f>IF([1]UV!C56="","",[1]UV!C56)</f>
        <v/>
      </c>
      <c r="C34" s="66"/>
      <c r="D34" s="373" t="str">
        <f>IF([1]UV!E56="","",[1]UV!E56)</f>
        <v/>
      </c>
      <c r="E34" s="374" t="str">
        <f>IF([1]UV!S56="","",[1]UV!S56)</f>
        <v/>
      </c>
      <c r="F34" s="614"/>
      <c r="G34" s="375" t="str">
        <f>IF([1]UV!K56="","",[1]UV!K56)</f>
        <v/>
      </c>
      <c r="H34" s="116" t="str">
        <f>IF([1]UV!T56="","",[1]UV!T56)</f>
        <v/>
      </c>
      <c r="I34" s="615"/>
      <c r="J34" s="615"/>
      <c r="L34" s="529"/>
      <c r="M34" s="603"/>
    </row>
    <row r="35" spans="2:13" ht="14.1" customHeight="1" thickBot="1" x14ac:dyDescent="0.25">
      <c r="B35" s="66" t="str">
        <f>IF([1]UV!C58="","",[1]UV!C58)</f>
        <v/>
      </c>
      <c r="C35" s="66"/>
      <c r="D35" s="373" t="str">
        <f>IF([1]UV!E58="","",[1]UV!E58)</f>
        <v/>
      </c>
      <c r="E35" s="374" t="str">
        <f>IF([1]UV!S58="","",[1]UV!S58)</f>
        <v/>
      </c>
      <c r="F35" s="612"/>
      <c r="G35" s="375" t="str">
        <f>IF([1]UV!K58="","",[1]UV!K58)</f>
        <v/>
      </c>
      <c r="H35" s="116" t="str">
        <f>IF([1]UV!T58="","",[1]UV!T58)</f>
        <v/>
      </c>
      <c r="I35" s="613"/>
      <c r="J35" s="613"/>
      <c r="L35" s="529"/>
      <c r="M35" s="603"/>
    </row>
    <row r="36" spans="2:13" ht="14.1" customHeight="1" thickBot="1" x14ac:dyDescent="0.25">
      <c r="B36" s="376" t="s">
        <v>264</v>
      </c>
      <c r="C36" s="377"/>
      <c r="D36" s="128"/>
      <c r="E36" s="128"/>
      <c r="F36" s="378">
        <f>SUM(F31:F35)</f>
        <v>308.35000000000002</v>
      </c>
      <c r="G36" s="128"/>
      <c r="H36" s="379"/>
      <c r="I36" s="380">
        <f t="shared" ref="I36:J36" si="4">SUM(I31:I35)</f>
        <v>153.25</v>
      </c>
      <c r="J36" s="380">
        <f t="shared" si="4"/>
        <v>-155.1</v>
      </c>
      <c r="L36" s="529"/>
      <c r="M36" s="603"/>
    </row>
    <row r="37" spans="2:13" ht="6" customHeight="1" thickBot="1" x14ac:dyDescent="0.25">
      <c r="B37" s="56"/>
      <c r="C37" s="56"/>
      <c r="E37" s="56"/>
      <c r="F37" s="56"/>
      <c r="H37" s="56"/>
      <c r="I37" s="56"/>
      <c r="J37" s="56"/>
      <c r="L37" s="529"/>
      <c r="M37" s="603"/>
    </row>
    <row r="38" spans="2:13" ht="13.5" thickBot="1" x14ac:dyDescent="0.25">
      <c r="B38" s="56"/>
      <c r="C38" s="381"/>
      <c r="D38" s="382" t="s">
        <v>258</v>
      </c>
      <c r="E38" s="56"/>
      <c r="F38" s="383" t="s">
        <v>259</v>
      </c>
      <c r="H38" s="56"/>
      <c r="I38" s="56"/>
      <c r="J38" s="56"/>
      <c r="L38" s="529"/>
      <c r="M38" s="603"/>
    </row>
    <row r="39" spans="2:13" ht="3.95" customHeight="1" thickBot="1" x14ac:dyDescent="0.25">
      <c r="B39" s="56"/>
      <c r="C39" s="56"/>
      <c r="D39" s="382"/>
      <c r="E39" s="56"/>
      <c r="F39" s="56"/>
      <c r="H39" s="56"/>
      <c r="I39" s="56"/>
      <c r="J39" s="56"/>
      <c r="L39" s="529"/>
      <c r="M39" s="603"/>
    </row>
    <row r="40" spans="2:13" ht="13.5" thickBot="1" x14ac:dyDescent="0.25">
      <c r="B40" s="56"/>
      <c r="C40" s="381"/>
      <c r="D40" s="382" t="s">
        <v>260</v>
      </c>
      <c r="E40" s="56"/>
      <c r="F40" s="56"/>
      <c r="H40" s="56"/>
      <c r="I40" s="56"/>
      <c r="J40" s="56"/>
      <c r="L40" s="529"/>
      <c r="M40" s="603"/>
    </row>
    <row r="41" spans="2:13" ht="3.95" customHeight="1" thickBot="1" x14ac:dyDescent="0.25">
      <c r="B41" s="56"/>
      <c r="C41" s="56"/>
      <c r="D41" s="382"/>
      <c r="E41" s="56"/>
      <c r="F41" s="56"/>
      <c r="H41" s="56"/>
      <c r="I41" s="56"/>
      <c r="J41" s="56"/>
      <c r="L41" s="529"/>
      <c r="M41" s="603"/>
    </row>
    <row r="42" spans="2:13" ht="13.5" thickBot="1" x14ac:dyDescent="0.25">
      <c r="B42" s="56"/>
      <c r="C42" s="381" t="s">
        <v>1</v>
      </c>
      <c r="D42" s="382" t="s">
        <v>261</v>
      </c>
      <c r="E42" s="56"/>
      <c r="F42" s="56"/>
      <c r="H42" s="56"/>
      <c r="I42" s="56"/>
      <c r="J42" s="56"/>
      <c r="L42" s="529"/>
      <c r="M42" s="603"/>
    </row>
    <row r="43" spans="2:13" ht="6" customHeight="1" x14ac:dyDescent="0.2">
      <c r="B43" s="56"/>
      <c r="C43" s="56"/>
      <c r="E43" s="56"/>
      <c r="F43" s="56"/>
      <c r="H43" s="56"/>
      <c r="I43" s="56"/>
      <c r="J43" s="56"/>
      <c r="L43" s="529"/>
      <c r="M43" s="603"/>
    </row>
    <row r="44" spans="2:13" ht="14.1" customHeight="1" x14ac:dyDescent="0.2">
      <c r="B44" s="87" t="s">
        <v>265</v>
      </c>
      <c r="C44" s="87"/>
      <c r="D44" s="64"/>
      <c r="E44" s="64"/>
      <c r="F44" s="64"/>
      <c r="G44" s="64"/>
      <c r="H44" s="64"/>
      <c r="I44" s="64"/>
      <c r="J44" s="64"/>
      <c r="L44" s="529"/>
      <c r="M44" s="603"/>
    </row>
    <row r="45" spans="2:13" ht="14.1" customHeight="1" x14ac:dyDescent="0.2">
      <c r="B45" s="66" t="str">
        <f>IF([1]UV!C64="","",[1]UV!C64)</f>
        <v>Milchkraftfutter</v>
      </c>
      <c r="C45" s="66"/>
      <c r="D45" s="373">
        <f>IF([1]UV!E64="","",[1]UV!E64)</f>
        <v>260</v>
      </c>
      <c r="E45" s="374">
        <f>IF([1]UV!S64="","",[1]UV!S64)</f>
        <v>0.24</v>
      </c>
      <c r="F45" s="103">
        <f>IF($B45="","",D45*E45)</f>
        <v>62.4</v>
      </c>
      <c r="G45" s="375">
        <f>IF([1]UV!K64="","",[1]UV!K64)</f>
        <v>600</v>
      </c>
      <c r="H45" s="116">
        <f>IF([1]UV!T64="","",[1]UV!T64)</f>
        <v>0.24</v>
      </c>
      <c r="I45" s="616">
        <f>IF($B45="","",G45*H45)</f>
        <v>144</v>
      </c>
      <c r="J45" s="616">
        <f>IF($B45="","",I45-F45)</f>
        <v>81.599999999999994</v>
      </c>
      <c r="L45" s="529"/>
      <c r="M45" s="603"/>
    </row>
    <row r="46" spans="2:13" ht="14.1" customHeight="1" x14ac:dyDescent="0.2">
      <c r="B46" s="66" t="str">
        <f>IF([1]UV!C66="","",[1]UV!C66)</f>
        <v>Weizenschrot</v>
      </c>
      <c r="C46" s="66"/>
      <c r="D46" s="373">
        <f>IF([1]UV!E66="","",[1]UV!E66)</f>
        <v>169</v>
      </c>
      <c r="E46" s="374">
        <f>IF([1]UV!S66="","",[1]UV!S66)</f>
        <v>0.23</v>
      </c>
      <c r="F46" s="103">
        <f>IF($B46="","",D46*E46)</f>
        <v>38.870000000000005</v>
      </c>
      <c r="G46" s="375">
        <f>IF([1]UV!K66="","",[1]UV!K66)</f>
        <v>300</v>
      </c>
      <c r="H46" s="116">
        <f>IF([1]UV!T66="","",[1]UV!T66)</f>
        <v>0.23</v>
      </c>
      <c r="I46" s="616">
        <f>IF($B46="","",G46*H46)</f>
        <v>69</v>
      </c>
      <c r="J46" s="616">
        <f>IF($B46="","",I46-F46)</f>
        <v>30.129999999999995</v>
      </c>
      <c r="L46" s="529"/>
      <c r="M46" s="603"/>
    </row>
    <row r="47" spans="2:13" ht="14.1" customHeight="1" x14ac:dyDescent="0.2">
      <c r="B47" s="66" t="str">
        <f>IF([1]UV!C68="","",[1]UV!C68)</f>
        <v>Erbsenschrot</v>
      </c>
      <c r="C47" s="66"/>
      <c r="D47" s="373">
        <f>IF([1]UV!E68="","",[1]UV!E68)</f>
        <v>55</v>
      </c>
      <c r="E47" s="374">
        <f>IF([1]UV!S68="","",[1]UV!S68)</f>
        <v>0.2</v>
      </c>
      <c r="F47" s="103">
        <f>IF($B47="","",D47*E47)</f>
        <v>11</v>
      </c>
      <c r="G47" s="375">
        <f>IF([1]UV!K68="","",[1]UV!K68)</f>
        <v>100</v>
      </c>
      <c r="H47" s="116">
        <f>IF([1]UV!T68="","",[1]UV!T68)</f>
        <v>0.2</v>
      </c>
      <c r="I47" s="616">
        <f>IF($B47="","",G47*H47)</f>
        <v>20</v>
      </c>
      <c r="J47" s="616">
        <f>IF($B47="","",I47-F47)</f>
        <v>9</v>
      </c>
      <c r="L47" s="529"/>
      <c r="M47" s="603"/>
    </row>
    <row r="48" spans="2:13" ht="14.1" customHeight="1" x14ac:dyDescent="0.2">
      <c r="B48" s="66" t="str">
        <f>IF([1]UV!C70="","",[1]UV!C70)</f>
        <v/>
      </c>
      <c r="C48" s="66"/>
      <c r="D48" s="373" t="str">
        <f>IF([1]UV!E70="","",[1]UV!E70)</f>
        <v/>
      </c>
      <c r="E48" s="374" t="str">
        <f>IF([1]UV!S70="","",[1]UV!S70)</f>
        <v/>
      </c>
      <c r="F48" s="103"/>
      <c r="G48" s="375" t="str">
        <f>IF([1]UV!K70="","",[1]UV!K70)</f>
        <v/>
      </c>
      <c r="H48" s="116" t="str">
        <f>IF([1]UV!T70="","",[1]UV!T70)</f>
        <v/>
      </c>
      <c r="I48" s="616"/>
      <c r="J48" s="616"/>
      <c r="L48" s="529"/>
      <c r="M48" s="603"/>
    </row>
    <row r="49" spans="2:13" ht="14.1" customHeight="1" x14ac:dyDescent="0.2">
      <c r="B49" s="66" t="str">
        <f>IF([1]UV!C72="","",[1]UV!C72)</f>
        <v/>
      </c>
      <c r="C49" s="66"/>
      <c r="D49" s="373" t="str">
        <f>IF([1]UV!E72="","",[1]UV!E72)</f>
        <v/>
      </c>
      <c r="E49" s="374" t="str">
        <f>IF([1]UV!S72="","",[1]UV!S72)</f>
        <v/>
      </c>
      <c r="F49" s="103"/>
      <c r="G49" s="375" t="str">
        <f>IF([1]UV!K72="","",[1]UV!K72)</f>
        <v/>
      </c>
      <c r="H49" s="116" t="str">
        <f>IF([1]UV!T72="","",[1]UV!T72)</f>
        <v/>
      </c>
      <c r="I49" s="616"/>
      <c r="J49" s="616"/>
      <c r="L49" s="529"/>
      <c r="M49" s="603"/>
    </row>
    <row r="50" spans="2:13" ht="14.1" customHeight="1" x14ac:dyDescent="0.2">
      <c r="B50" s="376" t="s">
        <v>266</v>
      </c>
      <c r="C50" s="377"/>
      <c r="D50" s="128"/>
      <c r="E50" s="128"/>
      <c r="F50" s="610">
        <f>IF(SUM(F45:F47)=0,"",SUM(F45:F47))</f>
        <v>112.27000000000001</v>
      </c>
      <c r="G50" s="128"/>
      <c r="H50" s="379"/>
      <c r="I50" s="611">
        <f>IF(SUM(I45:I47)=0,"",SUM(I45:I47))</f>
        <v>233</v>
      </c>
      <c r="J50" s="611">
        <f>IF(SUM(J45:J47)=0,"",SUM(J45:J47))</f>
        <v>120.72999999999999</v>
      </c>
      <c r="L50" s="529"/>
      <c r="M50" s="603"/>
    </row>
    <row r="51" spans="2:13" ht="15.95" customHeight="1" x14ac:dyDescent="0.2">
      <c r="D51" s="83"/>
      <c r="E51" s="385"/>
      <c r="F51" s="385"/>
      <c r="G51" s="83"/>
      <c r="H51" s="385"/>
      <c r="I51" s="385"/>
      <c r="J51" s="385"/>
      <c r="L51" s="529"/>
      <c r="M51" s="603"/>
    </row>
    <row r="52" spans="2:13" ht="14.1" customHeight="1" x14ac:dyDescent="0.2">
      <c r="B52" s="87" t="s">
        <v>267</v>
      </c>
      <c r="C52" s="87"/>
      <c r="D52" s="64"/>
      <c r="E52" s="64"/>
      <c r="F52" s="64"/>
      <c r="H52" s="56"/>
      <c r="I52" s="56"/>
      <c r="J52" s="56"/>
      <c r="L52" s="529"/>
      <c r="M52" s="603"/>
    </row>
    <row r="53" spans="2:13" ht="14.1" customHeight="1" x14ac:dyDescent="0.2">
      <c r="B53" s="386" t="str">
        <f>IF([1]UV!C76="","",[1]UV!C76)</f>
        <v>Kassa</v>
      </c>
      <c r="C53" s="386"/>
      <c r="D53" s="386"/>
      <c r="E53" s="386"/>
      <c r="F53" s="103">
        <f>IF([1]UV!S76="","",[1]UV!S76)</f>
        <v>2441</v>
      </c>
      <c r="H53" s="56"/>
      <c r="I53" s="56"/>
      <c r="J53" s="56"/>
      <c r="L53" s="529"/>
      <c r="M53" s="603"/>
    </row>
    <row r="54" spans="2:13" ht="14.1" customHeight="1" x14ac:dyDescent="0.2">
      <c r="B54" s="386" t="str">
        <f>IF([1]UV!C78="","",[1]UV!C78)</f>
        <v>Girokonto</v>
      </c>
      <c r="C54" s="386"/>
      <c r="D54" s="386"/>
      <c r="E54" s="386"/>
      <c r="F54" s="103">
        <f>IF([1]UV!S78="","",[1]UV!S78)</f>
        <v>18008</v>
      </c>
      <c r="H54" s="56"/>
      <c r="I54" s="56"/>
      <c r="J54" s="56"/>
      <c r="L54" s="529"/>
      <c r="M54" s="603"/>
    </row>
    <row r="55" spans="2:13" ht="14.1" customHeight="1" x14ac:dyDescent="0.2">
      <c r="B55" s="386" t="str">
        <f>IF([1]UV!C80="","",[1]UV!C80)</f>
        <v>Offene Forderungen: Gasthof Sonne</v>
      </c>
      <c r="C55" s="386"/>
      <c r="D55" s="386"/>
      <c r="E55" s="386"/>
      <c r="F55" s="103">
        <f>IF([1]UV!S80="","",[1]UV!S80)</f>
        <v>1067</v>
      </c>
      <c r="H55" s="56"/>
      <c r="I55" s="56"/>
      <c r="J55" s="56"/>
      <c r="L55" s="529"/>
      <c r="M55" s="603"/>
    </row>
    <row r="56" spans="2:13" ht="14.1" customHeight="1" x14ac:dyDescent="0.2">
      <c r="B56" s="386" t="str">
        <f>IF([1]UV!C82="","",[1]UV!C82)</f>
        <v>Verbindlichkeiten Futtermittellieferanten</v>
      </c>
      <c r="C56" s="386"/>
      <c r="D56" s="386"/>
      <c r="E56" s="386"/>
      <c r="F56" s="103">
        <f>IF([1]UV!S82="","",[1]UV!S82)</f>
        <v>749</v>
      </c>
      <c r="H56" s="56"/>
      <c r="I56" s="56"/>
      <c r="J56" s="56"/>
      <c r="L56" s="529"/>
      <c r="M56" s="603"/>
    </row>
    <row r="57" spans="2:13" ht="14.1" customHeight="1" x14ac:dyDescent="0.2">
      <c r="B57" s="386" t="str">
        <f>IF([1]UV!C84="","",[1]UV!C84)</f>
        <v>Darlehen</v>
      </c>
      <c r="C57" s="386"/>
      <c r="D57" s="386"/>
      <c r="E57" s="386"/>
      <c r="F57" s="103">
        <f>IF([1]UV!S84="","",[1]UV!S84)</f>
        <v>7980</v>
      </c>
      <c r="H57" s="56"/>
      <c r="I57" s="56"/>
      <c r="J57" s="56"/>
      <c r="L57" s="529"/>
      <c r="M57" s="603"/>
    </row>
    <row r="58" spans="2:13" ht="14.1" customHeight="1" x14ac:dyDescent="0.2">
      <c r="B58" s="386" t="str">
        <f>IF([1]UV!C86="","",[1]UV!C86)</f>
        <v/>
      </c>
      <c r="C58" s="386"/>
      <c r="D58" s="386"/>
      <c r="E58" s="386"/>
      <c r="F58" s="103" t="str">
        <f>IF([1]UV!S86="","",[1]UV!S86)</f>
        <v/>
      </c>
      <c r="H58" s="56"/>
      <c r="I58" s="56"/>
      <c r="J58" s="56"/>
      <c r="L58" s="529"/>
      <c r="M58" s="603"/>
    </row>
    <row r="59" spans="2:13" ht="14.1" customHeight="1" x14ac:dyDescent="0.2">
      <c r="B59" s="386" t="str">
        <f>IF([1]UV!C88="","",[1]UV!C88)</f>
        <v/>
      </c>
      <c r="C59" s="386"/>
      <c r="D59" s="386"/>
      <c r="E59" s="386"/>
      <c r="F59" s="103" t="str">
        <f>IF([1]UV!S88="","",[1]UV!S88)</f>
        <v/>
      </c>
      <c r="H59" s="56"/>
      <c r="I59" s="56"/>
      <c r="J59" s="56"/>
      <c r="L59" s="529"/>
      <c r="M59" s="603"/>
    </row>
    <row r="60" spans="2:13" ht="12.75" x14ac:dyDescent="0.2">
      <c r="E60" s="56"/>
      <c r="L60" s="529"/>
      <c r="M60" s="603"/>
    </row>
    <row r="61" spans="2:13" ht="12.75" hidden="1" x14ac:dyDescent="0.2"/>
    <row r="62" spans="2:13" ht="12.75" hidden="1" x14ac:dyDescent="0.2"/>
    <row r="63" spans="2:13" ht="12.75" hidden="1" x14ac:dyDescent="0.2"/>
    <row r="64" spans="2:13" ht="15.75" hidden="1" customHeight="1" x14ac:dyDescent="0.2"/>
  </sheetData>
  <sheetProtection sheet="1" objects="1" scenarios="1"/>
  <mergeCells count="4">
    <mergeCell ref="D3:E3"/>
    <mergeCell ref="G3:H3"/>
    <mergeCell ref="J3:J4"/>
    <mergeCell ref="M1:M4"/>
  </mergeCells>
  <phoneticPr fontId="0" type="noConversion"/>
  <conditionalFormatting sqref="C42 C19 C17 C15 C38 C40">
    <cfRule type="cellIs" dxfId="31" priority="1" stopIfTrue="1" operator="equal">
      <formula>0</formula>
    </cfRule>
  </conditionalFormatting>
  <conditionalFormatting sqref="F53:F57 G31:H33 G22:H22 D22:E22 D45:E47 D31:E33 D6:E8 G45:H47 G6:H8">
    <cfRule type="cellIs" dxfId="30" priority="2" stopIfTrue="1" operator="equal">
      <formula>""</formula>
    </cfRule>
  </conditionalFormatting>
  <conditionalFormatting sqref="F45:F47 F22 F31:F33 F6:F8">
    <cfRule type="expression" dxfId="29" priority="3" stopIfTrue="1">
      <formula>AND($B6="",$D6="",$E6="")</formula>
    </cfRule>
  </conditionalFormatting>
  <conditionalFormatting sqref="I45:I47 I22 I31:I33 I6:I8">
    <cfRule type="expression" dxfId="28" priority="4" stopIfTrue="1">
      <formula>AND($B6="",$G6="",$H6="")</formula>
    </cfRule>
  </conditionalFormatting>
  <conditionalFormatting sqref="J45:J47 J22 J31:J33 J6:J8">
    <cfRule type="expression" dxfId="27" priority="5" stopIfTrue="1">
      <formula>AND($B6="",$F6="",$I6="")</formula>
    </cfRule>
  </conditionalFormatting>
  <printOptions horizontalCentered="1"/>
  <pageMargins left="0.39370078740157483" right="0.39370078740157483" top="0.59055118110236227" bottom="0.39370078740157483" header="0" footer="0"/>
  <pageSetup paperSize="9" orientation="portrait" blackAndWhite="1" horizontalDpi="4294967295" verticalDpi="300" r:id="rId1"/>
  <headerFooter alignWithMargins="0">
    <oddHeader>&amp;R&amp;8&amp;U&amp;F - Seite &amp;P/&amp;N</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1">
    <tabColor indexed="10"/>
  </sheetPr>
  <dimension ref="A1:M72"/>
  <sheetViews>
    <sheetView showGridLines="0" zoomScaleNormal="100" workbookViewId="0">
      <pane ySplit="5" topLeftCell="A6" activePane="bottomLeft" state="frozen"/>
      <selection activeCell="J26" sqref="J26"/>
      <selection pane="bottomLeft" activeCell="J26" sqref="J26"/>
    </sheetView>
  </sheetViews>
  <sheetFormatPr baseColWidth="10" defaultColWidth="0" defaultRowHeight="0" customHeight="1" zeroHeight="1" x14ac:dyDescent="0.2"/>
  <cols>
    <col min="1" max="1" width="2.7109375" style="56" customWidth="1"/>
    <col min="2" max="2" width="20.7109375" style="56" customWidth="1"/>
    <col min="3" max="3" width="6.7109375" style="56" customWidth="1"/>
    <col min="4" max="4" width="5.28515625" style="56" customWidth="1"/>
    <col min="5" max="5" width="10.7109375" style="56" customWidth="1"/>
    <col min="6" max="7" width="4.7109375" style="56" customWidth="1"/>
    <col min="8" max="8" width="10.7109375" style="56" customWidth="1"/>
    <col min="9" max="9" width="9.7109375" style="56" customWidth="1"/>
    <col min="10" max="10" width="10.7109375" style="56" customWidth="1"/>
    <col min="11" max="11" width="2.7109375" style="56" customWidth="1"/>
    <col min="12" max="12" width="0.85546875" style="1" customWidth="1"/>
    <col min="13" max="13" width="20.7109375" style="1" customWidth="1"/>
    <col min="14" max="16384" width="11.5703125" style="56" hidden="1"/>
  </cols>
  <sheetData>
    <row r="1" spans="1:13" ht="24.95" customHeight="1" x14ac:dyDescent="0.2">
      <c r="A1" s="16"/>
      <c r="B1" s="17" t="str">
        <f>"Anlagenverzeichnis "&amp;IF([1]AV!A1="","",[1]AV!A1)</f>
        <v>Anlagenverzeichnis 2020</v>
      </c>
      <c r="C1" s="17"/>
      <c r="D1" s="17"/>
      <c r="E1" s="17"/>
      <c r="F1" s="17"/>
      <c r="G1" s="17"/>
      <c r="H1" s="17"/>
      <c r="I1" s="17"/>
      <c r="J1" s="17"/>
      <c r="K1" s="17"/>
      <c r="L1" s="261"/>
      <c r="M1" s="1304" t="s">
        <v>11</v>
      </c>
    </row>
    <row r="2" spans="1:13" ht="30" customHeight="1" x14ac:dyDescent="0.2">
      <c r="L2" s="264"/>
      <c r="M2" s="1304"/>
    </row>
    <row r="3" spans="1:13" s="53" customFormat="1" ht="15.95" customHeight="1" x14ac:dyDescent="0.2">
      <c r="B3" s="1277" t="str">
        <f>"INVENTURLISTE FÜR DAS JAHR "&amp;IF([1]AV!A1="","",[1]AV!A1)</f>
        <v>INVENTURLISTE FÜR DAS JAHR 2020</v>
      </c>
      <c r="C3" s="1277"/>
      <c r="D3" s="1277"/>
      <c r="E3" s="1277"/>
      <c r="F3" s="1277"/>
      <c r="G3" s="1277"/>
      <c r="H3" s="1277"/>
      <c r="I3" s="1315"/>
      <c r="J3" s="1315"/>
      <c r="L3" s="267"/>
      <c r="M3" s="1304"/>
    </row>
    <row r="4" spans="1:13" s="53" customFormat="1" ht="15.95" customHeight="1" x14ac:dyDescent="0.2">
      <c r="B4" s="30"/>
      <c r="C4" s="19" t="s">
        <v>268</v>
      </c>
      <c r="D4" s="19" t="s">
        <v>269</v>
      </c>
      <c r="E4" s="31" t="s">
        <v>270</v>
      </c>
      <c r="F4" s="19" t="s">
        <v>271</v>
      </c>
      <c r="G4" s="19" t="s">
        <v>272</v>
      </c>
      <c r="H4" s="31" t="s">
        <v>273</v>
      </c>
      <c r="I4" s="31" t="s">
        <v>274</v>
      </c>
      <c r="J4" s="31" t="s">
        <v>275</v>
      </c>
      <c r="L4" s="267"/>
      <c r="M4" s="1304"/>
    </row>
    <row r="5" spans="1:13" s="53" customFormat="1" ht="15.95" customHeight="1" x14ac:dyDescent="0.2">
      <c r="B5" s="30"/>
      <c r="C5" s="19" t="s">
        <v>276</v>
      </c>
      <c r="D5" s="19" t="s">
        <v>277</v>
      </c>
      <c r="E5" s="31" t="s">
        <v>278</v>
      </c>
      <c r="F5" s="19" t="s">
        <v>279</v>
      </c>
      <c r="G5" s="19" t="s">
        <v>280</v>
      </c>
      <c r="H5" s="387">
        <f>IF([1]AV!A1="","",[1]AV!A1)</f>
        <v>2020</v>
      </c>
      <c r="I5" s="162" t="s">
        <v>281</v>
      </c>
      <c r="J5" s="387">
        <f>IF([1]AV!A1="","",[1]AV!A1)</f>
        <v>2020</v>
      </c>
      <c r="L5" s="267"/>
      <c r="M5" s="1304"/>
    </row>
    <row r="6" spans="1:13" s="53" customFormat="1" ht="20.100000000000001" customHeight="1" x14ac:dyDescent="0.2">
      <c r="B6" s="30" t="str">
        <f>IF([1]AV!B12="","",[1]AV!B12)</f>
        <v>Grundverbesserungen</v>
      </c>
      <c r="C6" s="19"/>
      <c r="D6" s="19"/>
      <c r="E6" s="19"/>
      <c r="F6" s="19"/>
      <c r="G6" s="19"/>
      <c r="H6" s="19"/>
      <c r="I6" s="19"/>
      <c r="J6" s="19"/>
      <c r="L6" s="267"/>
      <c r="M6" s="1304"/>
    </row>
    <row r="7" spans="1:13" s="53" customFormat="1" ht="15.95" customHeight="1" x14ac:dyDescent="0.2">
      <c r="B7" s="20" t="str">
        <f>IF([1]AV!C15="","",[1]AV!C15)</f>
        <v>Rohrdrainage</v>
      </c>
      <c r="C7" s="388" t="str">
        <f>IF([1]AV!E15="","",[1]AV!E15&amp;" "&amp;[1]AV!F15)</f>
        <v/>
      </c>
      <c r="D7" s="145">
        <f>IF([1]AV!H15="","",[1]AV!H15)</f>
        <v>1997</v>
      </c>
      <c r="E7" s="34">
        <f>IF([1]AV!Q15="","",[1]AV!Q15)</f>
        <v>912</v>
      </c>
      <c r="F7" s="150">
        <f>IF([1]AV!L15="","",[1]AV!L15)</f>
        <v>16</v>
      </c>
      <c r="G7" s="537">
        <f>$H$5-D7</f>
        <v>23</v>
      </c>
      <c r="H7" s="34">
        <f>IF(G7&lt;F7,E7-((E7/F7)*G7),1)</f>
        <v>1</v>
      </c>
      <c r="I7" s="34">
        <f>IF(G7&gt;=F7,0,E7/F7)</f>
        <v>0</v>
      </c>
      <c r="J7" s="34">
        <f>IF(G7+1&gt;=F7,1,H7-I7)</f>
        <v>1</v>
      </c>
      <c r="L7" s="267"/>
      <c r="M7" s="268"/>
    </row>
    <row r="8" spans="1:13" s="53" customFormat="1" ht="15.95" customHeight="1" thickBot="1" x14ac:dyDescent="0.25">
      <c r="B8" s="20" t="str">
        <f>IF([1]AV!C17="","",[1]AV!C17)</f>
        <v/>
      </c>
      <c r="C8" s="388" t="str">
        <f>IF([1]AV!E17="","",[1]AV!E17&amp;" "&amp;[1]AV!F17)</f>
        <v/>
      </c>
      <c r="D8" s="145" t="str">
        <f>IF([1]AV!H17="","",[1]AV!H17)</f>
        <v/>
      </c>
      <c r="E8" s="34" t="str">
        <f>IF([1]AV!Q17="","",[1]AV!Q17)</f>
        <v/>
      </c>
      <c r="F8" s="150" t="str">
        <f>IF([1]AV!L17="","",[1]AV!L17)</f>
        <v/>
      </c>
      <c r="G8" s="537"/>
      <c r="H8" s="35"/>
      <c r="I8" s="35"/>
      <c r="J8" s="35"/>
      <c r="L8" s="267"/>
      <c r="M8" s="268"/>
    </row>
    <row r="9" spans="1:13" s="53" customFormat="1" ht="15.95" customHeight="1" thickBot="1" x14ac:dyDescent="0.25">
      <c r="B9" s="29" t="str">
        <f>"Summe "&amp;B6</f>
        <v>Summe Grundverbesserungen</v>
      </c>
      <c r="C9" s="389"/>
      <c r="D9" s="389"/>
      <c r="E9" s="389"/>
      <c r="F9" s="389"/>
      <c r="G9" s="389"/>
      <c r="H9" s="390">
        <f t="shared" ref="H9:J9" si="0">SUM(H7:H8)</f>
        <v>1</v>
      </c>
      <c r="I9" s="390">
        <f t="shared" si="0"/>
        <v>0</v>
      </c>
      <c r="J9" s="390">
        <f t="shared" si="0"/>
        <v>1</v>
      </c>
      <c r="L9" s="267"/>
      <c r="M9" s="268"/>
    </row>
    <row r="10" spans="1:13" s="53" customFormat="1" ht="20.100000000000001" customHeight="1" x14ac:dyDescent="0.2">
      <c r="B10" s="30" t="str">
        <f>IF([1]AV!B19="","",[1]AV!B19)</f>
        <v>Gebäude und bauliche Anlagen</v>
      </c>
      <c r="C10" s="30"/>
      <c r="D10" s="30"/>
      <c r="E10" s="30"/>
      <c r="F10" s="30"/>
      <c r="G10" s="30"/>
      <c r="H10" s="30"/>
      <c r="I10" s="30"/>
      <c r="J10" s="30"/>
      <c r="L10" s="264"/>
      <c r="M10" s="277"/>
    </row>
    <row r="11" spans="1:13" s="53" customFormat="1" ht="15.95" customHeight="1" x14ac:dyDescent="0.2">
      <c r="B11" s="20" t="str">
        <f>IF([1]AV!C22="","",[1]AV!C22)</f>
        <v>Stadel</v>
      </c>
      <c r="C11" s="388" t="str">
        <f>IF('2NGeb'!X61="","noch leer",'2NGeb'!X61&amp;'2NGeb'!Y61)</f>
        <v>672 m³</v>
      </c>
      <c r="D11" s="150">
        <f>IF('2NGeb'!B6="","noch leer",'2NGeb'!B6)</f>
        <v>1993</v>
      </c>
      <c r="E11" s="625">
        <f>IF('2NGeb'!T69="","noch leer",'2NGeb'!T69)</f>
        <v>20260.800000000003</v>
      </c>
      <c r="F11" s="617">
        <f>IF('2NGeb'!B7="","",'2NGeb'!B7)</f>
        <v>43</v>
      </c>
      <c r="G11" s="621">
        <f>$H$5-D11</f>
        <v>27</v>
      </c>
      <c r="H11" s="34">
        <f>'2NGeb'!P113</f>
        <v>7538.9023255813972</v>
      </c>
      <c r="I11" s="34">
        <f>'2NGeb'!P115</f>
        <v>471.18139534883727</v>
      </c>
      <c r="J11" s="34">
        <f>'2NGeb'!P117</f>
        <v>7067.72093023256</v>
      </c>
      <c r="L11" s="267"/>
      <c r="M11" s="268"/>
    </row>
    <row r="12" spans="1:13" s="53" customFormat="1" ht="15.95" customHeight="1" x14ac:dyDescent="0.2">
      <c r="B12" s="20" t="str">
        <f>IF([1]AV!C24="","",[1]AV!C24)</f>
        <v>Rinderstall (Warmstall)</v>
      </c>
      <c r="C12" s="388" t="str">
        <f>IF('2NGeb'!F34="","noch leer",'2NGeb'!F34&amp;" "&amp;'2NGeb'!H34)</f>
        <v>768 m³</v>
      </c>
      <c r="D12" s="150">
        <f>IF('2NGeb'!X5="","noch leer",'2NGeb'!X5)</f>
        <v>2004</v>
      </c>
      <c r="E12" s="625">
        <f>IF('2NGeb'!F51="","noch leer",'2NGeb'!F51)</f>
        <v>93388.800000000003</v>
      </c>
      <c r="F12" s="617">
        <f>IF('2NGeb'!B7="","",'2NGeb'!B7)</f>
        <v>43</v>
      </c>
      <c r="G12" s="621">
        <f>$H$5-D12</f>
        <v>16</v>
      </c>
      <c r="H12" s="34">
        <f>'2NGeb'!F113</f>
        <v>58639.479069767447</v>
      </c>
      <c r="I12" s="34">
        <f>'2NGeb'!F115</f>
        <v>2171.8325581395347</v>
      </c>
      <c r="J12" s="34">
        <f>'2NGeb'!F117</f>
        <v>56467.646511627914</v>
      </c>
      <c r="L12" s="267"/>
      <c r="M12" s="268"/>
    </row>
    <row r="13" spans="1:13" s="53" customFormat="1" ht="15.95" customHeight="1" x14ac:dyDescent="0.2">
      <c r="B13" s="20" t="str">
        <f>IF([1]AV!C26="","",[1]AV!C26)</f>
        <v>Verarbeitungsraum</v>
      </c>
      <c r="C13" s="388" t="str">
        <f>IF([1]AV!E26="","",[1]AV!E26&amp;" "&amp;[1]AV!F26)</f>
        <v/>
      </c>
      <c r="D13" s="145">
        <f>IF([1]AV!H26="","",[1]AV!H26)</f>
        <v>2005</v>
      </c>
      <c r="E13" s="619">
        <f>IF([1]AV!Q26="","",[1]AV!Q26)</f>
        <v>5890</v>
      </c>
      <c r="F13" s="150">
        <f>IF([1]AV!L26="","",[1]AV!L26)</f>
        <v>30</v>
      </c>
      <c r="G13" s="618">
        <f>$H$5-D13</f>
        <v>15</v>
      </c>
      <c r="H13" s="619">
        <f>IF(G13&lt;F13,E13-((E13/F13)*G13),1)</f>
        <v>2945</v>
      </c>
      <c r="I13" s="619">
        <f>IF(G13&gt;=F13,0,E13/F13)</f>
        <v>196.33333333333334</v>
      </c>
      <c r="J13" s="619">
        <f>IF(G13+1&gt;=F13,1,H13-I13)</f>
        <v>2748.6666666666665</v>
      </c>
      <c r="L13" s="284"/>
      <c r="M13" s="268"/>
    </row>
    <row r="14" spans="1:13" s="53" customFormat="1" ht="15.95" customHeight="1" x14ac:dyDescent="0.2">
      <c r="B14" s="20" t="str">
        <f>IF([1]AV!C28="","",[1]AV!C28)</f>
        <v>Maschinenschuppen</v>
      </c>
      <c r="C14" s="388" t="str">
        <f>IF([1]AV!E28="","",[1]AV!E28&amp;" "&amp;[1]AV!F28)</f>
        <v/>
      </c>
      <c r="D14" s="145">
        <f>IF([1]AV!H28="","",[1]AV!H28)</f>
        <v>2002</v>
      </c>
      <c r="E14" s="34">
        <f>IF([1]AV!Q28="","",[1]AV!Q28)</f>
        <v>4712</v>
      </c>
      <c r="F14" s="150">
        <f>IF([1]AV!L28="","",[1]AV!L28)</f>
        <v>40</v>
      </c>
      <c r="G14" s="537">
        <f>$H$5-D14</f>
        <v>18</v>
      </c>
      <c r="H14" s="34">
        <f>IF(G14&lt;F14,E14-((E14/F14)*G14),1)</f>
        <v>2591.6</v>
      </c>
      <c r="I14" s="34">
        <f>IF(G14&gt;=F14,0,E14/F14)</f>
        <v>117.8</v>
      </c>
      <c r="J14" s="34">
        <f>IF(G14+1&gt;=F14,1,H14-I14)</f>
        <v>2473.7999999999997</v>
      </c>
      <c r="L14" s="284"/>
      <c r="M14" s="268"/>
    </row>
    <row r="15" spans="1:13" s="53" customFormat="1" ht="15.95" customHeight="1" x14ac:dyDescent="0.2">
      <c r="B15" s="20" t="str">
        <f>IF([1]AV!C30="","",[1]AV!C30)</f>
        <v>Garage mit Lagerraum</v>
      </c>
      <c r="C15" s="388" t="str">
        <f>IF([1]AV!E30="","",[1]AV!E30&amp;" "&amp;[1]AV!F30)</f>
        <v/>
      </c>
      <c r="D15" s="145">
        <f>IF([1]AV!H30="","",[1]AV!H30)</f>
        <v>1995</v>
      </c>
      <c r="E15" s="34">
        <f>IF([1]AV!Q30="","",[1]AV!Q30)</f>
        <v>14060</v>
      </c>
      <c r="F15" s="150">
        <f>IF([1]AV!L30="","",[1]AV!L30)</f>
        <v>30</v>
      </c>
      <c r="G15" s="537">
        <f>$H$5-D15</f>
        <v>25</v>
      </c>
      <c r="H15" s="34">
        <f>IF(G15&lt;F15,E15-((E15/F15)*G15),1)</f>
        <v>2343.3333333333321</v>
      </c>
      <c r="I15" s="34">
        <f>IF(G15&gt;=F15,0,E15/F15)</f>
        <v>468.66666666666669</v>
      </c>
      <c r="J15" s="34">
        <f>IF(G15+1&gt;=F15,1,H15-I15)</f>
        <v>1874.6666666666654</v>
      </c>
      <c r="L15" s="284"/>
      <c r="M15" s="268"/>
    </row>
    <row r="16" spans="1:13" s="53" customFormat="1" ht="15.95" customHeight="1" x14ac:dyDescent="0.2">
      <c r="B16" s="20" t="str">
        <f>IF([1]AV!C32="","",[1]AV!C32)</f>
        <v/>
      </c>
      <c r="C16" s="388" t="str">
        <f>IF([1]AV!E32="","",[1]AV!E32&amp;" "&amp;[1]AV!F32)</f>
        <v/>
      </c>
      <c r="D16" s="145" t="str">
        <f>IF([1]AV!H32="","",[1]AV!H32)</f>
        <v/>
      </c>
      <c r="E16" s="34" t="str">
        <f>IF([1]AV!Q32="","",[1]AV!Q32)</f>
        <v/>
      </c>
      <c r="F16" s="150" t="str">
        <f>IF([1]AV!L32="","",[1]AV!L32)</f>
        <v/>
      </c>
      <c r="G16" s="537"/>
      <c r="H16" s="34"/>
      <c r="I16" s="34"/>
      <c r="J16" s="34"/>
      <c r="L16" s="267"/>
      <c r="M16" s="268"/>
    </row>
    <row r="17" spans="2:13" s="53" customFormat="1" ht="15.95" customHeight="1" x14ac:dyDescent="0.2">
      <c r="B17" s="20" t="str">
        <f>IF([1]AV!C34="","",[1]AV!C34)</f>
        <v/>
      </c>
      <c r="C17" s="388" t="str">
        <f>IF([1]AV!E34="","",[1]AV!E34&amp;" "&amp;[1]AV!F34)</f>
        <v/>
      </c>
      <c r="D17" s="145" t="str">
        <f>IF([1]AV!H34="","",[1]AV!H34)</f>
        <v/>
      </c>
      <c r="E17" s="34" t="str">
        <f>IF([1]AV!Q34="","",[1]AV!Q34)</f>
        <v/>
      </c>
      <c r="F17" s="150" t="str">
        <f>IF([1]AV!L34="","",[1]AV!L34)</f>
        <v/>
      </c>
      <c r="G17" s="537"/>
      <c r="H17" s="34"/>
      <c r="I17" s="34"/>
      <c r="J17" s="34"/>
      <c r="L17" s="264"/>
      <c r="M17" s="277"/>
    </row>
    <row r="18" spans="2:13" s="53" customFormat="1" ht="15.95" customHeight="1" thickBot="1" x14ac:dyDescent="0.25">
      <c r="B18" s="20" t="str">
        <f>IF([1]AV!C36="","",[1]AV!C36)</f>
        <v/>
      </c>
      <c r="C18" s="388" t="str">
        <f>IF([1]AV!E36="","",[1]AV!E36&amp;" "&amp;[1]AV!F36)</f>
        <v/>
      </c>
      <c r="D18" s="145" t="str">
        <f>IF([1]AV!H36="","",[1]AV!H36)</f>
        <v/>
      </c>
      <c r="E18" s="34" t="str">
        <f>IF([1]AV!Q36="","",[1]AV!Q36)</f>
        <v/>
      </c>
      <c r="F18" s="150" t="str">
        <f>IF([1]AV!L36="","",[1]AV!L36)</f>
        <v/>
      </c>
      <c r="G18" s="537"/>
      <c r="H18" s="35"/>
      <c r="I18" s="35"/>
      <c r="J18" s="35"/>
      <c r="L18" s="267"/>
      <c r="M18" s="268"/>
    </row>
    <row r="19" spans="2:13" s="53" customFormat="1" ht="15.95" customHeight="1" thickBot="1" x14ac:dyDescent="0.25">
      <c r="B19" s="29" t="str">
        <f>"Summe "&amp;B10</f>
        <v>Summe Gebäude und bauliche Anlagen</v>
      </c>
      <c r="C19" s="389"/>
      <c r="D19" s="389"/>
      <c r="E19" s="389"/>
      <c r="F19" s="389"/>
      <c r="G19" s="389"/>
      <c r="H19" s="390">
        <f t="shared" ref="H19:J19" si="1">SUM(H11:H18)</f>
        <v>74058.314728682177</v>
      </c>
      <c r="I19" s="390">
        <f t="shared" si="1"/>
        <v>3425.8139534883721</v>
      </c>
      <c r="J19" s="390">
        <f t="shared" si="1"/>
        <v>70632.50077519381</v>
      </c>
      <c r="L19" s="529"/>
      <c r="M19" s="603"/>
    </row>
    <row r="20" spans="2:13" s="53" customFormat="1" ht="20.100000000000001" customHeight="1" x14ac:dyDescent="0.2">
      <c r="B20" s="30" t="str">
        <f>IF([1]AV!B38="","",[1]AV!B38)</f>
        <v>Maschinen und Geräte</v>
      </c>
      <c r="C20" s="30"/>
      <c r="D20" s="30"/>
      <c r="E20" s="30"/>
      <c r="F20" s="30"/>
      <c r="G20" s="30"/>
      <c r="H20" s="391"/>
      <c r="I20" s="391"/>
      <c r="J20" s="30"/>
      <c r="L20" s="529"/>
      <c r="M20" s="603"/>
    </row>
    <row r="21" spans="2:13" s="53" customFormat="1" ht="15.95" customHeight="1" x14ac:dyDescent="0.2">
      <c r="B21" s="20" t="str">
        <f>IF([1]AV!C41="","",[1]AV!C41)</f>
        <v>Allradtraktor</v>
      </c>
      <c r="C21" s="388" t="str">
        <f>IF([1]AV!E41="","",[1]AV!E41&amp;" "&amp;[1]AV!F41)</f>
        <v>75 KW</v>
      </c>
      <c r="D21" s="145">
        <f>IF([1]AV!H41="","",[1]AV!H41)</f>
        <v>2007</v>
      </c>
      <c r="E21" s="34">
        <f>IF([1]AV!Q41="","",[1]AV!Q41)</f>
        <v>35410</v>
      </c>
      <c r="F21" s="150">
        <f>IF([1]AV!L41="","",[1]AV!L41)</f>
        <v>16</v>
      </c>
      <c r="G21" s="621">
        <f>$H$5-D21</f>
        <v>13</v>
      </c>
      <c r="H21" s="622">
        <f>IF('MKK1'!D9="","noch leer",'MKK1'!D9)</f>
        <v>6639.375</v>
      </c>
      <c r="I21" s="622">
        <f>IF('MKK1'!D12="","noch leer",'MKK1'!D12)</f>
        <v>2213.125</v>
      </c>
      <c r="J21" s="622">
        <f>IF(OR(H21="noch leer",I21="noch leer"),"noch leer",IF(H21&gt;100,H21-I21,1))</f>
        <v>4426.25</v>
      </c>
      <c r="L21" s="529"/>
      <c r="M21" s="603"/>
    </row>
    <row r="22" spans="2:13" s="53" customFormat="1" ht="15.95" customHeight="1" x14ac:dyDescent="0.2">
      <c r="B22" s="20" t="str">
        <f>IF([1]AV!C43="","",[1]AV!C43)</f>
        <v/>
      </c>
      <c r="C22" s="388" t="str">
        <f>IF([1]AV!E43="","",[1]AV!E43&amp;" "&amp;[1]AV!F43)</f>
        <v/>
      </c>
      <c r="D22" s="145" t="str">
        <f>IF([1]AV!H43="","",[1]AV!H43)</f>
        <v/>
      </c>
      <c r="E22" s="34" t="str">
        <f>IF([1]AV!Q43="","",[1]AV!Q43)</f>
        <v/>
      </c>
      <c r="F22" s="150" t="str">
        <f>IF([1]AV!L43="","",[1]AV!L43)</f>
        <v/>
      </c>
      <c r="G22" s="537"/>
      <c r="H22" s="619"/>
      <c r="I22" s="619"/>
      <c r="J22" s="619"/>
      <c r="L22" s="529"/>
      <c r="M22" s="603"/>
    </row>
    <row r="23" spans="2:13" s="53" customFormat="1" ht="15.95" customHeight="1" x14ac:dyDescent="0.2">
      <c r="B23" s="20" t="str">
        <f>IF([1]AV!C45="","",[1]AV!C45)</f>
        <v/>
      </c>
      <c r="C23" s="388" t="str">
        <f>IF([1]AV!E45="","",[1]AV!E45&amp;" "&amp;[1]AV!F45)</f>
        <v/>
      </c>
      <c r="D23" s="145" t="str">
        <f>IF([1]AV!H45="","",[1]AV!H45)</f>
        <v/>
      </c>
      <c r="E23" s="34" t="str">
        <f>IF([1]AV!Q45="","",[1]AV!Q45)</f>
        <v/>
      </c>
      <c r="F23" s="150" t="str">
        <f>IF([1]AV!L45="","",[1]AV!L45)</f>
        <v/>
      </c>
      <c r="G23" s="537"/>
      <c r="H23" s="35"/>
      <c r="I23" s="35"/>
      <c r="J23" s="35"/>
      <c r="L23" s="529"/>
      <c r="M23" s="603"/>
    </row>
    <row r="24" spans="2:13" s="53" customFormat="1" ht="15.95" customHeight="1" x14ac:dyDescent="0.2">
      <c r="B24" s="20" t="str">
        <f>IF([1]AV!C47="","",[1]AV!C47)</f>
        <v>Motorsäge</v>
      </c>
      <c r="C24" s="388" t="str">
        <f>IF([1]AV!E47="","",[1]AV!E47&amp;" "&amp;[1]AV!F47)</f>
        <v>4 KW</v>
      </c>
      <c r="D24" s="145">
        <f>IF([1]AV!H47="","",[1]AV!H47)</f>
        <v>1995</v>
      </c>
      <c r="E24" s="34">
        <f>IF([1]AV!Q47="","",[1]AV!Q47)</f>
        <v>700</v>
      </c>
      <c r="F24" s="150">
        <f>IF([1]AV!L47="","",[1]AV!L47)</f>
        <v>15</v>
      </c>
      <c r="G24" s="621">
        <f>$H$5-D24</f>
        <v>25</v>
      </c>
      <c r="H24" s="622">
        <f>IF('MKK2'!D9="","noch leer",'MKK2'!D9)</f>
        <v>1</v>
      </c>
      <c r="I24" s="622">
        <f>IF('MKK2'!D12="","noch leer",'MKK2'!D12)</f>
        <v>0</v>
      </c>
      <c r="J24" s="622">
        <f>IF(OR(H24="noch leer",I24="noch leer"),"noch leer",IF(H24&gt;100,H24-I24,1))</f>
        <v>1</v>
      </c>
      <c r="L24" s="529"/>
      <c r="M24" s="603"/>
    </row>
    <row r="25" spans="2:13" s="53" customFormat="1" ht="15.95" customHeight="1" x14ac:dyDescent="0.2">
      <c r="B25" s="20" t="str">
        <f>IF([1]AV!C49="","",[1]AV!C49)</f>
        <v>Pflug</v>
      </c>
      <c r="C25" s="388" t="str">
        <f>IF([1]AV!E49="","",[1]AV!E49&amp;" "&amp;[1]AV!F49)</f>
        <v>2 - scharig</v>
      </c>
      <c r="D25" s="145">
        <f>IF([1]AV!H49="","",[1]AV!H49)</f>
        <v>2015</v>
      </c>
      <c r="E25" s="34">
        <f>IF([1]AV!Q49="","",[1]AV!Q49)</f>
        <v>1805</v>
      </c>
      <c r="F25" s="150">
        <f>IF([1]AV!L49="","",[1]AV!L49)</f>
        <v>14</v>
      </c>
      <c r="G25" s="537">
        <f t="shared" ref="G25:G34" si="2">$H$5-D25</f>
        <v>5</v>
      </c>
      <c r="H25" s="619">
        <f>IF(G25&lt;F25,E25-((E25/F25)*G25),1)</f>
        <v>1160.3571428571429</v>
      </c>
      <c r="I25" s="619">
        <f>IF(G25&gt;=F25,0,E25/F25)</f>
        <v>128.92857142857142</v>
      </c>
      <c r="J25" s="619">
        <f>IF(G25+1&gt;=F25,1,H25-I25)</f>
        <v>1031.4285714285716</v>
      </c>
      <c r="L25" s="529"/>
      <c r="M25" s="603"/>
    </row>
    <row r="26" spans="2:13" s="53" customFormat="1" ht="15.95" customHeight="1" x14ac:dyDescent="0.2">
      <c r="B26" s="20" t="str">
        <f>IF([1]AV!C51="","",[1]AV!C51)</f>
        <v>Ladewagen</v>
      </c>
      <c r="C26" s="388" t="str">
        <f>IF([1]AV!E51="","",[1]AV!E51&amp;" "&amp;[1]AV!F51)</f>
        <v>15 m³</v>
      </c>
      <c r="D26" s="145">
        <f>IF([1]AV!H51="","",[1]AV!H51)</f>
        <v>2011</v>
      </c>
      <c r="E26" s="34">
        <f>IF([1]AV!Q51="","",[1]AV!Q51)</f>
        <v>6113</v>
      </c>
      <c r="F26" s="150">
        <f>IF([1]AV!L51="","",[1]AV!L51)</f>
        <v>16</v>
      </c>
      <c r="G26" s="537">
        <f>$H$5-D26</f>
        <v>9</v>
      </c>
      <c r="H26" s="34">
        <f>IF(G26&lt;F26,E26-((E26/F26)*G26),1)</f>
        <v>2674.4375</v>
      </c>
      <c r="I26" s="34">
        <f>IF(G26&gt;=F26,0,E26/F26)</f>
        <v>382.0625</v>
      </c>
      <c r="J26" s="34">
        <f>IF(G26+1&gt;=F26,1,H26-I26)</f>
        <v>2292.375</v>
      </c>
      <c r="L26" s="529"/>
      <c r="M26" s="603"/>
    </row>
    <row r="27" spans="2:13" s="53" customFormat="1" ht="15.95" customHeight="1" thickBot="1" x14ac:dyDescent="0.25">
      <c r="B27" s="20" t="str">
        <f>IF([1]AV!C53="","",[1]AV!C53)</f>
        <v>Heuraupe</v>
      </c>
      <c r="C27" s="388" t="str">
        <f>IF([1]AV!E53="","",[1]AV!E53&amp;" "&amp;[1]AV!F53)</f>
        <v>1,8 m</v>
      </c>
      <c r="D27" s="145">
        <f>IF([1]AV!H53="","",[1]AV!H53)</f>
        <v>2009</v>
      </c>
      <c r="E27" s="34">
        <f>IF([1]AV!Q53="","",[1]AV!Q53)</f>
        <v>1995</v>
      </c>
      <c r="F27" s="150">
        <f>IF([1]AV!L53="","",[1]AV!L53)</f>
        <v>12</v>
      </c>
      <c r="G27" s="537">
        <f t="shared" si="2"/>
        <v>11</v>
      </c>
      <c r="H27" s="35">
        <f t="shared" ref="H27:H34" si="3">IF(G27&lt;F27,E27-((E27/F27)*G27),1)</f>
        <v>166.25</v>
      </c>
      <c r="I27" s="35">
        <f t="shared" ref="I27:I34" si="4">IF(G27&gt;=F27,0,E27/F27)</f>
        <v>166.25</v>
      </c>
      <c r="J27" s="35">
        <f t="shared" ref="J27:J34" si="5">IF(G27+1&gt;=F27,1,H27-I27)</f>
        <v>1</v>
      </c>
      <c r="L27" s="529"/>
      <c r="M27" s="603"/>
    </row>
    <row r="28" spans="2:13" s="53" customFormat="1" ht="15.95" customHeight="1" thickBot="1" x14ac:dyDescent="0.25">
      <c r="B28" s="20" t="str">
        <f>IF([1]AV!C55="","",[1]AV!C55)</f>
        <v>Melkmaschine</v>
      </c>
      <c r="C28" s="388" t="str">
        <f>IF([1]AV!E55="","",[1]AV!E55&amp;" "&amp;[1]AV!F55)</f>
        <v>1,2 KW</v>
      </c>
      <c r="D28" s="145">
        <f>IF([1]AV!H55="","",[1]AV!H55)</f>
        <v>2017</v>
      </c>
      <c r="E28" s="34">
        <f>IF([1]AV!Q55="","",[1]AV!Q55)</f>
        <v>4066</v>
      </c>
      <c r="F28" s="150">
        <f>IF([1]AV!L55="","",[1]AV!L55)</f>
        <v>20</v>
      </c>
      <c r="G28" s="621">
        <f t="shared" si="2"/>
        <v>3</v>
      </c>
      <c r="H28" s="639">
        <f t="shared" ref="H28:H29" si="6">E28-I28*G28</f>
        <v>3456.1</v>
      </c>
      <c r="I28" s="639">
        <f t="shared" ref="I28:I29" si="7">E28/F28</f>
        <v>203.3</v>
      </c>
      <c r="J28" s="639">
        <f t="shared" ref="J28:J29" si="8">H28-I28</f>
        <v>3252.7999999999997</v>
      </c>
      <c r="L28" s="529"/>
      <c r="M28" s="603"/>
    </row>
    <row r="29" spans="2:13" s="53" customFormat="1" ht="15.95" customHeight="1" thickBot="1" x14ac:dyDescent="0.25">
      <c r="B29" s="20" t="str">
        <f>IF([1]AV!C57="","",[1]AV!C57)</f>
        <v>Zentrifuge</v>
      </c>
      <c r="C29" s="388" t="str">
        <f>IF([1]AV!E57="","",[1]AV!E57&amp;" "&amp;[1]AV!F57)</f>
        <v>10 lt</v>
      </c>
      <c r="D29" s="145">
        <f>IF([1]AV!H57="","",[1]AV!H57)</f>
        <v>2012</v>
      </c>
      <c r="E29" s="34">
        <f>IF([1]AV!Q57="","",[1]AV!Q57)</f>
        <v>741</v>
      </c>
      <c r="F29" s="150">
        <f>IF([1]AV!L57="","",[1]AV!L57)</f>
        <v>20</v>
      </c>
      <c r="G29" s="537">
        <f t="shared" si="2"/>
        <v>8</v>
      </c>
      <c r="H29" s="639">
        <f t="shared" si="6"/>
        <v>444.6</v>
      </c>
      <c r="I29" s="639">
        <f t="shared" si="7"/>
        <v>37.049999999999997</v>
      </c>
      <c r="J29" s="639">
        <f t="shared" si="8"/>
        <v>407.55</v>
      </c>
      <c r="L29" s="529"/>
      <c r="M29" s="603"/>
    </row>
    <row r="30" spans="2:13" s="53" customFormat="1" ht="15.95" customHeight="1" x14ac:dyDescent="0.2">
      <c r="B30" s="20" t="str">
        <f>IF([1]AV!C59="","",[1]AV!C59)</f>
        <v>Gebläse</v>
      </c>
      <c r="C30" s="388" t="str">
        <f>IF([1]AV!E59="","",[1]AV!E59&amp;" "&amp;[1]AV!F59)</f>
        <v>5,2 KW</v>
      </c>
      <c r="D30" s="145">
        <f>IF([1]AV!H59="","",[1]AV!H59)</f>
        <v>2018</v>
      </c>
      <c r="E30" s="34">
        <f>IF([1]AV!Q59="","",[1]AV!Q59)</f>
        <v>2223</v>
      </c>
      <c r="F30" s="150">
        <f>IF([1]AV!L59="","",[1]AV!L59)</f>
        <v>16</v>
      </c>
      <c r="G30" s="537">
        <f t="shared" si="2"/>
        <v>2</v>
      </c>
      <c r="H30" s="34">
        <f t="shared" si="3"/>
        <v>1945.125</v>
      </c>
      <c r="I30" s="34">
        <f t="shared" si="4"/>
        <v>138.9375</v>
      </c>
      <c r="J30" s="34">
        <f t="shared" si="5"/>
        <v>1806.1875</v>
      </c>
      <c r="L30" s="529"/>
      <c r="M30" s="603"/>
    </row>
    <row r="31" spans="2:13" s="53" customFormat="1" ht="15.95" customHeight="1" x14ac:dyDescent="0.2">
      <c r="B31" s="20" t="str">
        <f>IF([1]AV!C61="","",[1]AV!C61)</f>
        <v>Vakuumfass</v>
      </c>
      <c r="C31" s="388" t="str">
        <f>IF([1]AV!E61="","",[1]AV!E61&amp;" "&amp;[1]AV!F61)</f>
        <v>3000 lt</v>
      </c>
      <c r="D31" s="145">
        <f>IF([1]AV!H61="","",[1]AV!H61)</f>
        <v>2004</v>
      </c>
      <c r="E31" s="34">
        <f>IF([1]AV!Q61="","",[1]AV!Q61)</f>
        <v>2660</v>
      </c>
      <c r="F31" s="150">
        <f>IF([1]AV!L61="","",[1]AV!L61)</f>
        <v>14</v>
      </c>
      <c r="G31" s="537">
        <f t="shared" si="2"/>
        <v>16</v>
      </c>
      <c r="H31" s="34">
        <f t="shared" si="3"/>
        <v>1</v>
      </c>
      <c r="I31" s="34">
        <f t="shared" si="4"/>
        <v>0</v>
      </c>
      <c r="J31" s="34">
        <f t="shared" si="5"/>
        <v>1</v>
      </c>
      <c r="L31" s="529"/>
      <c r="M31" s="603"/>
    </row>
    <row r="32" spans="2:13" s="53" customFormat="1" ht="15.95" customHeight="1" x14ac:dyDescent="0.2">
      <c r="B32" s="20" t="str">
        <f>IF([1]AV!C63="","",[1]AV!C63)</f>
        <v>Butterfass</v>
      </c>
      <c r="C32" s="388" t="str">
        <f>IF([1]AV!E63="","",[1]AV!E63&amp;" "&amp;[1]AV!F63)</f>
        <v>4 lt</v>
      </c>
      <c r="D32" s="145">
        <f>IF([1]AV!H63="","",[1]AV!H63)</f>
        <v>2004</v>
      </c>
      <c r="E32" s="34">
        <f>IF([1]AV!Q63="","",[1]AV!Q63)</f>
        <v>855</v>
      </c>
      <c r="F32" s="150">
        <f>IF([1]AV!L63="","",[1]AV!L63)</f>
        <v>20</v>
      </c>
      <c r="G32" s="537">
        <f t="shared" si="2"/>
        <v>16</v>
      </c>
      <c r="H32" s="34">
        <f t="shared" si="3"/>
        <v>171</v>
      </c>
      <c r="I32" s="34">
        <f t="shared" si="4"/>
        <v>42.75</v>
      </c>
      <c r="J32" s="34">
        <f t="shared" si="5"/>
        <v>128.25</v>
      </c>
      <c r="L32" s="529"/>
      <c r="M32" s="603"/>
    </row>
    <row r="33" spans="2:13" s="53" customFormat="1" ht="15.95" customHeight="1" x14ac:dyDescent="0.2">
      <c r="B33" s="20" t="str">
        <f>IF([1]AV!C65="","",[1]AV!C65)</f>
        <v>Miststreuer</v>
      </c>
      <c r="C33" s="388" t="str">
        <f>IF([1]AV!E65="","",[1]AV!E65&amp;" "&amp;[1]AV!F65)</f>
        <v>2,5 t</v>
      </c>
      <c r="D33" s="145">
        <f>IF([1]AV!H65="","",[1]AV!H65)</f>
        <v>2016</v>
      </c>
      <c r="E33" s="34">
        <f>IF([1]AV!Q65="","",[1]AV!Q65)</f>
        <v>3325</v>
      </c>
      <c r="F33" s="150">
        <f>IF([1]AV!L65="","",[1]AV!L65)</f>
        <v>14</v>
      </c>
      <c r="G33" s="537">
        <f t="shared" si="2"/>
        <v>4</v>
      </c>
      <c r="H33" s="34">
        <f t="shared" si="3"/>
        <v>2375</v>
      </c>
      <c r="I33" s="34">
        <f t="shared" si="4"/>
        <v>237.5</v>
      </c>
      <c r="J33" s="34">
        <f t="shared" si="5"/>
        <v>2137.5</v>
      </c>
      <c r="L33" s="529"/>
      <c r="M33" s="603"/>
    </row>
    <row r="34" spans="2:13" s="53" customFormat="1" ht="15.95" customHeight="1" x14ac:dyDescent="0.2">
      <c r="B34" s="20" t="str">
        <f>IF([1]AV!C67="","",[1]AV!C67)</f>
        <v>Kreiselzetter</v>
      </c>
      <c r="C34" s="388" t="str">
        <f>IF([1]AV!E67="","",[1]AV!E67&amp;" "&amp;[1]AV!F67)</f>
        <v>2,8 m</v>
      </c>
      <c r="D34" s="145">
        <f>IF([1]AV!H67="","",[1]AV!H67)</f>
        <v>2008</v>
      </c>
      <c r="E34" s="34">
        <f>IF([1]AV!Q67="","",[1]AV!Q67)</f>
        <v>1892</v>
      </c>
      <c r="F34" s="150">
        <f>IF([1]AV!L67="","",[1]AV!L67)</f>
        <v>12</v>
      </c>
      <c r="G34" s="537">
        <f t="shared" si="2"/>
        <v>12</v>
      </c>
      <c r="H34" s="34">
        <f t="shared" si="3"/>
        <v>1</v>
      </c>
      <c r="I34" s="34">
        <f t="shared" si="4"/>
        <v>0</v>
      </c>
      <c r="J34" s="34">
        <f t="shared" si="5"/>
        <v>1</v>
      </c>
      <c r="L34" s="529"/>
      <c r="M34" s="603"/>
    </row>
    <row r="35" spans="2:13" s="53" customFormat="1" ht="15.95" customHeight="1" thickBot="1" x14ac:dyDescent="0.25">
      <c r="B35" s="20" t="str">
        <f>IF([1]AV!C69="","",[1]AV!C69)</f>
        <v>PKW-Anhänger</v>
      </c>
      <c r="C35" s="388" t="str">
        <f>IF([1]AV!E69="","",[1]AV!E69&amp;" "&amp;[1]AV!F69)</f>
        <v>600 kg</v>
      </c>
      <c r="D35" s="145">
        <f>IF([1]AV!H69="","",[1]AV!H69)</f>
        <v>2007</v>
      </c>
      <c r="E35" s="34">
        <f>IF([1]AV!Q69="","",[1]AV!Q69)</f>
        <v>599</v>
      </c>
      <c r="F35" s="150">
        <f>IF([1]AV!L69="","",[1]AV!L69)</f>
        <v>16</v>
      </c>
      <c r="G35" s="537">
        <f>$H$5-D35</f>
        <v>13</v>
      </c>
      <c r="H35" s="34">
        <f>IF(G35&lt;F35,E35-((E35/F35)*G35),1)</f>
        <v>112.3125</v>
      </c>
      <c r="I35" s="34">
        <f>IF(G35&gt;=F35,0,E35/F35)</f>
        <v>37.4375</v>
      </c>
      <c r="J35" s="34">
        <f>IF(G35+1&gt;=F35,1,H35-I35)</f>
        <v>74.875</v>
      </c>
      <c r="L35" s="529"/>
      <c r="M35" s="603"/>
    </row>
    <row r="36" spans="2:13" s="53" customFormat="1" ht="15.95" customHeight="1" thickBot="1" x14ac:dyDescent="0.25">
      <c r="B36" s="20" t="str">
        <f>IF([1]AV!C71="","",[1]AV!C71)</f>
        <v>Mähwerk</v>
      </c>
      <c r="C36" s="388" t="str">
        <f>IF([1]AV!E71="","",[1]AV!E71&amp;" "&amp;[1]AV!F71)</f>
        <v>185 m</v>
      </c>
      <c r="D36" s="145">
        <f>IF([1]AV!H71="","",[1]AV!H71)</f>
        <v>2011</v>
      </c>
      <c r="E36" s="34">
        <f>IF([1]AV!Q71="","",[1]AV!Q71)</f>
        <v>2708</v>
      </c>
      <c r="F36" s="150">
        <f>IF([1]AV!L71="","",[1]AV!L71)</f>
        <v>15</v>
      </c>
      <c r="G36" s="537">
        <f>$H$5-D36</f>
        <v>9</v>
      </c>
      <c r="H36" s="639">
        <f>E36-I36*G36</f>
        <v>1083.2</v>
      </c>
      <c r="I36" s="639">
        <f>E36/F36</f>
        <v>180.53333333333333</v>
      </c>
      <c r="J36" s="639">
        <f>H36-I36</f>
        <v>902.66666666666674</v>
      </c>
      <c r="L36" s="529"/>
      <c r="M36" s="603"/>
    </row>
    <row r="37" spans="2:13" s="53" customFormat="1" ht="15.95" customHeight="1" x14ac:dyDescent="0.2">
      <c r="B37" s="20" t="str">
        <f>IF([1]AV!C73="","",[1]AV!C73)</f>
        <v>Motormäher</v>
      </c>
      <c r="C37" s="388" t="str">
        <f>IF([1]AV!E73="","",[1]AV!E73&amp;" "&amp;[1]AV!F73)</f>
        <v>4,4 KW</v>
      </c>
      <c r="D37" s="145">
        <f>IF([1]AV!H73="","",[1]AV!H73)</f>
        <v>2017</v>
      </c>
      <c r="E37" s="34">
        <f>IF([1]AV!Q73="","",[1]AV!Q73)</f>
        <v>1193</v>
      </c>
      <c r="F37" s="150">
        <f>IF([1]AV!L73="","",[1]AV!L73)</f>
        <v>16</v>
      </c>
      <c r="G37" s="537">
        <f>$H$5-D37</f>
        <v>3</v>
      </c>
      <c r="H37" s="34">
        <f>IF(G37&lt;F37,E37-((E37/F37)*G37),1)</f>
        <v>969.3125</v>
      </c>
      <c r="I37" s="34">
        <f>IF(G37&gt;=F37,0,E37/F37)</f>
        <v>74.5625</v>
      </c>
      <c r="J37" s="34">
        <f>IF(G37+1&gt;=F37,1,H37-I37)</f>
        <v>894.75</v>
      </c>
      <c r="L37" s="529"/>
      <c r="M37" s="603"/>
    </row>
    <row r="38" spans="2:13" s="53" customFormat="1" ht="15.95" customHeight="1" x14ac:dyDescent="0.2">
      <c r="B38" s="20" t="str">
        <f>IF([1]AV!C75="","",[1]AV!C75)</f>
        <v>Frontlader</v>
      </c>
      <c r="C38" s="388" t="str">
        <f>IF([1]AV!E75="","",[1]AV!E75&amp;" "&amp;[1]AV!F75)</f>
        <v>1,4 m</v>
      </c>
      <c r="D38" s="145">
        <f>IF([1]AV!H75="","",[1]AV!H75)</f>
        <v>2016</v>
      </c>
      <c r="E38" s="34">
        <f>IF([1]AV!Q75="","",[1]AV!Q75)</f>
        <v>1140</v>
      </c>
      <c r="F38" s="150">
        <f>IF([1]AV!L75="","",[1]AV!L75)</f>
        <v>18</v>
      </c>
      <c r="G38" s="537">
        <f>$H$5-D38</f>
        <v>4</v>
      </c>
      <c r="H38" s="34">
        <f>IF(G38&lt;F38,E38-((E38/F38)*G38),1)</f>
        <v>886.66666666666663</v>
      </c>
      <c r="I38" s="34">
        <f>IF(G38&gt;=F38,0,E38/F38)</f>
        <v>63.333333333333336</v>
      </c>
      <c r="J38" s="34">
        <f>IF(G38+1&gt;=F38,1,H38-I38)</f>
        <v>823.33333333333326</v>
      </c>
      <c r="L38" s="529"/>
      <c r="M38" s="603"/>
    </row>
    <row r="39" spans="2:13" s="53" customFormat="1" ht="15.95" customHeight="1" x14ac:dyDescent="0.2">
      <c r="B39" s="20" t="str">
        <f>IF([1]AV!C77="","",[1]AV!C77)</f>
        <v>Ackerschleppe</v>
      </c>
      <c r="C39" s="388" t="str">
        <f>IF([1]AV!E77="","",[1]AV!E77&amp;" "&amp;[1]AV!F77)</f>
        <v>4 m</v>
      </c>
      <c r="D39" s="145">
        <f>IF([1]AV!H77="","",[1]AV!H77)</f>
        <v>2012</v>
      </c>
      <c r="E39" s="34">
        <f>IF([1]AV!Q77="","",[1]AV!Q77)</f>
        <v>618</v>
      </c>
      <c r="F39" s="150">
        <f>IF([1]AV!L77="","",[1]AV!L77)</f>
        <v>16</v>
      </c>
      <c r="G39" s="537">
        <f>$H$5-D39</f>
        <v>8</v>
      </c>
      <c r="H39" s="34">
        <f>IF(G39&lt;F39,E39-((E39/F39)*G39),1)</f>
        <v>309</v>
      </c>
      <c r="I39" s="34">
        <f>IF(G39&gt;=F39,0,E39/F39)</f>
        <v>38.625</v>
      </c>
      <c r="J39" s="34">
        <f>IF(G39+1&gt;=F39,1,H39-I39)</f>
        <v>270.375</v>
      </c>
      <c r="L39" s="529"/>
      <c r="M39" s="603"/>
    </row>
    <row r="40" spans="2:13" s="53" customFormat="1" ht="15.95" customHeight="1" thickBot="1" x14ac:dyDescent="0.25">
      <c r="B40" s="20" t="str">
        <f>IF([1]AV!C79="","",[1]AV!C79)</f>
        <v/>
      </c>
      <c r="C40" s="388" t="str">
        <f>IF([1]AV!E79="","",[1]AV!E79&amp;" "&amp;[1]AV!F79)</f>
        <v/>
      </c>
      <c r="D40" s="145" t="str">
        <f>IF([1]AV!H79="","",[1]AV!H79)</f>
        <v/>
      </c>
      <c r="E40" s="34" t="str">
        <f>IF([1]AV!Q79="","",[1]AV!Q79)</f>
        <v/>
      </c>
      <c r="F40" s="150" t="str">
        <f>IF([1]AV!L79="","",[1]AV!L79)</f>
        <v/>
      </c>
      <c r="G40" s="537"/>
      <c r="H40" s="35"/>
      <c r="I40" s="35"/>
      <c r="J40" s="35"/>
      <c r="L40" s="529"/>
      <c r="M40" s="603"/>
    </row>
    <row r="41" spans="2:13" s="53" customFormat="1" ht="15.95" customHeight="1" thickBot="1" x14ac:dyDescent="0.25">
      <c r="B41" s="29" t="str">
        <f>"Summe "&amp;B20</f>
        <v>Summe Maschinen und Geräte</v>
      </c>
      <c r="C41" s="389"/>
      <c r="D41" s="389"/>
      <c r="E41" s="389"/>
      <c r="F41" s="389"/>
      <c r="G41" s="389"/>
      <c r="H41" s="390">
        <f t="shared" ref="H41:J41" si="9">SUM(H21:H40)</f>
        <v>22395.736309523811</v>
      </c>
      <c r="I41" s="390">
        <f t="shared" si="9"/>
        <v>3944.3952380952387</v>
      </c>
      <c r="J41" s="390">
        <f t="shared" si="9"/>
        <v>18452.341071428571</v>
      </c>
      <c r="L41" s="529"/>
      <c r="M41" s="603"/>
    </row>
    <row r="42" spans="2:13" s="53" customFormat="1" ht="15.95" customHeight="1" x14ac:dyDescent="0.2">
      <c r="L42" s="529"/>
      <c r="M42" s="603"/>
    </row>
    <row r="43" spans="2:13" ht="17.100000000000001" hidden="1" customHeight="1" x14ac:dyDescent="0.2"/>
    <row r="44" spans="2:13" ht="17.100000000000001" hidden="1" customHeight="1" x14ac:dyDescent="0.2"/>
    <row r="45" spans="2:13" ht="17.100000000000001" hidden="1" customHeight="1" x14ac:dyDescent="0.2"/>
    <row r="46" spans="2:13" ht="17.100000000000001" hidden="1" customHeight="1" x14ac:dyDescent="0.2"/>
    <row r="47" spans="2:13" ht="17.100000000000001" hidden="1" customHeight="1" x14ac:dyDescent="0.2"/>
    <row r="48" spans="2:13" ht="17.100000000000001" hidden="1" customHeight="1" x14ac:dyDescent="0.2"/>
    <row r="49" ht="17.100000000000001" hidden="1" customHeight="1" x14ac:dyDescent="0.2"/>
    <row r="50" ht="17.100000000000001" hidden="1" customHeight="1" x14ac:dyDescent="0.2"/>
    <row r="51" ht="17.100000000000001" hidden="1" customHeight="1" x14ac:dyDescent="0.2"/>
    <row r="52" ht="17.100000000000001" hidden="1" customHeight="1" x14ac:dyDescent="0.2"/>
    <row r="53" ht="17.100000000000001" hidden="1" customHeight="1" x14ac:dyDescent="0.2"/>
    <row r="54" ht="17.100000000000001" hidden="1" customHeight="1" x14ac:dyDescent="0.2"/>
    <row r="55" ht="17.100000000000001" hidden="1" customHeight="1" x14ac:dyDescent="0.2"/>
    <row r="56" ht="17.100000000000001" hidden="1" customHeight="1" x14ac:dyDescent="0.2"/>
    <row r="57" ht="17.100000000000001" hidden="1" customHeight="1" x14ac:dyDescent="0.2"/>
    <row r="58" ht="17.100000000000001" hidden="1" customHeight="1" x14ac:dyDescent="0.2"/>
    <row r="59" ht="17.100000000000001" hidden="1" customHeight="1" x14ac:dyDescent="0.2"/>
    <row r="60" ht="17.100000000000001" hidden="1" customHeight="1" x14ac:dyDescent="0.2"/>
    <row r="61" ht="17.100000000000001" hidden="1" customHeight="1" x14ac:dyDescent="0.2"/>
    <row r="62" ht="17.100000000000001" hidden="1" customHeight="1" x14ac:dyDescent="0.2"/>
    <row r="63" ht="17.100000000000001" hidden="1" customHeight="1" x14ac:dyDescent="0.2"/>
    <row r="64" ht="17.100000000000001" hidden="1" customHeight="1" x14ac:dyDescent="0.2"/>
    <row r="65" ht="17.100000000000001" hidden="1" customHeight="1" x14ac:dyDescent="0.2"/>
    <row r="66" ht="17.100000000000001" hidden="1" customHeight="1" x14ac:dyDescent="0.2"/>
    <row r="67" ht="17.100000000000001" hidden="1" customHeight="1" x14ac:dyDescent="0.2"/>
    <row r="68" ht="17.100000000000001" hidden="1" customHeight="1" x14ac:dyDescent="0.2"/>
    <row r="69" ht="17.100000000000001" hidden="1" customHeight="1" x14ac:dyDescent="0.2"/>
    <row r="70" ht="17.100000000000001" hidden="1" customHeight="1" x14ac:dyDescent="0.2"/>
    <row r="71" ht="17.100000000000001" hidden="1" customHeight="1" x14ac:dyDescent="0.2"/>
    <row r="72" ht="17.100000000000001" hidden="1" customHeight="1" x14ac:dyDescent="0.2"/>
  </sheetData>
  <sheetProtection sheet="1" objects="1" scenarios="1"/>
  <mergeCells count="3">
    <mergeCell ref="B3:H3"/>
    <mergeCell ref="I3:J3"/>
    <mergeCell ref="M1:M6"/>
  </mergeCells>
  <phoneticPr fontId="4" type="noConversion"/>
  <conditionalFormatting sqref="E7:F7 C21:F21 E13:E15 F11:F15 D11:D15 C24:F39">
    <cfRule type="cellIs" dxfId="26" priority="1" stopIfTrue="1" operator="equal">
      <formula>""</formula>
    </cfRule>
  </conditionalFormatting>
  <conditionalFormatting sqref="G7:J7 G11:J15 G21:J21 G24:J39">
    <cfRule type="expression" dxfId="25" priority="2" stopIfTrue="1">
      <formula>AND($B7="",$C7="",$D7="",$E7="",$F7="")</formula>
    </cfRule>
    <cfRule type="cellIs" dxfId="24" priority="3" stopIfTrue="1" operator="equal">
      <formula>"noch leer"</formula>
    </cfRule>
  </conditionalFormatting>
  <conditionalFormatting sqref="E11:E12 C11:C12">
    <cfRule type="cellIs" dxfId="23" priority="4" stopIfTrue="1" operator="equal">
      <formula>""</formula>
    </cfRule>
    <cfRule type="cellIs" dxfId="22" priority="5"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tabColor indexed="10"/>
  </sheetPr>
  <dimension ref="A1:I91"/>
  <sheetViews>
    <sheetView showGridLines="0" zoomScaleNormal="100" workbookViewId="0">
      <pane ySplit="9" topLeftCell="A10" activePane="bottomLeft" state="frozen"/>
      <selection activeCell="J26" sqref="J26"/>
      <selection pane="bottomLeft" activeCell="J26" sqref="J26"/>
    </sheetView>
  </sheetViews>
  <sheetFormatPr baseColWidth="10" defaultColWidth="0" defaultRowHeight="15" zeroHeight="1" x14ac:dyDescent="0.2"/>
  <cols>
    <col min="1" max="1" width="2.7109375" style="7" customWidth="1"/>
    <col min="2" max="2" width="26.7109375" style="7" customWidth="1"/>
    <col min="3" max="3" width="7.42578125" style="7" customWidth="1"/>
    <col min="4" max="4" width="13.7109375" style="7" customWidth="1"/>
    <col min="5" max="5" width="6" style="7" customWidth="1"/>
    <col min="6" max="6" width="14.7109375" style="7" customWidth="1"/>
    <col min="7" max="7" width="2.7109375" style="7" customWidth="1"/>
    <col min="8" max="8" width="0.85546875" style="7" customWidth="1"/>
    <col min="9" max="9" width="20.7109375" style="7" customWidth="1"/>
    <col min="10" max="16384" width="14.85546875" style="7" hidden="1"/>
  </cols>
  <sheetData>
    <row r="1" spans="1:9" ht="24.95" customHeight="1" x14ac:dyDescent="0.2">
      <c r="A1" s="257"/>
      <c r="B1" s="258"/>
      <c r="C1" s="258" t="s">
        <v>206</v>
      </c>
      <c r="D1" s="259" t="str">
        <f>CONCATENATE([1]MKK1!C12," - ",[1]MKK1!C15," ",[1]MKK1!D15)</f>
        <v>Allradtraktor - 75 KW</v>
      </c>
      <c r="E1" s="260"/>
      <c r="F1" s="257"/>
      <c r="G1" s="257"/>
      <c r="H1" s="261"/>
      <c r="I1" s="1304" t="s">
        <v>11</v>
      </c>
    </row>
    <row r="2" spans="1:9" ht="20.100000000000001" customHeight="1" x14ac:dyDescent="0.2">
      <c r="A2" s="262"/>
      <c r="B2" s="262"/>
      <c r="C2" s="262"/>
      <c r="D2" s="263"/>
      <c r="E2" s="262"/>
      <c r="F2" s="262"/>
      <c r="G2" s="262"/>
      <c r="H2" s="264"/>
      <c r="I2" s="1304"/>
    </row>
    <row r="3" spans="1:9" x14ac:dyDescent="0.2">
      <c r="A3" s="265"/>
      <c r="B3" s="266" t="s">
        <v>207</v>
      </c>
      <c r="C3" s="266"/>
      <c r="D3" s="266"/>
      <c r="E3" s="266"/>
      <c r="F3" s="266"/>
      <c r="G3" s="265"/>
      <c r="H3" s="267"/>
      <c r="I3" s="268"/>
    </row>
    <row r="4" spans="1:9" x14ac:dyDescent="0.2">
      <c r="A4" s="265"/>
      <c r="B4" s="269" t="s">
        <v>208</v>
      </c>
      <c r="C4" s="269"/>
      <c r="D4" s="270">
        <f>IF([1]MKK1!J17="","",[1]MKK1!J17)</f>
        <v>35410</v>
      </c>
      <c r="E4" s="1318"/>
      <c r="F4" s="1319"/>
      <c r="G4" s="265"/>
      <c r="H4" s="267"/>
      <c r="I4" s="268"/>
    </row>
    <row r="5" spans="1:9" x14ac:dyDescent="0.2">
      <c r="A5" s="265"/>
      <c r="B5" s="269" t="s">
        <v>209</v>
      </c>
      <c r="C5" s="269"/>
      <c r="D5" s="271">
        <f>IF([1]MKK1!J19="","",[1]MKK1!J19)</f>
        <v>2007</v>
      </c>
      <c r="E5" s="1320"/>
      <c r="F5" s="1321"/>
      <c r="G5" s="265"/>
      <c r="H5" s="267"/>
      <c r="I5" s="268"/>
    </row>
    <row r="6" spans="1:9" x14ac:dyDescent="0.2">
      <c r="A6" s="265"/>
      <c r="B6" s="269" t="s">
        <v>210</v>
      </c>
      <c r="C6" s="269"/>
      <c r="D6" s="272">
        <f>IF([1]MKK1!J21="","",[1]MKK1!J21)</f>
        <v>16</v>
      </c>
      <c r="E6" s="1320"/>
      <c r="F6" s="1321"/>
      <c r="G6" s="265"/>
      <c r="H6" s="267"/>
      <c r="I6" s="268"/>
    </row>
    <row r="7" spans="1:9" ht="15.75" thickBot="1" x14ac:dyDescent="0.25">
      <c r="A7" s="265"/>
      <c r="B7" s="269" t="s">
        <v>211</v>
      </c>
      <c r="C7" s="269"/>
      <c r="D7" s="273">
        <f>IF([1]MKK1!K19="","",[1]MKK1!K19)</f>
        <v>213</v>
      </c>
      <c r="E7" s="1320"/>
      <c r="F7" s="1321"/>
      <c r="G7" s="265"/>
      <c r="H7" s="267"/>
      <c r="I7" s="268"/>
    </row>
    <row r="8" spans="1:9" ht="15.75" thickBot="1" x14ac:dyDescent="0.25">
      <c r="A8" s="265"/>
      <c r="B8" s="269" t="s">
        <v>328</v>
      </c>
      <c r="C8" s="269"/>
      <c r="D8" s="274">
        <f>C9-D5</f>
        <v>13</v>
      </c>
      <c r="E8" s="1322"/>
      <c r="F8" s="1321"/>
      <c r="G8" s="265"/>
      <c r="H8" s="267"/>
      <c r="I8" s="268"/>
    </row>
    <row r="9" spans="1:9" ht="15.75" thickBot="1" x14ac:dyDescent="0.25">
      <c r="A9" s="265"/>
      <c r="B9" s="269" t="s">
        <v>212</v>
      </c>
      <c r="C9" s="275">
        <f>IF([1]MKK1!G21="","",[1]MKK1!G21)</f>
        <v>2020</v>
      </c>
      <c r="D9" s="276">
        <f>D4-D12*D8</f>
        <v>6639.375</v>
      </c>
      <c r="E9" s="1323"/>
      <c r="F9" s="1324"/>
      <c r="G9" s="265"/>
      <c r="H9" s="267"/>
      <c r="I9" s="268"/>
    </row>
    <row r="10" spans="1:9" ht="9.9499999999999993" customHeight="1" x14ac:dyDescent="0.2">
      <c r="A10" s="262"/>
      <c r="B10" s="262"/>
      <c r="C10" s="262"/>
      <c r="D10" s="262"/>
      <c r="E10" s="262"/>
      <c r="F10" s="262"/>
      <c r="G10" s="262"/>
      <c r="H10" s="264"/>
      <c r="I10" s="277"/>
    </row>
    <row r="11" spans="1:9" ht="15.75" thickBot="1" x14ac:dyDescent="0.25">
      <c r="A11" s="265"/>
      <c r="B11" s="266" t="s">
        <v>8</v>
      </c>
      <c r="C11" s="278" t="s">
        <v>213</v>
      </c>
      <c r="D11" s="278" t="s">
        <v>214</v>
      </c>
      <c r="E11" s="279"/>
      <c r="F11" s="278" t="s">
        <v>215</v>
      </c>
      <c r="G11" s="265"/>
      <c r="H11" s="267"/>
      <c r="I11" s="268"/>
    </row>
    <row r="12" spans="1:9" ht="15.75" thickBot="1" x14ac:dyDescent="0.25">
      <c r="A12" s="604" t="s">
        <v>281</v>
      </c>
      <c r="B12" s="269" t="s">
        <v>216</v>
      </c>
      <c r="C12" s="280">
        <f>IF(D12="","",100/D6)</f>
        <v>6.25</v>
      </c>
      <c r="D12" s="276">
        <f>D4/D6</f>
        <v>2213.125</v>
      </c>
      <c r="E12" s="1316" t="s">
        <v>217</v>
      </c>
      <c r="F12" s="281">
        <f>IF(D12="","Afa fehlt!",D12)</f>
        <v>2213.125</v>
      </c>
      <c r="G12" s="265"/>
      <c r="H12" s="267"/>
      <c r="I12" s="268"/>
    </row>
    <row r="13" spans="1:9" ht="15.75" thickBot="1" x14ac:dyDescent="0.25">
      <c r="A13" s="604" t="s">
        <v>337</v>
      </c>
      <c r="B13" s="269" t="str">
        <f>IF([1]MKK1!C26&lt;&gt;"","Unterbringung (U) = "&amp;DOLLAR([1]MKK1!C26,2),"Unterbringung (U)")</f>
        <v>Unterbringung (U)</v>
      </c>
      <c r="C13" s="282">
        <f>IF(OR([1]MKK1!J24="",[1]MKK1!J26&lt;&gt;""),"",[1]MKK1!J24)</f>
        <v>0.01</v>
      </c>
      <c r="D13" s="276">
        <f t="shared" ref="D13:D15" si="0">$D$4*C13</f>
        <v>354.1</v>
      </c>
      <c r="E13" s="1317"/>
      <c r="F13" s="281">
        <f>IF(D13="","U in € fehlt!",D13)</f>
        <v>354.1</v>
      </c>
      <c r="G13" s="283"/>
      <c r="H13" s="284"/>
      <c r="I13" s="268"/>
    </row>
    <row r="14" spans="1:9" ht="15.75" thickBot="1" x14ac:dyDescent="0.25">
      <c r="A14" s="604" t="s">
        <v>338</v>
      </c>
      <c r="B14" s="269" t="str">
        <f>IF([1]MKK1!C32&lt;&gt;"","Versicherung (V) = "&amp;DOLLAR([1]MKK1!C32,2),"Versicherung (V)")</f>
        <v>Versicherung (V)</v>
      </c>
      <c r="C14" s="282">
        <f>IF(OR([1]MKK1!J30="",[1]MKK1!J32&lt;&gt;""),"",[1]MKK1!J30)</f>
        <v>0.01</v>
      </c>
      <c r="D14" s="276">
        <f t="shared" si="0"/>
        <v>354.1</v>
      </c>
      <c r="E14" s="1317"/>
      <c r="F14" s="281">
        <f>IF(D14="","V in € fehlt!",D14)</f>
        <v>354.1</v>
      </c>
      <c r="G14" s="283"/>
      <c r="H14" s="284"/>
      <c r="I14" s="268"/>
    </row>
    <row r="15" spans="1:9" ht="15.75" thickBot="1" x14ac:dyDescent="0.25">
      <c r="A15" s="604" t="s">
        <v>339</v>
      </c>
      <c r="B15" s="269" t="s">
        <v>218</v>
      </c>
      <c r="C15" s="282">
        <f>IF([1]MKK1!K24="","",[1]MKK1!K24)</f>
        <v>0.03</v>
      </c>
      <c r="D15" s="276">
        <f t="shared" si="0"/>
        <v>1062.3</v>
      </c>
      <c r="E15" s="1317"/>
      <c r="F15" s="285">
        <f>IF(D15="","Z in € fehlt!",D15)</f>
        <v>1062.3</v>
      </c>
      <c r="G15" s="283"/>
      <c r="H15" s="284"/>
      <c r="I15" s="268"/>
    </row>
    <row r="16" spans="1:9" ht="15.75" thickBot="1" x14ac:dyDescent="0.25">
      <c r="A16" s="604"/>
      <c r="B16" s="286"/>
      <c r="C16" s="286"/>
      <c r="D16" s="286"/>
      <c r="E16" s="287" t="s">
        <v>9</v>
      </c>
      <c r="F16" s="288">
        <f>SUM(F12:F15)</f>
        <v>3983.625</v>
      </c>
      <c r="G16" s="265"/>
      <c r="H16" s="267"/>
      <c r="I16" s="268"/>
    </row>
    <row r="17" spans="1:9" ht="9.9499999999999993" customHeight="1" x14ac:dyDescent="0.2">
      <c r="A17" s="605"/>
      <c r="B17" s="262"/>
      <c r="C17" s="262"/>
      <c r="D17" s="262"/>
      <c r="E17" s="262"/>
      <c r="F17" s="262"/>
      <c r="G17" s="262"/>
      <c r="H17" s="264"/>
      <c r="I17" s="277"/>
    </row>
    <row r="18" spans="1:9" ht="15.75" thickBot="1" x14ac:dyDescent="0.25">
      <c r="A18" s="604"/>
      <c r="B18" s="266" t="s">
        <v>7</v>
      </c>
      <c r="C18" s="278" t="s">
        <v>213</v>
      </c>
      <c r="D18" s="278" t="s">
        <v>219</v>
      </c>
      <c r="E18" s="279"/>
      <c r="F18" s="278" t="s">
        <v>215</v>
      </c>
      <c r="G18" s="265"/>
      <c r="H18" s="267"/>
      <c r="I18" s="268"/>
    </row>
    <row r="19" spans="1:9" ht="15.75" customHeight="1" thickBot="1" x14ac:dyDescent="0.25">
      <c r="A19" s="604" t="s">
        <v>340</v>
      </c>
      <c r="B19" s="269" t="s">
        <v>220</v>
      </c>
      <c r="C19" s="269"/>
      <c r="D19" s="289">
        <f>IF([1]MKK1!K26="","",[1]MKK1!K26)</f>
        <v>4.08</v>
      </c>
      <c r="E19" s="1316" t="s">
        <v>221</v>
      </c>
      <c r="F19" s="290">
        <f>D19*D7</f>
        <v>869.04</v>
      </c>
      <c r="G19" s="265"/>
      <c r="H19" s="267"/>
      <c r="I19" s="268"/>
    </row>
    <row r="20" spans="1:9" ht="15.75" thickBot="1" x14ac:dyDescent="0.25">
      <c r="A20" s="604" t="s">
        <v>341</v>
      </c>
      <c r="B20" s="291">
        <v>100</v>
      </c>
      <c r="C20" s="282">
        <f>IF([1]MKK1!G28="","",[1]MKK1!G28)</f>
        <v>0.02</v>
      </c>
      <c r="D20" s="292">
        <f>D4*C20</f>
        <v>708.2</v>
      </c>
      <c r="E20" s="1317"/>
      <c r="F20" s="290">
        <f>D20/100*D7</f>
        <v>1508.4660000000001</v>
      </c>
      <c r="G20" s="265"/>
      <c r="H20" s="267"/>
      <c r="I20" s="268"/>
    </row>
    <row r="21" spans="1:9" ht="15.75" thickBot="1" x14ac:dyDescent="0.25">
      <c r="A21" s="265"/>
      <c r="B21" s="293"/>
      <c r="C21" s="293"/>
      <c r="D21" s="293"/>
      <c r="E21" s="287" t="s">
        <v>10</v>
      </c>
      <c r="F21" s="288">
        <f>SUM(F19:F20)</f>
        <v>2377.5060000000003</v>
      </c>
      <c r="G21" s="265"/>
      <c r="H21" s="267"/>
      <c r="I21" s="268"/>
    </row>
    <row r="22" spans="1:9" x14ac:dyDescent="0.2">
      <c r="A22" s="262"/>
      <c r="B22" s="262"/>
      <c r="C22" s="262"/>
      <c r="D22" s="262"/>
      <c r="E22" s="262"/>
      <c r="F22" s="262"/>
      <c r="G22" s="262"/>
      <c r="H22" s="264"/>
      <c r="I22" s="277"/>
    </row>
    <row r="23" spans="1:9" ht="15.75" thickBot="1" x14ac:dyDescent="0.25">
      <c r="A23" s="265"/>
      <c r="B23" s="266" t="s">
        <v>201</v>
      </c>
      <c r="C23" s="266"/>
      <c r="D23" s="266"/>
      <c r="E23" s="266"/>
      <c r="F23" s="278" t="s">
        <v>222</v>
      </c>
      <c r="G23" s="265"/>
      <c r="H23" s="267"/>
      <c r="I23" s="268"/>
    </row>
    <row r="24" spans="1:9" ht="15.75" thickBot="1" x14ac:dyDescent="0.25">
      <c r="A24" s="265"/>
      <c r="B24" s="294" t="s">
        <v>223</v>
      </c>
      <c r="C24" s="294"/>
      <c r="D24" s="294"/>
      <c r="E24" s="294"/>
      <c r="F24" s="276">
        <f>F16/D7</f>
        <v>18.702464788732396</v>
      </c>
      <c r="G24" s="265"/>
      <c r="H24" s="267"/>
      <c r="I24" s="268"/>
    </row>
    <row r="25" spans="1:9" ht="15.75" thickBot="1" x14ac:dyDescent="0.25">
      <c r="A25" s="265"/>
      <c r="B25" s="294" t="s">
        <v>224</v>
      </c>
      <c r="C25" s="294"/>
      <c r="D25" s="294"/>
      <c r="E25" s="294"/>
      <c r="F25" s="276">
        <f>F21/D7</f>
        <v>11.162000000000001</v>
      </c>
      <c r="G25" s="265"/>
      <c r="H25" s="267"/>
      <c r="I25" s="268"/>
    </row>
    <row r="26" spans="1:9" ht="15.75" thickBot="1" x14ac:dyDescent="0.25">
      <c r="A26" s="265"/>
      <c r="B26" s="295" t="s">
        <v>225</v>
      </c>
      <c r="C26" s="295"/>
      <c r="D26" s="295"/>
      <c r="E26" s="295"/>
      <c r="F26" s="296">
        <f>SUM(F24:F25)</f>
        <v>29.864464788732398</v>
      </c>
      <c r="G26" s="265"/>
      <c r="H26" s="267"/>
      <c r="I26" s="297"/>
    </row>
    <row r="27" spans="1:9" x14ac:dyDescent="0.2">
      <c r="A27" s="298"/>
      <c r="B27" s="298"/>
      <c r="C27" s="298"/>
      <c r="D27" s="298"/>
      <c r="E27" s="298"/>
      <c r="F27" s="298"/>
      <c r="G27" s="298"/>
      <c r="H27" s="299"/>
      <c r="I27" s="297"/>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sheet="1" objects="1" scenarios="1"/>
  <mergeCells count="4">
    <mergeCell ref="E19:E20"/>
    <mergeCell ref="E4:F9"/>
    <mergeCell ref="E12:E15"/>
    <mergeCell ref="I1:I2"/>
  </mergeCells>
  <phoneticPr fontId="4" type="noConversion"/>
  <conditionalFormatting sqref="F13">
    <cfRule type="cellIs" dxfId="21" priority="1" stopIfTrue="1" operator="equal">
      <formula>"U in € fehlt!"</formula>
    </cfRule>
  </conditionalFormatting>
  <conditionalFormatting sqref="F14">
    <cfRule type="cellIs" dxfId="20" priority="2" stopIfTrue="1" operator="equal">
      <formula>"V in € fehlt!"</formula>
    </cfRule>
  </conditionalFormatting>
  <conditionalFormatting sqref="F15">
    <cfRule type="cellIs" dxfId="19" priority="3" stopIfTrue="1" operator="equal">
      <formula>"Z in € fehlt!"</formula>
    </cfRule>
  </conditionalFormatting>
  <conditionalFormatting sqref="F12 D9">
    <cfRule type="cellIs" dxfId="18" priority="4" stopIfTrue="1" operator="equal">
      <formula>"Afa fehlt!"</formula>
    </cfRule>
  </conditionalFormatting>
  <conditionalFormatting sqref="C12">
    <cfRule type="expression" dxfId="17" priority="5" stopIfTrue="1">
      <formula>$D$12=0</formula>
    </cfRule>
  </conditionalFormatting>
  <conditionalFormatting sqref="C13:C14">
    <cfRule type="cellIs" dxfId="16" priority="6" stopIfTrue="1" operator="equal">
      <formula>""</formula>
    </cfRule>
  </conditionalFormatting>
  <conditionalFormatting sqref="F19">
    <cfRule type="expression" dxfId="15" priority="7" stopIfTrue="1">
      <formula>OR($D$19=0,$D$19="",$D$19="-")</formula>
    </cfRule>
  </conditionalFormatting>
  <conditionalFormatting sqref="D19">
    <cfRule type="cellIs" dxfId="14" priority="8" stopIfTrue="1" operator="equal">
      <formula>0</formula>
    </cfRule>
    <cfRule type="cellIs" dxfId="13" priority="9" stopIfTrue="1" operator="equal">
      <formula>""</formula>
    </cfRule>
    <cfRule type="cellIs" dxfId="12" priority="10"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tabColor indexed="10"/>
  </sheetPr>
  <dimension ref="A1:I91"/>
  <sheetViews>
    <sheetView showGridLines="0" zoomScaleNormal="100" workbookViewId="0">
      <pane ySplit="9" topLeftCell="A10" activePane="bottomLeft" state="frozen"/>
      <selection activeCell="J26" sqref="J26"/>
      <selection pane="bottomLeft" activeCell="J26" sqref="J26"/>
    </sheetView>
  </sheetViews>
  <sheetFormatPr baseColWidth="10" defaultColWidth="0" defaultRowHeight="15" customHeight="1" zeroHeight="1" x14ac:dyDescent="0.2"/>
  <cols>
    <col min="1" max="1" width="2.7109375" style="7" customWidth="1"/>
    <col min="2" max="2" width="26.7109375" style="7" customWidth="1"/>
    <col min="3" max="3" width="7.42578125" style="7" customWidth="1"/>
    <col min="4" max="4" width="13.7109375" style="7" customWidth="1"/>
    <col min="5" max="5" width="6" style="7" customWidth="1"/>
    <col min="6" max="6" width="14.7109375" style="7" customWidth="1"/>
    <col min="7" max="7" width="2.7109375" style="7" customWidth="1"/>
    <col min="8" max="8" width="0.85546875" style="7" customWidth="1"/>
    <col min="9" max="9" width="20.7109375" style="7" customWidth="1"/>
    <col min="10" max="16384" width="14.85546875" style="7" hidden="1"/>
  </cols>
  <sheetData>
    <row r="1" spans="1:9" ht="24.95" customHeight="1" x14ac:dyDescent="0.2">
      <c r="A1" s="257"/>
      <c r="B1" s="258"/>
      <c r="C1" s="258" t="s">
        <v>206</v>
      </c>
      <c r="D1" s="259" t="str">
        <f>CONCATENATE([1]MKK2!C12," - ",[1]MKK2!C15," ",[1]MKK2!D15)</f>
        <v>Motorsäge - 4 KW</v>
      </c>
      <c r="E1" s="260"/>
      <c r="F1" s="257"/>
      <c r="G1" s="257"/>
      <c r="H1" s="261"/>
      <c r="I1" s="1304" t="s">
        <v>11</v>
      </c>
    </row>
    <row r="2" spans="1:9" ht="20.100000000000001" customHeight="1" x14ac:dyDescent="0.2">
      <c r="A2" s="262"/>
      <c r="B2" s="262"/>
      <c r="C2" s="262"/>
      <c r="D2" s="263"/>
      <c r="E2" s="262"/>
      <c r="F2" s="262"/>
      <c r="G2" s="262"/>
      <c r="H2" s="264"/>
      <c r="I2" s="1304"/>
    </row>
    <row r="3" spans="1:9" x14ac:dyDescent="0.2">
      <c r="A3" s="265"/>
      <c r="B3" s="266" t="s">
        <v>207</v>
      </c>
      <c r="C3" s="266"/>
      <c r="D3" s="266"/>
      <c r="E3" s="266"/>
      <c r="F3" s="266"/>
      <c r="G3" s="265"/>
      <c r="H3" s="267"/>
      <c r="I3" s="268"/>
    </row>
    <row r="4" spans="1:9" x14ac:dyDescent="0.2">
      <c r="A4" s="265"/>
      <c r="B4" s="269" t="s">
        <v>208</v>
      </c>
      <c r="C4" s="269"/>
      <c r="D4" s="270">
        <f>IF([1]MKK2!J17="","",[1]MKK2!J17)</f>
        <v>700</v>
      </c>
      <c r="E4" s="1318"/>
      <c r="F4" s="1319"/>
      <c r="G4" s="265"/>
      <c r="H4" s="267"/>
      <c r="I4" s="268"/>
    </row>
    <row r="5" spans="1:9" x14ac:dyDescent="0.2">
      <c r="A5" s="265"/>
      <c r="B5" s="269" t="s">
        <v>209</v>
      </c>
      <c r="C5" s="269"/>
      <c r="D5" s="271">
        <f>IF([1]MKK2!J19="","",[1]MKK2!J19)</f>
        <v>1995</v>
      </c>
      <c r="E5" s="1320"/>
      <c r="F5" s="1321"/>
      <c r="G5" s="265"/>
      <c r="H5" s="267"/>
      <c r="I5" s="268"/>
    </row>
    <row r="6" spans="1:9" x14ac:dyDescent="0.2">
      <c r="A6" s="265"/>
      <c r="B6" s="269" t="s">
        <v>210</v>
      </c>
      <c r="C6" s="269"/>
      <c r="D6" s="272">
        <f>IF([1]MKK2!J21="","",[1]MKK2!J21)</f>
        <v>15</v>
      </c>
      <c r="E6" s="1320"/>
      <c r="F6" s="1321"/>
      <c r="G6" s="265"/>
      <c r="H6" s="267"/>
      <c r="I6" s="268"/>
    </row>
    <row r="7" spans="1:9" ht="15.75" thickBot="1" x14ac:dyDescent="0.25">
      <c r="A7" s="265"/>
      <c r="B7" s="269" t="s">
        <v>211</v>
      </c>
      <c r="C7" s="269"/>
      <c r="D7" s="273">
        <f>IF([1]MKK2!K19="","",[1]MKK2!K19)</f>
        <v>25</v>
      </c>
      <c r="E7" s="1320"/>
      <c r="F7" s="1321"/>
      <c r="G7" s="265"/>
      <c r="H7" s="267"/>
      <c r="I7" s="268"/>
    </row>
    <row r="8" spans="1:9" ht="15.75" thickBot="1" x14ac:dyDescent="0.25">
      <c r="A8" s="265"/>
      <c r="B8" s="269" t="s">
        <v>328</v>
      </c>
      <c r="C8" s="269"/>
      <c r="D8" s="274">
        <f>C9-D5</f>
        <v>25</v>
      </c>
      <c r="E8" s="1322"/>
      <c r="F8" s="1321"/>
      <c r="G8" s="265"/>
      <c r="H8" s="267"/>
      <c r="I8" s="268"/>
    </row>
    <row r="9" spans="1:9" ht="15.75" thickBot="1" x14ac:dyDescent="0.25">
      <c r="A9" s="265"/>
      <c r="B9" s="269" t="s">
        <v>212</v>
      </c>
      <c r="C9" s="275">
        <f>IF([1]MKK2!G21="","",[1]MKK2!G21)</f>
        <v>2020</v>
      </c>
      <c r="D9" s="276">
        <v>1</v>
      </c>
      <c r="E9" s="1323"/>
      <c r="F9" s="1324"/>
      <c r="G9" s="265"/>
      <c r="H9" s="267"/>
      <c r="I9" s="268"/>
    </row>
    <row r="10" spans="1:9" ht="9.9499999999999993" customHeight="1" x14ac:dyDescent="0.2">
      <c r="A10" s="262"/>
      <c r="B10" s="262"/>
      <c r="C10" s="262"/>
      <c r="D10" s="262"/>
      <c r="E10" s="262"/>
      <c r="F10" s="262"/>
      <c r="G10" s="262"/>
      <c r="H10" s="264"/>
      <c r="I10" s="277"/>
    </row>
    <row r="11" spans="1:9" ht="15.75" thickBot="1" x14ac:dyDescent="0.25">
      <c r="A11" s="265"/>
      <c r="B11" s="266" t="s">
        <v>8</v>
      </c>
      <c r="C11" s="278" t="s">
        <v>213</v>
      </c>
      <c r="D11" s="278" t="s">
        <v>214</v>
      </c>
      <c r="E11" s="279"/>
      <c r="F11" s="278" t="s">
        <v>215</v>
      </c>
      <c r="G11" s="265"/>
      <c r="H11" s="267"/>
      <c r="I11" s="268"/>
    </row>
    <row r="12" spans="1:9" ht="15.75" thickBot="1" x14ac:dyDescent="0.25">
      <c r="A12" s="604" t="s">
        <v>281</v>
      </c>
      <c r="B12" s="269" t="s">
        <v>216</v>
      </c>
      <c r="C12" s="280">
        <f>IF(D12="","",100/D6)</f>
        <v>6.666666666666667</v>
      </c>
      <c r="D12" s="276">
        <v>0</v>
      </c>
      <c r="E12" s="1316" t="s">
        <v>217</v>
      </c>
      <c r="F12" s="281">
        <f>IF(D12="","Afa fehlt!",D12)</f>
        <v>0</v>
      </c>
      <c r="G12" s="265"/>
      <c r="H12" s="267"/>
      <c r="I12" s="268"/>
    </row>
    <row r="13" spans="1:9" ht="15.75" thickBot="1" x14ac:dyDescent="0.25">
      <c r="A13" s="604" t="s">
        <v>337</v>
      </c>
      <c r="B13" s="269" t="str">
        <f>IF([1]MKK2!C26&lt;&gt;"","Unterbringung (U) = "&amp;DOLLAR([1]MKK2!C26,2),"Unterbringung (U)")</f>
        <v>Unterbringung (U)</v>
      </c>
      <c r="C13" s="282">
        <f>IF(OR([1]MKK2!J24="",[1]MKK2!J26&lt;&gt;""),"",[1]MKK2!J24)</f>
        <v>0.01</v>
      </c>
      <c r="D13" s="276">
        <f t="shared" ref="D13:D15" si="0">$D$4*C13</f>
        <v>7</v>
      </c>
      <c r="E13" s="1317"/>
      <c r="F13" s="281">
        <f>IF(D13="","U in € fehlt!",D13)</f>
        <v>7</v>
      </c>
      <c r="G13" s="283"/>
      <c r="H13" s="284"/>
      <c r="I13" s="268"/>
    </row>
    <row r="14" spans="1:9" ht="15.75" thickBot="1" x14ac:dyDescent="0.25">
      <c r="A14" s="604" t="s">
        <v>338</v>
      </c>
      <c r="B14" s="269" t="str">
        <f>IF([1]MKK2!C32&lt;&gt;"","Versicherung (V) = "&amp;DOLLAR([1]MKK2!C32,2),"Versicherung (V)")</f>
        <v>Versicherung (V)</v>
      </c>
      <c r="C14" s="282">
        <f>IF(OR([1]MKK2!J30="",[1]MKK2!J32&lt;&gt;""),"",[1]MKK2!J30)</f>
        <v>0.01</v>
      </c>
      <c r="D14" s="276">
        <f t="shared" si="0"/>
        <v>7</v>
      </c>
      <c r="E14" s="1317"/>
      <c r="F14" s="281">
        <f>IF(D14="","V in € fehlt!",D14)</f>
        <v>7</v>
      </c>
      <c r="G14" s="283"/>
      <c r="H14" s="284"/>
      <c r="I14" s="268"/>
    </row>
    <row r="15" spans="1:9" ht="15.75" thickBot="1" x14ac:dyDescent="0.25">
      <c r="A15" s="604" t="s">
        <v>339</v>
      </c>
      <c r="B15" s="269" t="s">
        <v>218</v>
      </c>
      <c r="C15" s="282">
        <f>IF([1]MKK2!K24="","",[1]MKK2!K24)</f>
        <v>0.03</v>
      </c>
      <c r="D15" s="276">
        <f t="shared" si="0"/>
        <v>21</v>
      </c>
      <c r="E15" s="1317"/>
      <c r="F15" s="285">
        <f>IF(D15="","Z in € fehlt!",D15)</f>
        <v>21</v>
      </c>
      <c r="G15" s="283"/>
      <c r="H15" s="284"/>
      <c r="I15" s="268"/>
    </row>
    <row r="16" spans="1:9" ht="15.75" thickBot="1" x14ac:dyDescent="0.25">
      <c r="A16" s="604"/>
      <c r="B16" s="286"/>
      <c r="C16" s="286"/>
      <c r="D16" s="286"/>
      <c r="E16" s="287" t="s">
        <v>9</v>
      </c>
      <c r="F16" s="288">
        <f>SUM(F12:F15)</f>
        <v>35</v>
      </c>
      <c r="G16" s="265"/>
      <c r="H16" s="267"/>
      <c r="I16" s="268"/>
    </row>
    <row r="17" spans="1:9" ht="9.9499999999999993" customHeight="1" x14ac:dyDescent="0.2">
      <c r="A17" s="605"/>
      <c r="B17" s="262"/>
      <c r="C17" s="262"/>
      <c r="D17" s="262"/>
      <c r="E17" s="262"/>
      <c r="F17" s="262"/>
      <c r="G17" s="262"/>
      <c r="H17" s="264"/>
      <c r="I17" s="277"/>
    </row>
    <row r="18" spans="1:9" ht="15.75" thickBot="1" x14ac:dyDescent="0.25">
      <c r="A18" s="604"/>
      <c r="B18" s="266" t="s">
        <v>7</v>
      </c>
      <c r="C18" s="278" t="s">
        <v>213</v>
      </c>
      <c r="D18" s="278" t="s">
        <v>219</v>
      </c>
      <c r="E18" s="279"/>
      <c r="F18" s="278" t="s">
        <v>215</v>
      </c>
      <c r="G18" s="265"/>
      <c r="H18" s="267"/>
      <c r="I18" s="268"/>
    </row>
    <row r="19" spans="1:9" ht="15.75" customHeight="1" thickBot="1" x14ac:dyDescent="0.25">
      <c r="A19" s="604" t="s">
        <v>340</v>
      </c>
      <c r="B19" s="269" t="s">
        <v>220</v>
      </c>
      <c r="C19" s="269"/>
      <c r="D19" s="289">
        <f>IF([1]MKK2!K26="","",[1]MKK2!K26)</f>
        <v>2.38</v>
      </c>
      <c r="E19" s="1316" t="s">
        <v>221</v>
      </c>
      <c r="F19" s="290">
        <f>D19*D7</f>
        <v>59.5</v>
      </c>
      <c r="G19" s="265"/>
      <c r="H19" s="267"/>
      <c r="I19" s="268"/>
    </row>
    <row r="20" spans="1:9" ht="15.75" thickBot="1" x14ac:dyDescent="0.25">
      <c r="A20" s="604" t="s">
        <v>341</v>
      </c>
      <c r="B20" s="291">
        <v>100</v>
      </c>
      <c r="C20" s="282">
        <f>IF([1]MKK2!G28="","",[1]MKK2!G28)</f>
        <v>0.1</v>
      </c>
      <c r="D20" s="292">
        <f>D4*C20</f>
        <v>70</v>
      </c>
      <c r="E20" s="1317"/>
      <c r="F20" s="290">
        <f>D20/100*D7</f>
        <v>17.5</v>
      </c>
      <c r="G20" s="265"/>
      <c r="H20" s="267"/>
      <c r="I20" s="268"/>
    </row>
    <row r="21" spans="1:9" ht="15.75" thickBot="1" x14ac:dyDescent="0.25">
      <c r="A21" s="265"/>
      <c r="B21" s="293"/>
      <c r="C21" s="293"/>
      <c r="D21" s="293"/>
      <c r="E21" s="287" t="s">
        <v>10</v>
      </c>
      <c r="F21" s="288">
        <f>SUM(F19:F20)</f>
        <v>77</v>
      </c>
      <c r="G21" s="265"/>
      <c r="H21" s="267"/>
      <c r="I21" s="268"/>
    </row>
    <row r="22" spans="1:9" x14ac:dyDescent="0.2">
      <c r="A22" s="262"/>
      <c r="B22" s="262"/>
      <c r="C22" s="262"/>
      <c r="D22" s="262"/>
      <c r="E22" s="262"/>
      <c r="F22" s="262"/>
      <c r="G22" s="262"/>
      <c r="H22" s="264"/>
      <c r="I22" s="277"/>
    </row>
    <row r="23" spans="1:9" ht="15.75" thickBot="1" x14ac:dyDescent="0.25">
      <c r="A23" s="265"/>
      <c r="B23" s="266" t="s">
        <v>201</v>
      </c>
      <c r="C23" s="266"/>
      <c r="D23" s="266"/>
      <c r="E23" s="266"/>
      <c r="F23" s="278" t="s">
        <v>222</v>
      </c>
      <c r="G23" s="265"/>
      <c r="H23" s="267"/>
      <c r="I23" s="268"/>
    </row>
    <row r="24" spans="1:9" ht="15.75" thickBot="1" x14ac:dyDescent="0.25">
      <c r="A24" s="265"/>
      <c r="B24" s="294" t="s">
        <v>223</v>
      </c>
      <c r="C24" s="294"/>
      <c r="D24" s="294"/>
      <c r="E24" s="294"/>
      <c r="F24" s="276">
        <f>F16/D7</f>
        <v>1.4</v>
      </c>
      <c r="G24" s="265"/>
      <c r="H24" s="267"/>
      <c r="I24" s="268"/>
    </row>
    <row r="25" spans="1:9" ht="15.75" thickBot="1" x14ac:dyDescent="0.25">
      <c r="A25" s="265"/>
      <c r="B25" s="294" t="s">
        <v>224</v>
      </c>
      <c r="C25" s="294"/>
      <c r="D25" s="294"/>
      <c r="E25" s="294"/>
      <c r="F25" s="276">
        <f>F21/D7</f>
        <v>3.08</v>
      </c>
      <c r="G25" s="265"/>
      <c r="H25" s="267"/>
      <c r="I25" s="268"/>
    </row>
    <row r="26" spans="1:9" ht="15.75" thickBot="1" x14ac:dyDescent="0.25">
      <c r="A26" s="265"/>
      <c r="B26" s="295" t="s">
        <v>225</v>
      </c>
      <c r="C26" s="295"/>
      <c r="D26" s="295"/>
      <c r="E26" s="295"/>
      <c r="F26" s="296">
        <f>SUM(F24:F25)</f>
        <v>4.4800000000000004</v>
      </c>
      <c r="G26" s="265"/>
      <c r="H26" s="267"/>
      <c r="I26" s="297"/>
    </row>
    <row r="27" spans="1:9" x14ac:dyDescent="0.2">
      <c r="A27" s="298"/>
      <c r="B27" s="298"/>
      <c r="C27" s="298"/>
      <c r="D27" s="298"/>
      <c r="E27" s="298"/>
      <c r="F27" s="298"/>
      <c r="G27" s="298"/>
      <c r="H27" s="299"/>
      <c r="I27" s="297"/>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sheet="1" objects="1" scenarios="1"/>
  <mergeCells count="4">
    <mergeCell ref="E19:E20"/>
    <mergeCell ref="E4:F9"/>
    <mergeCell ref="E12:E15"/>
    <mergeCell ref="I1:I2"/>
  </mergeCells>
  <phoneticPr fontId="4" type="noConversion"/>
  <conditionalFormatting sqref="F13">
    <cfRule type="cellIs" dxfId="11" priority="1" stopIfTrue="1" operator="equal">
      <formula>"U in € fehlt!"</formula>
    </cfRule>
  </conditionalFormatting>
  <conditionalFormatting sqref="F14">
    <cfRule type="cellIs" dxfId="10" priority="2" stopIfTrue="1" operator="equal">
      <formula>"V in € fehlt!"</formula>
    </cfRule>
  </conditionalFormatting>
  <conditionalFormatting sqref="F15">
    <cfRule type="cellIs" dxfId="9" priority="3" stopIfTrue="1" operator="equal">
      <formula>"Z in € fehlt!"</formula>
    </cfRule>
  </conditionalFormatting>
  <conditionalFormatting sqref="F12 D9">
    <cfRule type="cellIs" dxfId="8" priority="4" stopIfTrue="1" operator="equal">
      <formula>"Afa fehlt!"</formula>
    </cfRule>
  </conditionalFormatting>
  <conditionalFormatting sqref="C12">
    <cfRule type="expression" dxfId="7" priority="5" stopIfTrue="1">
      <formula>$D$12=0</formula>
    </cfRule>
  </conditionalFormatting>
  <conditionalFormatting sqref="C13:C14">
    <cfRule type="cellIs" dxfId="6" priority="6" stopIfTrue="1" operator="equal">
      <formula>""</formula>
    </cfRule>
  </conditionalFormatting>
  <conditionalFormatting sqref="F19">
    <cfRule type="expression" dxfId="5" priority="7" stopIfTrue="1">
      <formula>OR($D$19=0,$D$19="",$D$19="-")</formula>
    </cfRule>
  </conditionalFormatting>
  <conditionalFormatting sqref="D19">
    <cfRule type="cellIs" dxfId="4" priority="8" stopIfTrue="1" operator="equal">
      <formula>0</formula>
    </cfRule>
    <cfRule type="cellIs" dxfId="3" priority="9" stopIfTrue="1" operator="equal">
      <formula>""</formula>
    </cfRule>
    <cfRule type="cellIs" dxfId="2" priority="10"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2">
    <tabColor indexed="10"/>
  </sheetPr>
  <dimension ref="A1:IV236"/>
  <sheetViews>
    <sheetView showGridLines="0" zoomScaleNormal="100" workbookViewId="0">
      <pane ySplit="10" topLeftCell="A11" activePane="bottomLeft" state="frozen"/>
      <selection activeCell="J26" sqref="J26"/>
      <selection pane="bottomLeft" activeCell="J26" sqref="J26"/>
    </sheetView>
  </sheetViews>
  <sheetFormatPr baseColWidth="10" defaultColWidth="0" defaultRowHeight="12.75" customHeight="1" zeroHeight="1" x14ac:dyDescent="0.2"/>
  <cols>
    <col min="1" max="1" width="11.7109375" style="516" customWidth="1"/>
    <col min="2" max="2" width="7.7109375" style="516" customWidth="1"/>
    <col min="3" max="4" width="2.7109375" style="516" customWidth="1"/>
    <col min="5" max="5" width="1" style="516" customWidth="1"/>
    <col min="6" max="6" width="9.7109375" style="517" customWidth="1"/>
    <col min="7" max="7" width="1" style="517" customWidth="1"/>
    <col min="8" max="8" width="2.7109375" style="517" customWidth="1"/>
    <col min="9" max="9" width="1" style="517" customWidth="1"/>
    <col min="10" max="10" width="7.7109375" style="517" customWidth="1"/>
    <col min="11" max="11" width="1" style="517" customWidth="1"/>
    <col min="12" max="12" width="2.7109375" style="511" customWidth="1"/>
    <col min="13" max="13" width="1" style="511" customWidth="1"/>
    <col min="14" max="14" width="7.7109375" style="511" customWidth="1"/>
    <col min="15" max="15" width="1" style="511" customWidth="1"/>
    <col min="16" max="16" width="7.7109375" style="511" customWidth="1"/>
    <col min="17" max="19" width="2.7109375" style="511" customWidth="1"/>
    <col min="20" max="20" width="9.7109375" style="511" customWidth="1"/>
    <col min="21" max="21" width="2.7109375" style="511" customWidth="1"/>
    <col min="22" max="22" width="7.7109375" style="511" customWidth="1"/>
    <col min="23" max="23" width="2.7109375" style="511" customWidth="1"/>
    <col min="24" max="24" width="7.7109375" style="511" customWidth="1"/>
    <col min="25" max="26" width="2.7109375" style="511" customWidth="1"/>
    <col min="27" max="27" width="0.85546875" customWidth="1"/>
    <col min="28" max="28" width="20.7109375" customWidth="1"/>
    <col min="29" max="16384" width="11.7109375" style="511" hidden="1"/>
  </cols>
  <sheetData>
    <row r="1" spans="1:28" s="2" customFormat="1" ht="24.95" customHeight="1" x14ac:dyDescent="0.45">
      <c r="A1" s="392" t="str">
        <f>"Gebäudebewertung: "&amp;IF('[1]2NGeb'!L13="","",'[1]2NGeb'!L13)&amp;" "&amp;IF([1]Allg!E10="","",[1]Allg!E10)</f>
        <v xml:space="preserve">Gebäudebewertung:  </v>
      </c>
      <c r="B1" s="393"/>
      <c r="C1" s="393"/>
      <c r="D1" s="393"/>
      <c r="E1" s="393"/>
      <c r="F1" s="392"/>
      <c r="G1" s="392"/>
      <c r="H1" s="394"/>
      <c r="I1" s="394"/>
      <c r="J1" s="394"/>
      <c r="K1" s="394"/>
      <c r="L1" s="395"/>
      <c r="M1" s="395"/>
      <c r="N1" s="395"/>
      <c r="O1" s="395"/>
      <c r="P1" s="395"/>
      <c r="Q1" s="395"/>
      <c r="R1" s="395"/>
      <c r="S1" s="395"/>
      <c r="T1" s="395"/>
      <c r="U1" s="395"/>
      <c r="V1" s="395"/>
      <c r="W1" s="395"/>
      <c r="X1" s="395"/>
      <c r="Y1" s="395"/>
      <c r="Z1" s="395"/>
      <c r="AA1" s="261"/>
      <c r="AB1" s="1304" t="s">
        <v>11</v>
      </c>
    </row>
    <row r="2" spans="1:28" s="2" customFormat="1" ht="12.6" customHeight="1" x14ac:dyDescent="0.2">
      <c r="A2" s="396" t="s">
        <v>282</v>
      </c>
      <c r="B2" s="397"/>
      <c r="C2" s="397"/>
      <c r="D2" s="397"/>
      <c r="E2" s="397"/>
      <c r="F2" s="396"/>
      <c r="G2" s="396"/>
      <c r="H2" s="396"/>
      <c r="I2" s="396"/>
      <c r="J2" s="396"/>
      <c r="K2" s="396"/>
      <c r="L2" s="398"/>
      <c r="M2" s="398"/>
      <c r="N2" s="398"/>
      <c r="O2" s="398"/>
      <c r="P2" s="398"/>
      <c r="Q2" s="398"/>
      <c r="R2" s="398"/>
      <c r="S2" s="398"/>
      <c r="T2" s="398"/>
      <c r="U2" s="398"/>
      <c r="V2" s="398"/>
      <c r="W2" s="398"/>
      <c r="X2" s="398"/>
      <c r="Y2" s="398"/>
      <c r="Z2" s="398"/>
      <c r="AA2" s="264"/>
      <c r="AB2" s="1304"/>
    </row>
    <row r="3" spans="1:28" s="3" customFormat="1" ht="12.75" customHeight="1" x14ac:dyDescent="0.2">
      <c r="A3" s="399"/>
      <c r="B3" s="400"/>
      <c r="C3" s="400"/>
      <c r="D3" s="400"/>
      <c r="E3" s="400"/>
      <c r="F3" s="401"/>
      <c r="G3" s="401"/>
      <c r="H3" s="401"/>
      <c r="I3" s="401"/>
      <c r="J3" s="401"/>
      <c r="K3" s="401"/>
      <c r="AA3" s="267"/>
      <c r="AB3" s="1304"/>
    </row>
    <row r="4" spans="1:28" s="3" customFormat="1" ht="12.75" customHeight="1" x14ac:dyDescent="0.2">
      <c r="A4" s="402" t="str">
        <f>"Gesamte(r) "&amp;'[1]2NGeb'!C15</f>
        <v>Gesamte(r) Stadel</v>
      </c>
      <c r="U4" s="402" t="str">
        <f>"Eingebaute(r) "&amp;'[1]2NGeb'!C17</f>
        <v>Eingebaute(r) Rinderstall (Warmstall)</v>
      </c>
      <c r="AA4" s="267"/>
      <c r="AB4" s="1304"/>
    </row>
    <row r="5" spans="1:28" s="3" customFormat="1" ht="12.75" customHeight="1" x14ac:dyDescent="0.2">
      <c r="A5" s="400" t="s">
        <v>283</v>
      </c>
      <c r="B5" s="404">
        <f>IF([1]Allg!E12="","",[1]Allg!E12)</f>
        <v>2020</v>
      </c>
      <c r="C5" s="405"/>
      <c r="D5" s="405"/>
      <c r="E5" s="405"/>
      <c r="T5" s="403"/>
      <c r="U5" s="400" t="s">
        <v>284</v>
      </c>
      <c r="X5" s="404">
        <f>IF('[1]2NGeb'!M28="","",'[1]2NGeb'!M28)</f>
        <v>2004</v>
      </c>
      <c r="AA5" s="267"/>
      <c r="AB5" s="1304"/>
    </row>
    <row r="6" spans="1:28" s="3" customFormat="1" ht="12.75" customHeight="1" x14ac:dyDescent="0.2">
      <c r="A6" s="400" t="s">
        <v>285</v>
      </c>
      <c r="B6" s="404">
        <f>IF('[1]2NGeb'!L21="","",'[1]2NGeb'!L21)</f>
        <v>1993</v>
      </c>
      <c r="C6" s="405"/>
      <c r="D6" s="405"/>
      <c r="E6" s="405"/>
      <c r="F6" s="401"/>
      <c r="G6" s="401"/>
      <c r="H6" s="401"/>
      <c r="I6" s="401"/>
      <c r="J6" s="400" t="s">
        <v>286</v>
      </c>
      <c r="M6" s="399"/>
      <c r="N6" s="406">
        <f>IF('[1]2NGeb'!L28="","",'[1]2NGeb'!L28)</f>
        <v>24</v>
      </c>
      <c r="O6" s="407"/>
      <c r="P6" s="3" t="s">
        <v>287</v>
      </c>
      <c r="U6" s="400" t="s">
        <v>286</v>
      </c>
      <c r="X6" s="406">
        <f>IF('[1]2NGeb'!M30="","",'[1]2NGeb'!M30)</f>
        <v>24</v>
      </c>
      <c r="Y6" s="3" t="s">
        <v>288</v>
      </c>
      <c r="AA6" s="267"/>
      <c r="AB6" s="1304"/>
    </row>
    <row r="7" spans="1:28" s="3" customFormat="1" ht="12.75" customHeight="1" x14ac:dyDescent="0.2">
      <c r="A7" s="400" t="s">
        <v>289</v>
      </c>
      <c r="B7" s="404">
        <f>IF('[1]2NGeb'!L23="","",'[1]2NGeb'!L23)</f>
        <v>43</v>
      </c>
      <c r="C7" s="408" t="s">
        <v>290</v>
      </c>
      <c r="D7" s="405"/>
      <c r="E7" s="405"/>
      <c r="G7" s="408"/>
      <c r="H7" s="401"/>
      <c r="I7" s="401"/>
      <c r="J7" s="400" t="s">
        <v>291</v>
      </c>
      <c r="M7" s="399"/>
      <c r="N7" s="406">
        <f>IF('[1]2NGeb'!L30="","",'[1]2NGeb'!L30)</f>
        <v>15</v>
      </c>
      <c r="O7" s="407"/>
      <c r="P7" s="3" t="s">
        <v>287</v>
      </c>
      <c r="U7" s="400" t="s">
        <v>291</v>
      </c>
      <c r="X7" s="406">
        <f>IF('[1]2NGeb'!M32="","",'[1]2NGeb'!M32)</f>
        <v>8</v>
      </c>
      <c r="Y7" s="3" t="s">
        <v>288</v>
      </c>
      <c r="AA7" s="267"/>
      <c r="AB7" s="1304"/>
    </row>
    <row r="8" spans="1:28" s="3" customFormat="1" ht="12.75" customHeight="1" x14ac:dyDescent="0.2">
      <c r="H8" s="401"/>
      <c r="I8" s="401"/>
      <c r="J8" s="400" t="s">
        <v>292</v>
      </c>
      <c r="M8" s="399"/>
      <c r="N8" s="406">
        <f>IF('[1]2NGeb'!L32="","",'[1]2NGeb'!L32)</f>
        <v>4</v>
      </c>
      <c r="O8" s="407"/>
      <c r="P8" s="3" t="s">
        <v>329</v>
      </c>
      <c r="U8" s="400" t="s">
        <v>292</v>
      </c>
      <c r="X8" s="406">
        <f>IF('[1]2NGeb'!M34="","",'[1]2NGeb'!M34)</f>
        <v>4</v>
      </c>
      <c r="Y8" s="3" t="s">
        <v>288</v>
      </c>
      <c r="AA8" s="267"/>
      <c r="AB8" s="1304"/>
    </row>
    <row r="9" spans="1:28" s="3" customFormat="1" ht="12.75" customHeight="1" x14ac:dyDescent="0.2">
      <c r="F9" s="408"/>
      <c r="G9" s="408"/>
      <c r="H9" s="401"/>
      <c r="I9" s="401"/>
      <c r="J9" s="400" t="s">
        <v>293</v>
      </c>
      <c r="M9" s="399"/>
      <c r="N9" s="409">
        <f>IF('[1]2NGeb'!L36="","",'[1]2NGeb'!L36)</f>
        <v>45</v>
      </c>
      <c r="O9" s="410"/>
      <c r="P9" s="3" t="s">
        <v>294</v>
      </c>
      <c r="U9" s="400" t="s">
        <v>293</v>
      </c>
      <c r="X9" s="409">
        <f>IF('[1]2NGeb'!M36="","",'[1]2NGeb'!M36)</f>
        <v>152</v>
      </c>
      <c r="Y9" s="3" t="s">
        <v>295</v>
      </c>
      <c r="AA9" s="267"/>
      <c r="AB9" s="1304"/>
    </row>
    <row r="10" spans="1:28" s="3" customFormat="1" ht="12" customHeight="1" x14ac:dyDescent="0.2">
      <c r="A10" s="401"/>
      <c r="B10" s="401"/>
      <c r="C10" s="401"/>
      <c r="D10" s="401"/>
      <c r="E10" s="401"/>
      <c r="F10" s="401"/>
      <c r="G10" s="401"/>
      <c r="H10" s="401"/>
      <c r="I10" s="401"/>
      <c r="J10" s="399"/>
      <c r="K10" s="399"/>
      <c r="L10" s="410"/>
      <c r="M10" s="410"/>
      <c r="Q10" s="399"/>
      <c r="R10" s="399"/>
      <c r="S10" s="399"/>
      <c r="T10" s="399"/>
      <c r="U10" s="410"/>
      <c r="AA10" s="264"/>
      <c r="AB10" s="1304"/>
    </row>
    <row r="11" spans="1:28" s="413" customFormat="1" ht="15" customHeight="1" x14ac:dyDescent="0.2">
      <c r="A11" s="411" t="str">
        <f>A4</f>
        <v>Gesamte(r) Stadel</v>
      </c>
      <c r="B11" s="412"/>
      <c r="C11" s="412"/>
      <c r="D11" s="412"/>
      <c r="E11" s="412"/>
      <c r="F11" s="147"/>
      <c r="G11" s="147"/>
      <c r="H11" s="147"/>
      <c r="I11" s="147"/>
      <c r="J11" s="147"/>
      <c r="K11" s="147"/>
      <c r="L11" s="57"/>
      <c r="M11" s="57"/>
      <c r="N11" s="57"/>
      <c r="O11" s="57"/>
      <c r="P11" s="57"/>
      <c r="Q11" s="57"/>
      <c r="R11" s="57"/>
      <c r="S11" s="57"/>
      <c r="T11" s="57"/>
      <c r="U11" s="57"/>
      <c r="V11" s="57"/>
      <c r="W11" s="57"/>
      <c r="X11" s="57"/>
      <c r="Y11" s="57"/>
      <c r="Z11" s="57"/>
      <c r="AA11" s="267"/>
      <c r="AB11" s="268">
        <f>B7/4</f>
        <v>10.75</v>
      </c>
    </row>
    <row r="12" spans="1:28" s="415" customFormat="1" ht="3" customHeight="1" thickBot="1" x14ac:dyDescent="0.25">
      <c r="A12" s="414"/>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267"/>
      <c r="AB12" s="268"/>
    </row>
    <row r="13" spans="1:28" s="415" customFormat="1" ht="3.95" customHeight="1" x14ac:dyDescent="0.2">
      <c r="A13" s="414"/>
      <c r="B13" s="416"/>
      <c r="C13" s="417"/>
      <c r="D13" s="417"/>
      <c r="E13" s="417"/>
      <c r="F13" s="417"/>
      <c r="G13" s="418"/>
      <c r="H13" s="417"/>
      <c r="I13" s="417"/>
      <c r="J13" s="417"/>
      <c r="K13" s="417"/>
      <c r="L13" s="417"/>
      <c r="M13" s="417"/>
      <c r="N13" s="417"/>
      <c r="O13" s="419"/>
      <c r="P13" s="414"/>
      <c r="Q13" s="414"/>
      <c r="R13" s="414"/>
      <c r="S13" s="414"/>
      <c r="T13" s="414"/>
      <c r="U13" s="414"/>
      <c r="V13" s="414"/>
      <c r="W13" s="414"/>
      <c r="X13" s="414"/>
      <c r="Y13" s="414"/>
      <c r="Z13" s="414"/>
      <c r="AA13" s="284"/>
      <c r="AB13" s="268"/>
    </row>
    <row r="14" spans="1:28" s="413" customFormat="1" ht="15" customHeight="1" x14ac:dyDescent="0.15">
      <c r="A14" s="414"/>
      <c r="B14" s="420" t="s">
        <v>296</v>
      </c>
      <c r="C14" s="421" t="str">
        <f>MID('[1]2NGeb'!$C$15,1,2)</f>
        <v>St</v>
      </c>
      <c r="D14" s="422" t="s">
        <v>297</v>
      </c>
      <c r="E14" s="422"/>
      <c r="F14" s="423" t="s">
        <v>317</v>
      </c>
      <c r="G14" s="424"/>
      <c r="H14" s="423" t="s">
        <v>1</v>
      </c>
      <c r="I14" s="424"/>
      <c r="J14" s="423" t="s">
        <v>318</v>
      </c>
      <c r="K14" s="424"/>
      <c r="L14" s="423" t="s">
        <v>1</v>
      </c>
      <c r="M14" s="424"/>
      <c r="N14" s="423" t="s">
        <v>320</v>
      </c>
      <c r="O14" s="425"/>
      <c r="P14" s="426" t="s">
        <v>298</v>
      </c>
      <c r="Q14" s="426"/>
      <c r="R14" s="426"/>
      <c r="S14" s="426"/>
      <c r="T14" s="426"/>
      <c r="U14" s="426"/>
      <c r="V14" s="426"/>
      <c r="W14" s="426"/>
      <c r="X14" s="426"/>
      <c r="Y14" s="426"/>
      <c r="Z14" s="426"/>
      <c r="AA14" s="284"/>
      <c r="AB14" s="268">
        <f>B7/2</f>
        <v>21.5</v>
      </c>
    </row>
    <row r="15" spans="1:28" s="413" customFormat="1" ht="3.95" customHeight="1" thickBot="1" x14ac:dyDescent="0.25">
      <c r="A15" s="414"/>
      <c r="B15" s="427"/>
      <c r="C15" s="428"/>
      <c r="D15" s="428"/>
      <c r="E15" s="428"/>
      <c r="F15" s="429"/>
      <c r="G15" s="429"/>
      <c r="H15" s="429"/>
      <c r="I15" s="429"/>
      <c r="J15" s="429"/>
      <c r="K15" s="429"/>
      <c r="L15" s="430"/>
      <c r="M15" s="430"/>
      <c r="N15" s="429"/>
      <c r="O15" s="431"/>
      <c r="P15" s="432"/>
      <c r="Q15" s="432"/>
      <c r="R15" s="432"/>
      <c r="S15" s="432"/>
      <c r="T15" s="432"/>
      <c r="U15" s="432"/>
      <c r="V15" s="432"/>
      <c r="W15" s="432"/>
      <c r="X15" s="432"/>
      <c r="Y15" s="432"/>
      <c r="Z15" s="432"/>
      <c r="AA15" s="284"/>
      <c r="AB15" s="268"/>
    </row>
    <row r="16" spans="1:28" s="413" customFormat="1" ht="3.95" customHeight="1" thickBot="1" x14ac:dyDescent="0.25">
      <c r="A16" s="414"/>
      <c r="B16" s="197"/>
      <c r="C16" s="414"/>
      <c r="D16" s="414"/>
      <c r="E16" s="414"/>
      <c r="F16" s="433"/>
      <c r="G16" s="433"/>
      <c r="H16" s="433"/>
      <c r="I16" s="433"/>
      <c r="J16" s="433"/>
      <c r="K16" s="433"/>
      <c r="L16" s="432"/>
      <c r="M16" s="432"/>
      <c r="N16" s="433"/>
      <c r="O16" s="433"/>
      <c r="P16" s="432"/>
      <c r="Q16" s="432"/>
      <c r="R16" s="432"/>
      <c r="S16" s="432"/>
      <c r="T16" s="432"/>
      <c r="U16" s="432"/>
      <c r="V16" s="432"/>
      <c r="W16" s="432"/>
      <c r="X16" s="432"/>
      <c r="Y16" s="432"/>
      <c r="Z16" s="432"/>
      <c r="AA16" s="267"/>
      <c r="AB16" s="268"/>
    </row>
    <row r="17" spans="1:28" s="413" customFormat="1" ht="15" customHeight="1" thickBot="1" x14ac:dyDescent="0.2">
      <c r="A17" s="414"/>
      <c r="B17" s="197" t="s">
        <v>296</v>
      </c>
      <c r="C17" s="434" t="str">
        <f>MID('[1]2NGeb'!$C$15,1,2)</f>
        <v>St</v>
      </c>
      <c r="D17" s="433" t="s">
        <v>297</v>
      </c>
      <c r="E17" s="433"/>
      <c r="F17" s="254">
        <f>N6*N7*N8</f>
        <v>1440</v>
      </c>
      <c r="G17" s="433"/>
      <c r="H17" s="33" t="s">
        <v>276</v>
      </c>
      <c r="I17" s="33"/>
      <c r="J17" s="433"/>
      <c r="K17" s="433"/>
      <c r="L17" s="432"/>
      <c r="M17" s="432"/>
      <c r="N17" s="432"/>
      <c r="O17" s="432"/>
      <c r="P17" s="435" t="s">
        <v>0</v>
      </c>
      <c r="Q17" s="435"/>
      <c r="R17" s="435"/>
      <c r="S17" s="435"/>
      <c r="T17" s="435"/>
      <c r="U17" s="435"/>
      <c r="V17" s="435"/>
      <c r="W17" s="435"/>
      <c r="X17" s="435"/>
      <c r="Y17" s="435"/>
      <c r="Z17" s="435"/>
      <c r="AA17" s="264"/>
      <c r="AB17" s="277"/>
    </row>
    <row r="18" spans="1:28" s="413" customFormat="1" ht="3" customHeight="1" x14ac:dyDescent="0.2">
      <c r="A18" s="414"/>
      <c r="B18" s="197"/>
      <c r="C18" s="197"/>
      <c r="D18" s="197"/>
      <c r="E18" s="197"/>
      <c r="F18" s="197"/>
      <c r="G18" s="433"/>
      <c r="H18" s="33"/>
      <c r="I18" s="33"/>
      <c r="J18" s="433"/>
      <c r="K18" s="433"/>
      <c r="L18" s="432"/>
      <c r="M18" s="432"/>
      <c r="N18" s="432"/>
      <c r="O18" s="432"/>
      <c r="P18" s="432"/>
      <c r="Q18" s="432"/>
      <c r="R18" s="432"/>
      <c r="S18" s="432"/>
      <c r="T18" s="432"/>
      <c r="U18" s="432"/>
      <c r="V18" s="432"/>
      <c r="W18" s="432"/>
      <c r="X18" s="432"/>
      <c r="Y18" s="432"/>
      <c r="Z18" s="432"/>
      <c r="AA18" s="267"/>
      <c r="AB18" s="268"/>
    </row>
    <row r="19" spans="1:28" s="413" customFormat="1" ht="8.1" customHeight="1" thickBot="1" x14ac:dyDescent="0.25">
      <c r="A19" s="436"/>
      <c r="B19" s="437"/>
      <c r="C19" s="436"/>
      <c r="D19" s="436"/>
      <c r="E19" s="436"/>
      <c r="F19" s="438"/>
      <c r="G19" s="438"/>
      <c r="H19" s="438"/>
      <c r="I19" s="438"/>
      <c r="J19" s="438"/>
      <c r="K19" s="438"/>
      <c r="Q19" s="439"/>
      <c r="R19" s="439"/>
      <c r="S19" s="439"/>
      <c r="T19" s="439"/>
      <c r="U19" s="439"/>
      <c r="V19" s="439"/>
      <c r="W19" s="439"/>
      <c r="X19" s="439"/>
      <c r="Y19" s="439"/>
      <c r="Z19" s="439"/>
      <c r="AA19" s="63"/>
      <c r="AB19" s="603"/>
    </row>
    <row r="20" spans="1:28" s="413" customFormat="1" ht="3.95" customHeight="1" x14ac:dyDescent="0.2">
      <c r="A20" s="436"/>
      <c r="B20" s="440"/>
      <c r="C20" s="417"/>
      <c r="D20" s="417"/>
      <c r="E20" s="417"/>
      <c r="F20" s="418"/>
      <c r="G20" s="418"/>
      <c r="H20" s="418"/>
      <c r="I20" s="418"/>
      <c r="J20" s="418"/>
      <c r="K20" s="441"/>
      <c r="Q20" s="439"/>
      <c r="R20" s="439"/>
      <c r="S20" s="439"/>
      <c r="T20" s="439"/>
      <c r="U20" s="439"/>
      <c r="V20" s="439"/>
      <c r="W20" s="439"/>
      <c r="X20" s="439"/>
      <c r="Y20" s="439"/>
      <c r="Z20" s="439"/>
      <c r="AA20" s="63"/>
      <c r="AB20" s="603"/>
    </row>
    <row r="21" spans="1:28" s="413" customFormat="1" ht="15" customHeight="1" x14ac:dyDescent="0.2">
      <c r="A21" s="442"/>
      <c r="B21" s="420" t="s">
        <v>280</v>
      </c>
      <c r="C21" s="421" t="str">
        <f>MID('[1]2NGeb'!$C$15,1,2)</f>
        <v>St</v>
      </c>
      <c r="D21" s="422" t="s">
        <v>297</v>
      </c>
      <c r="E21" s="422"/>
      <c r="F21" s="423" t="s">
        <v>314</v>
      </c>
      <c r="G21" s="422"/>
      <c r="H21" s="423" t="s">
        <v>54</v>
      </c>
      <c r="I21" s="422"/>
      <c r="J21" s="423" t="s">
        <v>313</v>
      </c>
      <c r="K21" s="425"/>
      <c r="L21" s="443"/>
      <c r="M21" s="443"/>
      <c r="Q21" s="439"/>
      <c r="R21" s="439"/>
      <c r="S21" s="439"/>
      <c r="T21" s="439"/>
      <c r="U21" s="439"/>
      <c r="V21" s="439"/>
      <c r="W21" s="439"/>
      <c r="X21" s="439"/>
      <c r="Y21" s="439"/>
      <c r="Z21" s="439"/>
      <c r="AA21" s="63"/>
      <c r="AB21" s="603"/>
    </row>
    <row r="22" spans="1:28" s="413" customFormat="1" ht="3.95" customHeight="1" thickBot="1" x14ac:dyDescent="0.25">
      <c r="A22" s="436"/>
      <c r="B22" s="427"/>
      <c r="C22" s="428"/>
      <c r="D22" s="428"/>
      <c r="E22" s="428"/>
      <c r="F22" s="429"/>
      <c r="G22" s="429"/>
      <c r="H22" s="429"/>
      <c r="I22" s="429"/>
      <c r="J22" s="429"/>
      <c r="K22" s="431"/>
      <c r="L22" s="439"/>
      <c r="M22" s="439"/>
      <c r="Q22" s="439"/>
      <c r="R22" s="439"/>
      <c r="S22" s="439"/>
      <c r="T22" s="439"/>
      <c r="U22" s="439"/>
      <c r="V22" s="439"/>
      <c r="W22" s="439"/>
      <c r="X22" s="439"/>
      <c r="Y22" s="439"/>
      <c r="Z22" s="439"/>
      <c r="AA22" s="63"/>
      <c r="AB22" s="603"/>
    </row>
    <row r="23" spans="1:28" s="413" customFormat="1" ht="3.95" customHeight="1" thickBot="1" x14ac:dyDescent="0.25">
      <c r="A23" s="436"/>
      <c r="B23" s="437"/>
      <c r="C23" s="436"/>
      <c r="D23" s="436"/>
      <c r="E23" s="436"/>
      <c r="F23" s="438"/>
      <c r="G23" s="438"/>
      <c r="H23" s="438"/>
      <c r="I23" s="438"/>
      <c r="J23" s="438"/>
      <c r="K23" s="438"/>
      <c r="L23" s="439"/>
      <c r="M23" s="439"/>
      <c r="Q23" s="439"/>
      <c r="R23" s="439"/>
      <c r="S23" s="439"/>
      <c r="T23" s="439"/>
      <c r="U23" s="439"/>
      <c r="V23" s="439"/>
      <c r="W23" s="439"/>
      <c r="X23" s="439"/>
      <c r="Y23" s="439"/>
      <c r="Z23" s="439"/>
      <c r="AA23" s="63"/>
      <c r="AB23" s="603"/>
    </row>
    <row r="24" spans="1:28" s="413" customFormat="1" ht="15" customHeight="1" thickBot="1" x14ac:dyDescent="0.25">
      <c r="A24" s="436"/>
      <c r="B24" s="437" t="s">
        <v>280</v>
      </c>
      <c r="C24" s="444" t="str">
        <f>MID('[1]2NGeb'!$C$15,1,2)</f>
        <v>St</v>
      </c>
      <c r="D24" s="405" t="s">
        <v>297</v>
      </c>
      <c r="F24" s="254">
        <f>B5-B6</f>
        <v>27</v>
      </c>
      <c r="G24" s="438"/>
      <c r="H24" s="442" t="s">
        <v>279</v>
      </c>
      <c r="I24" s="442"/>
      <c r="J24" s="445"/>
      <c r="K24" s="445"/>
      <c r="L24" s="446"/>
      <c r="M24" s="255"/>
      <c r="N24" s="15" t="s">
        <v>299</v>
      </c>
      <c r="O24" s="447"/>
      <c r="P24" s="447"/>
      <c r="Q24" s="448"/>
      <c r="R24" s="448"/>
      <c r="S24" s="448"/>
      <c r="T24" s="449"/>
      <c r="U24" s="439"/>
      <c r="V24" s="439"/>
      <c r="W24" s="439"/>
      <c r="X24" s="439"/>
      <c r="Y24" s="439"/>
      <c r="Z24" s="439"/>
      <c r="AA24" s="63"/>
      <c r="AB24" s="603"/>
    </row>
    <row r="25" spans="1:28" s="413" customFormat="1" ht="3" customHeight="1" thickBot="1" x14ac:dyDescent="0.25">
      <c r="A25" s="436"/>
      <c r="B25" s="437"/>
      <c r="C25" s="450"/>
      <c r="D25" s="405"/>
      <c r="E25" s="405"/>
      <c r="F25" s="405"/>
      <c r="G25" s="438"/>
      <c r="H25" s="442"/>
      <c r="I25" s="442"/>
      <c r="J25" s="445"/>
      <c r="K25" s="445"/>
      <c r="M25" s="255"/>
      <c r="O25" s="447"/>
      <c r="P25" s="447"/>
      <c r="Q25" s="448"/>
      <c r="R25" s="448"/>
      <c r="S25" s="448"/>
      <c r="T25" s="449"/>
      <c r="U25" s="439"/>
      <c r="V25" s="439"/>
      <c r="W25" s="439"/>
      <c r="X25" s="439"/>
      <c r="Y25" s="439"/>
      <c r="Z25" s="439"/>
      <c r="AA25" s="63"/>
      <c r="AB25" s="603"/>
    </row>
    <row r="26" spans="1:28" s="413" customFormat="1" ht="15" customHeight="1" thickBot="1" x14ac:dyDescent="0.25">
      <c r="A26" s="436"/>
      <c r="B26" s="437"/>
      <c r="C26" s="450"/>
      <c r="D26" s="405"/>
      <c r="E26" s="405"/>
      <c r="F26" s="405"/>
      <c r="G26" s="438"/>
      <c r="H26" s="442"/>
      <c r="I26" s="442"/>
      <c r="J26" s="445"/>
      <c r="K26" s="445"/>
      <c r="L26" s="446"/>
      <c r="M26" s="255"/>
      <c r="N26" s="413" t="s">
        <v>300</v>
      </c>
      <c r="O26" s="447"/>
      <c r="P26" s="447"/>
      <c r="Q26" s="448"/>
      <c r="R26" s="448"/>
      <c r="S26" s="448"/>
      <c r="T26" s="449"/>
      <c r="U26" s="439"/>
      <c r="V26" s="439"/>
      <c r="W26" s="439"/>
      <c r="X26" s="439"/>
      <c r="Y26" s="439"/>
      <c r="Z26" s="439"/>
      <c r="AA26" s="63"/>
      <c r="AB26" s="603"/>
    </row>
    <row r="27" spans="1:28" s="413" customFormat="1" ht="3" customHeight="1" thickBot="1" x14ac:dyDescent="0.25">
      <c r="A27" s="436"/>
      <c r="B27" s="437"/>
      <c r="C27" s="450"/>
      <c r="D27" s="405"/>
      <c r="E27" s="405"/>
      <c r="F27" s="405"/>
      <c r="G27" s="438"/>
      <c r="H27" s="442"/>
      <c r="I27" s="442"/>
      <c r="J27" s="445"/>
      <c r="K27" s="445"/>
      <c r="M27" s="255"/>
      <c r="O27" s="447"/>
      <c r="P27" s="447"/>
      <c r="Q27" s="448"/>
      <c r="R27" s="448"/>
      <c r="S27" s="448"/>
      <c r="T27" s="449"/>
      <c r="U27" s="439"/>
      <c r="V27" s="439"/>
      <c r="W27" s="439"/>
      <c r="X27" s="439"/>
      <c r="Y27" s="439"/>
      <c r="Z27" s="439"/>
      <c r="AA27" s="63"/>
      <c r="AB27" s="603"/>
    </row>
    <row r="28" spans="1:28" s="413" customFormat="1" ht="15" customHeight="1" thickBot="1" x14ac:dyDescent="0.25">
      <c r="A28" s="436"/>
      <c r="B28" s="437"/>
      <c r="C28" s="450"/>
      <c r="D28" s="405"/>
      <c r="E28" s="405"/>
      <c r="F28" s="405"/>
      <c r="G28" s="438"/>
      <c r="H28" s="442"/>
      <c r="I28" s="442"/>
      <c r="J28" s="445"/>
      <c r="K28" s="445"/>
      <c r="L28" s="446" t="s">
        <v>1</v>
      </c>
      <c r="M28" s="255"/>
      <c r="N28" s="413" t="s">
        <v>301</v>
      </c>
      <c r="O28" s="447"/>
      <c r="P28" s="447"/>
      <c r="Q28" s="448"/>
      <c r="R28" s="448"/>
      <c r="S28" s="448"/>
      <c r="T28" s="449"/>
      <c r="U28" s="439"/>
      <c r="V28" s="439"/>
      <c r="W28" s="439"/>
      <c r="X28" s="439"/>
      <c r="Y28" s="439"/>
      <c r="Z28" s="439"/>
      <c r="AA28" s="63"/>
      <c r="AB28" s="603"/>
    </row>
    <row r="29" spans="1:28" s="413" customFormat="1" ht="3.95" customHeight="1" x14ac:dyDescent="0.2">
      <c r="A29" s="436"/>
      <c r="B29" s="437"/>
      <c r="C29" s="450"/>
      <c r="D29" s="405"/>
      <c r="E29" s="405"/>
      <c r="F29" s="405"/>
      <c r="G29" s="438"/>
      <c r="H29" s="442"/>
      <c r="I29" s="442"/>
      <c r="J29" s="445"/>
      <c r="K29" s="445"/>
      <c r="M29" s="255"/>
      <c r="O29" s="447"/>
      <c r="P29" s="447"/>
      <c r="Q29" s="448"/>
      <c r="R29" s="448"/>
      <c r="S29" s="448"/>
      <c r="T29" s="449"/>
      <c r="U29" s="439"/>
      <c r="V29" s="439"/>
      <c r="W29" s="439"/>
      <c r="X29" s="439"/>
      <c r="Y29" s="439"/>
      <c r="Z29" s="439"/>
      <c r="AA29" s="63"/>
      <c r="AB29" s="603"/>
    </row>
    <row r="30" spans="1:28" s="413" customFormat="1" ht="3.95" customHeight="1" x14ac:dyDescent="0.2">
      <c r="A30" s="414"/>
      <c r="B30" s="197"/>
      <c r="C30" s="451"/>
      <c r="D30" s="433"/>
      <c r="E30" s="433"/>
      <c r="F30" s="433"/>
      <c r="G30" s="433"/>
      <c r="H30" s="33"/>
      <c r="I30" s="33"/>
      <c r="J30" s="452"/>
      <c r="K30" s="452"/>
      <c r="L30" s="432"/>
      <c r="M30" s="453"/>
      <c r="N30" s="432"/>
      <c r="O30" s="454"/>
      <c r="P30" s="454"/>
      <c r="Q30" s="33"/>
      <c r="R30" s="33"/>
      <c r="S30" s="33"/>
      <c r="T30" s="232"/>
      <c r="U30" s="432"/>
      <c r="V30" s="432"/>
      <c r="W30" s="432"/>
      <c r="X30" s="432"/>
      <c r="Y30" s="432"/>
      <c r="Z30" s="432"/>
      <c r="AA30" s="63"/>
      <c r="AB30" s="603"/>
    </row>
    <row r="31" spans="1:28" s="413" customFormat="1" ht="15" customHeight="1" x14ac:dyDescent="0.2">
      <c r="A31" s="436"/>
      <c r="B31" s="436"/>
      <c r="C31" s="436"/>
      <c r="D31" s="436"/>
      <c r="E31" s="436"/>
      <c r="F31" s="438"/>
      <c r="G31" s="438"/>
      <c r="H31" s="438"/>
      <c r="I31" s="438"/>
      <c r="J31" s="438"/>
      <c r="K31" s="438"/>
      <c r="AA31" s="63"/>
      <c r="AB31" s="603"/>
    </row>
    <row r="32" spans="1:28" s="413" customFormat="1" ht="15" customHeight="1" x14ac:dyDescent="0.2">
      <c r="A32" s="411" t="str">
        <f>U4</f>
        <v>Eingebaute(r) Rinderstall (Warmstall)</v>
      </c>
      <c r="B32" s="412"/>
      <c r="C32" s="412"/>
      <c r="D32" s="412"/>
      <c r="E32" s="412"/>
      <c r="F32" s="147"/>
      <c r="G32" s="147"/>
      <c r="H32" s="147"/>
      <c r="I32" s="147"/>
      <c r="J32" s="147"/>
      <c r="K32" s="147"/>
      <c r="L32" s="57"/>
      <c r="M32" s="57"/>
      <c r="N32" s="57"/>
      <c r="O32" s="57"/>
      <c r="P32" s="57"/>
      <c r="Q32" s="53"/>
      <c r="R32" s="53"/>
      <c r="S32" s="53"/>
      <c r="T32" s="53"/>
      <c r="U32" s="53"/>
      <c r="V32" s="53"/>
      <c r="W32" s="53"/>
      <c r="X32" s="53"/>
      <c r="Y32" s="53"/>
      <c r="Z32" s="53"/>
      <c r="AA32" s="63"/>
      <c r="AB32" s="603"/>
    </row>
    <row r="33" spans="1:28" s="413" customFormat="1" ht="3" customHeight="1" thickBot="1" x14ac:dyDescent="0.25">
      <c r="A33" s="455"/>
      <c r="B33" s="61"/>
      <c r="C33" s="61"/>
      <c r="D33" s="61"/>
      <c r="E33" s="61"/>
      <c r="F33" s="50"/>
      <c r="G33" s="50"/>
      <c r="H33" s="50"/>
      <c r="I33" s="50"/>
      <c r="J33" s="50"/>
      <c r="K33" s="50"/>
      <c r="L33" s="20"/>
      <c r="M33" s="20"/>
      <c r="N33" s="20"/>
      <c r="O33" s="20"/>
      <c r="P33" s="20"/>
      <c r="Q33" s="53"/>
      <c r="R33" s="53"/>
      <c r="S33" s="53"/>
      <c r="T33" s="53"/>
      <c r="U33" s="53"/>
      <c r="V33" s="53"/>
      <c r="W33" s="53"/>
      <c r="X33" s="53"/>
      <c r="Y33" s="53"/>
      <c r="Z33" s="53"/>
      <c r="AA33" s="63"/>
      <c r="AB33" s="603"/>
    </row>
    <row r="34" spans="1:28" s="413" customFormat="1" ht="15" customHeight="1" thickBot="1" x14ac:dyDescent="0.25">
      <c r="A34" s="414"/>
      <c r="B34" s="197" t="s">
        <v>296</v>
      </c>
      <c r="C34" s="434" t="str">
        <f>MID('[1]2NGeb'!$C$17,1,2)</f>
        <v>Ri</v>
      </c>
      <c r="D34" s="433" t="s">
        <v>297</v>
      </c>
      <c r="E34" s="433"/>
      <c r="F34" s="254">
        <f>X6*X7*X8</f>
        <v>768</v>
      </c>
      <c r="G34" s="433"/>
      <c r="H34" s="33" t="s">
        <v>276</v>
      </c>
      <c r="I34" s="33"/>
      <c r="J34" s="433"/>
      <c r="K34" s="433"/>
      <c r="L34" s="432"/>
      <c r="M34" s="432"/>
      <c r="N34" s="432"/>
      <c r="O34" s="432"/>
      <c r="P34" s="432"/>
      <c r="Q34" s="439"/>
      <c r="R34" s="439"/>
      <c r="S34" s="439"/>
      <c r="T34" s="439"/>
      <c r="U34" s="439"/>
      <c r="V34" s="439"/>
      <c r="W34" s="439"/>
      <c r="X34" s="439"/>
      <c r="Y34" s="439"/>
      <c r="Z34" s="439"/>
      <c r="AA34" s="63"/>
      <c r="AB34" s="603"/>
    </row>
    <row r="35" spans="1:28" s="413" customFormat="1" ht="3" customHeight="1" x14ac:dyDescent="0.2">
      <c r="A35" s="414"/>
      <c r="B35" s="197"/>
      <c r="C35" s="197"/>
      <c r="D35" s="197"/>
      <c r="E35" s="197"/>
      <c r="F35" s="197"/>
      <c r="G35" s="197"/>
      <c r="H35" s="33"/>
      <c r="I35" s="33"/>
      <c r="J35" s="433"/>
      <c r="K35" s="433"/>
      <c r="L35" s="432"/>
      <c r="M35" s="432"/>
      <c r="N35" s="432"/>
      <c r="O35" s="432"/>
      <c r="P35" s="432"/>
      <c r="Q35" s="439"/>
      <c r="R35" s="439"/>
      <c r="S35" s="439"/>
      <c r="T35" s="439"/>
      <c r="U35" s="439"/>
      <c r="V35" s="439"/>
      <c r="W35" s="439"/>
      <c r="X35" s="439"/>
      <c r="Y35" s="439"/>
      <c r="Z35" s="439"/>
      <c r="AA35" s="63"/>
      <c r="AB35" s="603"/>
    </row>
    <row r="36" spans="1:28" s="413" customFormat="1" ht="8.1" customHeight="1" thickBot="1" x14ac:dyDescent="0.25">
      <c r="B36" s="442"/>
      <c r="Q36" s="439"/>
      <c r="R36" s="439"/>
      <c r="S36" s="439"/>
      <c r="T36" s="439"/>
      <c r="U36" s="439"/>
      <c r="V36" s="439"/>
      <c r="W36" s="439"/>
      <c r="X36" s="439"/>
      <c r="Y36" s="439"/>
      <c r="Z36" s="439"/>
      <c r="AA36" s="63"/>
      <c r="AB36" s="603"/>
    </row>
    <row r="37" spans="1:28" s="413" customFormat="1" ht="15" customHeight="1" thickBot="1" x14ac:dyDescent="0.25">
      <c r="A37" s="436"/>
      <c r="B37" s="437" t="s">
        <v>280</v>
      </c>
      <c r="C37" s="444" t="str">
        <f>MID('[1]2NGeb'!$C$17,1,2)</f>
        <v>Ri</v>
      </c>
      <c r="D37" s="405" t="s">
        <v>297</v>
      </c>
      <c r="F37" s="254">
        <f>B5-X5</f>
        <v>16</v>
      </c>
      <c r="G37" s="438"/>
      <c r="H37" s="442" t="s">
        <v>279</v>
      </c>
      <c r="I37" s="442"/>
      <c r="L37" s="446"/>
      <c r="M37" s="255"/>
      <c r="N37" s="15" t="s">
        <v>299</v>
      </c>
      <c r="AA37" s="63"/>
      <c r="AB37" s="603"/>
    </row>
    <row r="38" spans="1:28" s="413" customFormat="1" ht="3" customHeight="1" thickBot="1" x14ac:dyDescent="0.25">
      <c r="A38" s="436"/>
      <c r="B38" s="437"/>
      <c r="C38" s="437"/>
      <c r="D38" s="437"/>
      <c r="E38" s="437"/>
      <c r="F38" s="442"/>
      <c r="G38" s="442"/>
      <c r="H38" s="442"/>
      <c r="I38" s="442"/>
      <c r="M38" s="255"/>
      <c r="AA38" s="63"/>
      <c r="AB38" s="603"/>
    </row>
    <row r="39" spans="1:28" s="413" customFormat="1" ht="15" customHeight="1" thickBot="1" x14ac:dyDescent="0.25">
      <c r="A39" s="436"/>
      <c r="B39" s="437"/>
      <c r="C39" s="437"/>
      <c r="D39" s="437"/>
      <c r="E39" s="437"/>
      <c r="F39" s="442"/>
      <c r="G39" s="442"/>
      <c r="H39" s="442"/>
      <c r="I39" s="442"/>
      <c r="L39" s="446" t="s">
        <v>1</v>
      </c>
      <c r="M39" s="255"/>
      <c r="N39" s="413" t="s">
        <v>300</v>
      </c>
      <c r="AA39" s="63"/>
      <c r="AB39" s="603"/>
    </row>
    <row r="40" spans="1:28" s="413" customFormat="1" ht="3" customHeight="1" thickBot="1" x14ac:dyDescent="0.25">
      <c r="A40" s="436"/>
      <c r="B40" s="437"/>
      <c r="C40" s="437"/>
      <c r="D40" s="437"/>
      <c r="E40" s="437"/>
      <c r="F40" s="442"/>
      <c r="G40" s="442"/>
      <c r="H40" s="442"/>
      <c r="I40" s="442"/>
      <c r="M40" s="255"/>
      <c r="AA40" s="63"/>
      <c r="AB40" s="603"/>
    </row>
    <row r="41" spans="1:28" s="413" customFormat="1" ht="15" customHeight="1" thickBot="1" x14ac:dyDescent="0.25">
      <c r="A41" s="436"/>
      <c r="B41" s="437"/>
      <c r="C41" s="437"/>
      <c r="D41" s="437"/>
      <c r="E41" s="437"/>
      <c r="F41" s="442"/>
      <c r="G41" s="442"/>
      <c r="H41" s="442"/>
      <c r="I41" s="442"/>
      <c r="L41" s="446"/>
      <c r="M41" s="255"/>
      <c r="N41" s="413" t="s">
        <v>301</v>
      </c>
      <c r="AA41" s="63"/>
      <c r="AB41" s="603"/>
    </row>
    <row r="42" spans="1:28" s="413" customFormat="1" ht="15" customHeight="1" x14ac:dyDescent="0.2">
      <c r="Q42" s="439"/>
      <c r="R42" s="439"/>
      <c r="S42" s="439"/>
      <c r="T42" s="439"/>
      <c r="U42" s="439"/>
      <c r="V42" s="439"/>
      <c r="W42" s="439"/>
      <c r="X42" s="439"/>
      <c r="Y42" s="439"/>
      <c r="Z42" s="439"/>
      <c r="AA42" s="63"/>
      <c r="AB42" s="603"/>
    </row>
    <row r="43" spans="1:28" s="413" customFormat="1" ht="3" customHeight="1" x14ac:dyDescent="0.2">
      <c r="A43" s="432"/>
      <c r="B43" s="432"/>
      <c r="C43" s="432"/>
      <c r="D43" s="432"/>
      <c r="E43" s="432"/>
      <c r="F43" s="432"/>
      <c r="G43" s="432"/>
      <c r="H43" s="432"/>
      <c r="I43" s="432"/>
      <c r="J43" s="432"/>
      <c r="K43" s="432"/>
      <c r="L43" s="432"/>
      <c r="M43" s="432"/>
      <c r="N43" s="432"/>
      <c r="O43" s="432"/>
      <c r="P43" s="432"/>
      <c r="Q43" s="439"/>
      <c r="R43" s="439"/>
      <c r="S43" s="439"/>
      <c r="T43" s="439"/>
      <c r="U43" s="439"/>
      <c r="V43" s="439"/>
      <c r="W43" s="439"/>
      <c r="X43" s="439"/>
      <c r="Y43" s="439"/>
      <c r="Z43" s="439"/>
      <c r="AA43" s="63"/>
      <c r="AB43" s="603"/>
    </row>
    <row r="44" spans="1:28" s="413" customFormat="1" ht="15" customHeight="1" thickBot="1" x14ac:dyDescent="0.25">
      <c r="A44" s="414"/>
      <c r="B44" s="197" t="s">
        <v>302</v>
      </c>
      <c r="C44" s="434" t="str">
        <f>MID('[1]2NGeb'!$C$17,1,2)</f>
        <v>Ri</v>
      </c>
      <c r="D44" s="433" t="s">
        <v>297</v>
      </c>
      <c r="E44" s="433"/>
      <c r="F44" s="456">
        <f>IF(X9="","",X9)</f>
        <v>152</v>
      </c>
      <c r="G44" s="456"/>
      <c r="H44" s="433"/>
      <c r="I44" s="433"/>
      <c r="J44" s="433" t="s">
        <v>303</v>
      </c>
      <c r="K44" s="433"/>
      <c r="L44" s="432"/>
      <c r="M44" s="432"/>
      <c r="N44" s="457">
        <v>1</v>
      </c>
      <c r="O44" s="457"/>
      <c r="P44" s="457"/>
      <c r="Q44" s="439"/>
      <c r="R44" s="439"/>
      <c r="S44" s="439"/>
      <c r="T44" s="439"/>
      <c r="U44" s="439"/>
      <c r="V44" s="439"/>
      <c r="W44" s="439"/>
      <c r="X44" s="439"/>
      <c r="Y44" s="439"/>
      <c r="Z44" s="439"/>
      <c r="AA44" s="63"/>
      <c r="AB44" s="603"/>
    </row>
    <row r="45" spans="1:28" s="413" customFormat="1" ht="15" customHeight="1" thickBot="1" x14ac:dyDescent="0.25">
      <c r="A45" s="414"/>
      <c r="B45" s="197" t="s">
        <v>304</v>
      </c>
      <c r="C45" s="434" t="str">
        <f>MID('[1]2NGeb'!$C$17,1,2)</f>
        <v>Ri</v>
      </c>
      <c r="D45" s="433" t="s">
        <v>297</v>
      </c>
      <c r="E45" s="433"/>
      <c r="F45" s="458">
        <f>IF(OR(F44="",N45=""),"noch leer",F44*N45)</f>
        <v>121.60000000000001</v>
      </c>
      <c r="G45" s="458"/>
      <c r="H45" s="433"/>
      <c r="I45" s="433"/>
      <c r="J45" s="433" t="s">
        <v>303</v>
      </c>
      <c r="K45" s="433"/>
      <c r="L45" s="432"/>
      <c r="M45" s="432"/>
      <c r="N45" s="459">
        <v>0.8</v>
      </c>
      <c r="O45" s="457"/>
      <c r="P45" s="457"/>
      <c r="Q45" s="439"/>
      <c r="R45" s="439"/>
      <c r="S45" s="439"/>
      <c r="T45" s="439"/>
      <c r="U45" s="439"/>
      <c r="V45" s="439"/>
      <c r="W45" s="439"/>
      <c r="X45" s="439"/>
      <c r="Y45" s="439"/>
      <c r="Z45" s="439"/>
      <c r="AA45" s="63"/>
      <c r="AB45" s="603"/>
    </row>
    <row r="46" spans="1:28" s="413" customFormat="1" ht="15" customHeight="1" thickBot="1" x14ac:dyDescent="0.25">
      <c r="A46" s="414"/>
      <c r="B46" s="197"/>
      <c r="C46" s="451"/>
      <c r="D46" s="192"/>
      <c r="E46" s="192"/>
      <c r="F46" s="197"/>
      <c r="G46" s="197"/>
      <c r="H46" s="33"/>
      <c r="I46" s="33"/>
      <c r="J46" s="457"/>
      <c r="K46" s="457"/>
      <c r="L46" s="432"/>
      <c r="M46" s="432"/>
      <c r="N46" s="197"/>
      <c r="O46" s="197"/>
      <c r="P46" s="197"/>
      <c r="Q46" s="460"/>
      <c r="R46" s="460"/>
      <c r="S46" s="460"/>
      <c r="T46" s="58"/>
      <c r="U46" s="439"/>
      <c r="V46" s="439"/>
      <c r="W46" s="439"/>
      <c r="X46" s="439"/>
      <c r="Y46" s="439"/>
      <c r="Z46" s="439"/>
      <c r="AA46" s="63"/>
      <c r="AB46" s="603"/>
    </row>
    <row r="47" spans="1:28" s="413" customFormat="1" ht="3.95" customHeight="1" x14ac:dyDescent="0.2">
      <c r="A47" s="414"/>
      <c r="B47" s="440"/>
      <c r="C47" s="461"/>
      <c r="D47" s="462"/>
      <c r="E47" s="462"/>
      <c r="F47" s="463"/>
      <c r="G47" s="463"/>
      <c r="H47" s="464"/>
      <c r="I47" s="464"/>
      <c r="J47" s="465"/>
      <c r="K47" s="466"/>
      <c r="L47" s="432"/>
      <c r="M47" s="432"/>
      <c r="N47" s="197"/>
      <c r="O47" s="197"/>
      <c r="P47" s="197"/>
      <c r="Q47" s="460"/>
      <c r="R47" s="460"/>
      <c r="S47" s="460"/>
      <c r="T47" s="58"/>
      <c r="U47" s="439"/>
      <c r="V47" s="439"/>
      <c r="W47" s="439"/>
      <c r="X47" s="439"/>
      <c r="Y47" s="439"/>
      <c r="Z47" s="439"/>
      <c r="AA47" s="63"/>
      <c r="AB47" s="603"/>
    </row>
    <row r="48" spans="1:28" s="413" customFormat="1" ht="15" customHeight="1" x14ac:dyDescent="0.2">
      <c r="A48" s="414"/>
      <c r="B48" s="420" t="s">
        <v>305</v>
      </c>
      <c r="C48" s="421" t="str">
        <f>MID('[1]2NGeb'!$C$17,1,2)</f>
        <v>Ri</v>
      </c>
      <c r="D48" s="422" t="s">
        <v>297</v>
      </c>
      <c r="E48" s="422"/>
      <c r="F48" s="423" t="s">
        <v>296</v>
      </c>
      <c r="G48" s="424"/>
      <c r="H48" s="423" t="s">
        <v>1</v>
      </c>
      <c r="I48" s="424"/>
      <c r="J48" s="467" t="s">
        <v>321</v>
      </c>
      <c r="K48" s="468"/>
      <c r="L48" s="432"/>
      <c r="M48" s="432"/>
      <c r="N48" s="197"/>
      <c r="O48" s="197"/>
      <c r="P48" s="197"/>
      <c r="Q48" s="460"/>
      <c r="R48" s="460"/>
      <c r="S48" s="460"/>
      <c r="T48" s="58"/>
      <c r="U48" s="439"/>
      <c r="V48" s="439"/>
      <c r="W48" s="439"/>
      <c r="X48" s="439"/>
      <c r="Y48" s="439"/>
      <c r="Z48" s="439"/>
      <c r="AA48" s="63"/>
      <c r="AB48" s="603"/>
    </row>
    <row r="49" spans="1:28" s="413" customFormat="1" ht="3.95" customHeight="1" thickBot="1" x14ac:dyDescent="0.25">
      <c r="A49" s="414"/>
      <c r="B49" s="427"/>
      <c r="C49" s="469"/>
      <c r="D49" s="429"/>
      <c r="E49" s="429"/>
      <c r="F49" s="430"/>
      <c r="G49" s="430"/>
      <c r="H49" s="430"/>
      <c r="I49" s="430"/>
      <c r="J49" s="430"/>
      <c r="K49" s="470"/>
      <c r="L49" s="432"/>
      <c r="M49" s="432"/>
      <c r="N49" s="197"/>
      <c r="O49" s="197"/>
      <c r="P49" s="197"/>
      <c r="Q49" s="460"/>
      <c r="R49" s="460"/>
      <c r="S49" s="460"/>
      <c r="T49" s="58"/>
      <c r="U49" s="439"/>
      <c r="V49" s="439"/>
      <c r="W49" s="439"/>
      <c r="X49" s="439"/>
      <c r="Y49" s="439"/>
      <c r="Z49" s="439"/>
      <c r="AA49" s="63"/>
      <c r="AB49" s="603"/>
    </row>
    <row r="50" spans="1:28" s="413" customFormat="1" ht="3" customHeight="1" thickBot="1" x14ac:dyDescent="0.25">
      <c r="A50" s="414"/>
      <c r="B50" s="197"/>
      <c r="C50" s="451"/>
      <c r="D50" s="433"/>
      <c r="E50" s="433"/>
      <c r="F50" s="432"/>
      <c r="G50" s="432"/>
      <c r="H50" s="432"/>
      <c r="I50" s="432"/>
      <c r="J50" s="432"/>
      <c r="K50" s="432"/>
      <c r="L50" s="432"/>
      <c r="M50" s="432"/>
      <c r="N50" s="197"/>
      <c r="O50" s="197"/>
      <c r="P50" s="197"/>
      <c r="Q50" s="460"/>
      <c r="R50" s="460"/>
      <c r="S50" s="460"/>
      <c r="T50" s="58"/>
      <c r="U50" s="439"/>
      <c r="V50" s="439"/>
      <c r="W50" s="439"/>
      <c r="X50" s="439"/>
      <c r="Y50" s="439"/>
      <c r="Z50" s="439"/>
      <c r="AA50" s="63"/>
      <c r="AB50" s="603"/>
    </row>
    <row r="51" spans="1:28" s="413" customFormat="1" ht="15" customHeight="1" thickBot="1" x14ac:dyDescent="0.25">
      <c r="A51" s="414"/>
      <c r="B51" s="197" t="s">
        <v>305</v>
      </c>
      <c r="C51" s="434" t="str">
        <f>MID('[1]2NGeb'!$C$17,1,2)</f>
        <v>Ri</v>
      </c>
      <c r="D51" s="192" t="s">
        <v>297</v>
      </c>
      <c r="E51" s="192"/>
      <c r="F51" s="231">
        <f>F34*F45</f>
        <v>93388.800000000003</v>
      </c>
      <c r="G51" s="433"/>
      <c r="H51" s="33" t="s">
        <v>294</v>
      </c>
      <c r="I51" s="33"/>
      <c r="J51" s="432"/>
      <c r="K51" s="432"/>
      <c r="L51" s="432"/>
      <c r="M51" s="432"/>
      <c r="N51" s="197"/>
      <c r="O51" s="197"/>
      <c r="P51" s="197"/>
      <c r="Q51" s="460"/>
      <c r="R51" s="460"/>
      <c r="S51" s="460"/>
      <c r="T51" s="58"/>
      <c r="U51" s="439"/>
      <c r="V51" s="439"/>
      <c r="W51" s="439"/>
      <c r="X51" s="439"/>
      <c r="Y51" s="439"/>
      <c r="Z51" s="439"/>
      <c r="AA51" s="63"/>
      <c r="AB51" s="603"/>
    </row>
    <row r="52" spans="1:28" s="413" customFormat="1" ht="3" customHeight="1" x14ac:dyDescent="0.2">
      <c r="A52" s="414"/>
      <c r="B52" s="197"/>
      <c r="C52" s="197"/>
      <c r="D52" s="197"/>
      <c r="E52" s="197"/>
      <c r="F52" s="197"/>
      <c r="G52" s="197"/>
      <c r="H52" s="33"/>
      <c r="I52" s="33"/>
      <c r="J52" s="457"/>
      <c r="K52" s="457"/>
      <c r="L52" s="432"/>
      <c r="M52" s="432"/>
      <c r="N52" s="197"/>
      <c r="O52" s="197"/>
      <c r="P52" s="197"/>
      <c r="Q52" s="460"/>
      <c r="R52" s="460"/>
      <c r="S52" s="460"/>
      <c r="T52" s="58"/>
      <c r="U52" s="439"/>
      <c r="V52" s="439"/>
      <c r="W52" s="439"/>
      <c r="X52" s="439"/>
      <c r="Y52" s="439"/>
      <c r="Z52" s="439"/>
      <c r="AA52" s="63"/>
      <c r="AB52" s="603"/>
    </row>
    <row r="53" spans="1:28" s="413" customFormat="1" ht="20.100000000000001" customHeight="1" x14ac:dyDescent="0.2">
      <c r="A53" s="471"/>
      <c r="B53" s="472"/>
      <c r="C53" s="472"/>
      <c r="D53" s="472"/>
      <c r="E53" s="472"/>
      <c r="F53" s="460"/>
      <c r="G53" s="460"/>
      <c r="H53" s="58"/>
      <c r="I53" s="58"/>
      <c r="J53" s="473"/>
      <c r="K53" s="473"/>
      <c r="L53" s="439"/>
      <c r="M53" s="439"/>
      <c r="N53" s="472"/>
      <c r="O53" s="472"/>
      <c r="P53" s="472"/>
      <c r="Q53" s="460"/>
      <c r="R53" s="460"/>
      <c r="S53" s="460"/>
      <c r="T53" s="58"/>
      <c r="U53" s="439"/>
      <c r="V53" s="439"/>
      <c r="W53" s="439"/>
      <c r="X53" s="439"/>
      <c r="Y53" s="439"/>
      <c r="Z53" s="439"/>
      <c r="AA53" s="63"/>
      <c r="AB53" s="603"/>
    </row>
    <row r="54" spans="1:28" s="413" customFormat="1" ht="15" customHeight="1" x14ac:dyDescent="0.2">
      <c r="A54" s="439"/>
      <c r="B54" s="474"/>
      <c r="C54" s="474"/>
      <c r="D54" s="474"/>
      <c r="E54" s="474"/>
      <c r="F54" s="475"/>
      <c r="G54" s="475"/>
      <c r="H54" s="475"/>
      <c r="I54" s="475"/>
      <c r="J54" s="475"/>
      <c r="K54" s="475"/>
      <c r="L54" s="53"/>
      <c r="M54" s="53"/>
      <c r="N54" s="411" t="str">
        <f>'[1]2NGeb'!C19</f>
        <v>Bergeraum (erdlastig)</v>
      </c>
      <c r="O54" s="411"/>
      <c r="P54" s="411"/>
      <c r="Q54" s="57"/>
      <c r="R54" s="57"/>
      <c r="S54" s="57"/>
      <c r="T54" s="57"/>
      <c r="U54" s="57"/>
      <c r="V54" s="57"/>
      <c r="W54" s="57"/>
      <c r="X54" s="57"/>
      <c r="Y54" s="57"/>
      <c r="Z54" s="57"/>
      <c r="AA54" s="63"/>
      <c r="AB54" s="603"/>
    </row>
    <row r="55" spans="1:28" s="413" customFormat="1" ht="3" customHeight="1" x14ac:dyDescent="0.2">
      <c r="A55" s="476"/>
      <c r="B55" s="471"/>
      <c r="C55" s="471"/>
      <c r="D55" s="471"/>
      <c r="E55" s="471"/>
      <c r="F55" s="471"/>
      <c r="G55" s="471"/>
      <c r="H55" s="471"/>
      <c r="I55" s="471"/>
      <c r="J55" s="471"/>
      <c r="K55" s="471"/>
      <c r="L55" s="471"/>
      <c r="M55" s="471"/>
      <c r="N55" s="414"/>
      <c r="O55" s="414"/>
      <c r="P55" s="414"/>
      <c r="Q55" s="414"/>
      <c r="R55" s="414"/>
      <c r="S55" s="414"/>
      <c r="T55" s="414"/>
      <c r="U55" s="414"/>
      <c r="V55" s="414"/>
      <c r="W55" s="414"/>
      <c r="X55" s="414"/>
      <c r="Y55" s="414"/>
      <c r="Z55" s="414"/>
      <c r="AA55" s="63"/>
      <c r="AB55" s="603"/>
    </row>
    <row r="56" spans="1:28" s="413" customFormat="1" ht="15" customHeight="1" x14ac:dyDescent="0.2">
      <c r="A56" s="471"/>
      <c r="B56" s="471"/>
      <c r="C56" s="471"/>
      <c r="D56" s="471"/>
      <c r="E56" s="471"/>
      <c r="F56" s="471"/>
      <c r="G56" s="471"/>
      <c r="H56" s="471"/>
      <c r="I56" s="471"/>
      <c r="J56" s="471"/>
      <c r="K56" s="471"/>
      <c r="L56" s="471"/>
      <c r="M56" s="471"/>
      <c r="N56" s="414"/>
      <c r="O56" s="414"/>
      <c r="P56" s="414"/>
      <c r="Q56" s="414"/>
      <c r="R56" s="432" t="str">
        <f>A11</f>
        <v>Gesamte(r) Stadel</v>
      </c>
      <c r="S56" s="432"/>
      <c r="T56" s="432"/>
      <c r="U56" s="414"/>
      <c r="V56" s="414"/>
      <c r="W56" s="414"/>
      <c r="X56" s="414">
        <f>IF(F17="","noch leer",F17)</f>
        <v>1440</v>
      </c>
      <c r="Y56" s="432" t="s">
        <v>306</v>
      </c>
      <c r="Z56" s="414"/>
      <c r="AA56" s="63"/>
      <c r="AB56" s="603"/>
    </row>
    <row r="57" spans="1:28" s="413" customFormat="1" ht="3.95" customHeight="1" thickBot="1" x14ac:dyDescent="0.25">
      <c r="A57" s="471"/>
      <c r="B57" s="471"/>
      <c r="C57" s="471"/>
      <c r="D57" s="471"/>
      <c r="E57" s="471"/>
      <c r="F57" s="471"/>
      <c r="G57" s="471"/>
      <c r="H57" s="471"/>
      <c r="I57" s="471"/>
      <c r="J57" s="471"/>
      <c r="K57" s="471"/>
      <c r="L57" s="471"/>
      <c r="M57" s="471"/>
      <c r="N57" s="414"/>
      <c r="O57" s="414"/>
      <c r="P57" s="414"/>
      <c r="Q57" s="414"/>
      <c r="R57" s="414"/>
      <c r="S57" s="414"/>
      <c r="T57" s="414"/>
      <c r="U57" s="414"/>
      <c r="V57" s="414"/>
      <c r="W57" s="414"/>
      <c r="X57" s="414"/>
      <c r="Y57" s="432"/>
      <c r="Z57" s="414"/>
      <c r="AA57" s="63"/>
      <c r="AB57" s="603"/>
    </row>
    <row r="58" spans="1:28" s="413" customFormat="1" ht="15" customHeight="1" thickBot="1" x14ac:dyDescent="0.25">
      <c r="A58" s="471"/>
      <c r="B58" s="471"/>
      <c r="C58" s="471"/>
      <c r="D58" s="471"/>
      <c r="E58" s="471"/>
      <c r="F58" s="471"/>
      <c r="G58" s="471"/>
      <c r="H58" s="471"/>
      <c r="I58" s="471"/>
      <c r="J58" s="471"/>
      <c r="K58" s="471"/>
      <c r="L58" s="471"/>
      <c r="M58" s="471"/>
      <c r="N58" s="414"/>
      <c r="O58" s="414"/>
      <c r="P58" s="414"/>
      <c r="Q58" s="446" t="s">
        <v>54</v>
      </c>
      <c r="R58" s="432" t="str">
        <f>A32</f>
        <v>Eingebaute(r) Rinderstall (Warmstall)</v>
      </c>
      <c r="S58" s="432"/>
      <c r="T58" s="432"/>
      <c r="U58" s="414"/>
      <c r="V58" s="414"/>
      <c r="W58" s="414"/>
      <c r="X58" s="414">
        <f>IF(F34="","noch leer",F34)</f>
        <v>768</v>
      </c>
      <c r="Y58" s="432" t="s">
        <v>306</v>
      </c>
      <c r="Z58" s="414"/>
      <c r="AA58" s="63"/>
      <c r="AB58" s="603"/>
    </row>
    <row r="59" spans="1:28" s="413" customFormat="1" ht="3" customHeight="1" x14ac:dyDescent="0.2">
      <c r="A59" s="471"/>
      <c r="B59" s="471"/>
      <c r="C59" s="471"/>
      <c r="D59" s="471"/>
      <c r="E59" s="471"/>
      <c r="F59" s="471"/>
      <c r="G59" s="471"/>
      <c r="H59" s="471"/>
      <c r="I59" s="471"/>
      <c r="J59" s="471"/>
      <c r="K59" s="471"/>
      <c r="L59" s="471"/>
      <c r="M59" s="471"/>
      <c r="N59" s="414"/>
      <c r="O59" s="414"/>
      <c r="P59" s="414"/>
      <c r="Q59" s="477"/>
      <c r="R59" s="478"/>
      <c r="S59" s="478"/>
      <c r="T59" s="478"/>
      <c r="U59" s="477"/>
      <c r="V59" s="477"/>
      <c r="W59" s="477"/>
      <c r="X59" s="477"/>
      <c r="Y59" s="479"/>
      <c r="Z59" s="414"/>
      <c r="AA59" s="63"/>
      <c r="AB59" s="603"/>
    </row>
    <row r="60" spans="1:28" s="413" customFormat="1" ht="3" customHeight="1" x14ac:dyDescent="0.2">
      <c r="A60" s="471"/>
      <c r="B60" s="471"/>
      <c r="C60" s="471"/>
      <c r="D60" s="471"/>
      <c r="E60" s="471"/>
      <c r="F60" s="471"/>
      <c r="G60" s="471"/>
      <c r="H60" s="471"/>
      <c r="I60" s="471"/>
      <c r="J60" s="471"/>
      <c r="K60" s="471"/>
      <c r="L60" s="471"/>
      <c r="M60" s="471"/>
      <c r="N60" s="414"/>
      <c r="O60" s="414"/>
      <c r="P60" s="414"/>
      <c r="Q60" s="414"/>
      <c r="R60" s="480"/>
      <c r="S60" s="480"/>
      <c r="T60" s="480"/>
      <c r="U60" s="414"/>
      <c r="V60" s="414"/>
      <c r="W60" s="414"/>
      <c r="X60" s="414"/>
      <c r="Y60" s="432"/>
      <c r="Z60" s="414"/>
      <c r="AA60" s="63"/>
      <c r="AB60" s="603"/>
    </row>
    <row r="61" spans="1:28" s="413" customFormat="1" ht="15" customHeight="1" x14ac:dyDescent="0.2">
      <c r="A61" s="471"/>
      <c r="B61" s="471"/>
      <c r="C61" s="471"/>
      <c r="D61" s="471"/>
      <c r="E61" s="471"/>
      <c r="F61" s="471"/>
      <c r="G61" s="471"/>
      <c r="H61" s="471"/>
      <c r="I61" s="471"/>
      <c r="J61" s="471"/>
      <c r="K61" s="471"/>
      <c r="L61" s="471"/>
      <c r="M61" s="471"/>
      <c r="N61" s="414"/>
      <c r="O61" s="414"/>
      <c r="P61" s="414"/>
      <c r="Q61" s="192" t="s">
        <v>297</v>
      </c>
      <c r="R61" s="481" t="str">
        <f>'[1]2NGeb'!C19</f>
        <v>Bergeraum (erdlastig)</v>
      </c>
      <c r="S61" s="481"/>
      <c r="T61" s="481"/>
      <c r="U61" s="192"/>
      <c r="V61" s="192"/>
      <c r="W61" s="414"/>
      <c r="X61" s="197">
        <f>IF(Q58="+",X56+X58,IF(Q58="-",X56-X58,IF(Q58="x",X56*X58,IF(Q58=":",X56/X58,""))))</f>
        <v>672</v>
      </c>
      <c r="Y61" s="33" t="s">
        <v>306</v>
      </c>
      <c r="Z61" s="414"/>
      <c r="AA61" s="63"/>
      <c r="AB61" s="603"/>
    </row>
    <row r="62" spans="1:28" s="413" customFormat="1" ht="3" customHeight="1" x14ac:dyDescent="0.2">
      <c r="A62" s="471"/>
      <c r="B62" s="471"/>
      <c r="C62" s="471"/>
      <c r="D62" s="471"/>
      <c r="E62" s="471"/>
      <c r="F62" s="471"/>
      <c r="G62" s="471"/>
      <c r="H62" s="471"/>
      <c r="I62" s="471"/>
      <c r="J62" s="471"/>
      <c r="K62" s="471"/>
      <c r="L62" s="471"/>
      <c r="M62" s="471"/>
      <c r="N62" s="414"/>
      <c r="O62" s="414"/>
      <c r="P62" s="414"/>
      <c r="Q62" s="414"/>
      <c r="R62" s="414"/>
      <c r="S62" s="414"/>
      <c r="T62" s="414"/>
      <c r="U62" s="414"/>
      <c r="V62" s="414"/>
      <c r="W62" s="414"/>
      <c r="X62" s="414"/>
      <c r="Y62" s="414"/>
      <c r="Z62" s="414"/>
      <c r="AA62" s="63"/>
      <c r="AB62" s="603"/>
    </row>
    <row r="63" spans="1:28" s="413" customFormat="1" ht="15" customHeight="1" x14ac:dyDescent="0.2">
      <c r="A63" s="471"/>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63"/>
      <c r="AB63" s="603"/>
    </row>
    <row r="64" spans="1:28" s="413" customFormat="1" ht="3" customHeight="1" x14ac:dyDescent="0.2">
      <c r="A64" s="471"/>
      <c r="B64" s="471"/>
      <c r="C64" s="471"/>
      <c r="D64" s="471"/>
      <c r="E64" s="471"/>
      <c r="F64" s="471"/>
      <c r="G64" s="471"/>
      <c r="H64" s="471"/>
      <c r="I64" s="471"/>
      <c r="J64" s="471"/>
      <c r="K64" s="471"/>
      <c r="L64" s="471"/>
      <c r="M64" s="471"/>
      <c r="N64" s="414"/>
      <c r="O64" s="414"/>
      <c r="P64" s="414"/>
      <c r="Q64" s="414"/>
      <c r="R64" s="414"/>
      <c r="S64" s="414"/>
      <c r="T64" s="414"/>
      <c r="U64" s="414"/>
      <c r="V64" s="414"/>
      <c r="W64" s="414"/>
      <c r="X64" s="414"/>
      <c r="Y64" s="414"/>
      <c r="Z64" s="414"/>
      <c r="AA64" s="63"/>
      <c r="AB64" s="603"/>
    </row>
    <row r="65" spans="1:28" s="413" customFormat="1" ht="15" customHeight="1" x14ac:dyDescent="0.2">
      <c r="A65" s="471"/>
      <c r="B65" s="439"/>
      <c r="C65" s="439"/>
      <c r="D65" s="439"/>
      <c r="E65" s="439"/>
      <c r="F65" s="439"/>
      <c r="G65" s="439"/>
      <c r="H65" s="439"/>
      <c r="I65" s="439"/>
      <c r="J65" s="439"/>
      <c r="K65" s="439"/>
      <c r="L65" s="439"/>
      <c r="M65" s="439"/>
      <c r="N65" s="414"/>
      <c r="O65" s="414"/>
      <c r="P65" s="414"/>
      <c r="Q65" s="197" t="s">
        <v>302</v>
      </c>
      <c r="R65" s="482" t="str">
        <f>MID('[1]2NGeb'!$C$19,1,2)</f>
        <v>Be</v>
      </c>
      <c r="S65" s="414" t="s">
        <v>297</v>
      </c>
      <c r="T65" s="456">
        <f>IF(N9="","",N9)</f>
        <v>45</v>
      </c>
      <c r="U65" s="433"/>
      <c r="V65" s="433" t="s">
        <v>303</v>
      </c>
      <c r="W65" s="414"/>
      <c r="X65" s="457">
        <v>1</v>
      </c>
      <c r="Y65" s="414"/>
      <c r="Z65" s="414"/>
      <c r="AA65" s="63"/>
      <c r="AB65" s="603"/>
    </row>
    <row r="66" spans="1:28" s="413" customFormat="1" ht="3.95" customHeight="1" thickBot="1" x14ac:dyDescent="0.25">
      <c r="A66" s="471"/>
      <c r="B66" s="439"/>
      <c r="C66" s="439"/>
      <c r="D66" s="439"/>
      <c r="E66" s="439"/>
      <c r="F66" s="439"/>
      <c r="G66" s="439"/>
      <c r="H66" s="439"/>
      <c r="I66" s="439"/>
      <c r="J66" s="439"/>
      <c r="K66" s="439"/>
      <c r="L66" s="439"/>
      <c r="M66" s="439"/>
      <c r="N66" s="414"/>
      <c r="O66" s="414"/>
      <c r="P66" s="414"/>
      <c r="Q66" s="197"/>
      <c r="R66" s="483"/>
      <c r="S66" s="414"/>
      <c r="T66" s="433"/>
      <c r="U66" s="433"/>
      <c r="V66" s="433"/>
      <c r="W66" s="414"/>
      <c r="X66" s="433"/>
      <c r="Y66" s="414"/>
      <c r="Z66" s="414"/>
      <c r="AA66" s="63"/>
      <c r="AB66" s="603"/>
    </row>
    <row r="67" spans="1:28" s="413" customFormat="1" ht="15" customHeight="1" thickBot="1" x14ac:dyDescent="0.25">
      <c r="A67" s="471"/>
      <c r="B67" s="439"/>
      <c r="C67" s="439"/>
      <c r="D67" s="439"/>
      <c r="E67" s="439"/>
      <c r="F67" s="439"/>
      <c r="G67" s="439"/>
      <c r="H67" s="439"/>
      <c r="I67" s="439"/>
      <c r="J67" s="439"/>
      <c r="K67" s="439"/>
      <c r="L67" s="439"/>
      <c r="M67" s="439"/>
      <c r="N67" s="432"/>
      <c r="O67" s="432"/>
      <c r="P67" s="432"/>
      <c r="Q67" s="197" t="s">
        <v>304</v>
      </c>
      <c r="R67" s="482" t="str">
        <f>MID('[1]2NGeb'!$C$19,1,2)</f>
        <v>Be</v>
      </c>
      <c r="S67" s="414" t="s">
        <v>297</v>
      </c>
      <c r="T67" s="458">
        <f>IF(OR(T65="",X67=""),"noch leer",T65*X67)</f>
        <v>30.150000000000002</v>
      </c>
      <c r="U67" s="433"/>
      <c r="V67" s="433" t="s">
        <v>303</v>
      </c>
      <c r="W67" s="414"/>
      <c r="X67" s="459">
        <v>0.67</v>
      </c>
      <c r="Y67" s="414"/>
      <c r="Z67" s="414"/>
      <c r="AA67" s="63"/>
      <c r="AB67" s="603"/>
    </row>
    <row r="68" spans="1:28" s="413" customFormat="1" ht="15" customHeight="1" thickBot="1" x14ac:dyDescent="0.25">
      <c r="A68" s="471"/>
      <c r="B68" s="472"/>
      <c r="C68" s="472"/>
      <c r="D68" s="472"/>
      <c r="E68" s="472"/>
      <c r="F68" s="460"/>
      <c r="G68" s="460"/>
      <c r="H68" s="58"/>
      <c r="I68" s="58"/>
      <c r="J68" s="473"/>
      <c r="K68" s="473"/>
      <c r="L68" s="439"/>
      <c r="M68" s="439"/>
      <c r="N68" s="197"/>
      <c r="O68" s="197"/>
      <c r="P68" s="197"/>
      <c r="Q68" s="484"/>
      <c r="R68" s="485"/>
      <c r="S68" s="484"/>
      <c r="T68" s="192"/>
      <c r="U68" s="432"/>
      <c r="V68" s="414"/>
      <c r="W68" s="414"/>
      <c r="X68" s="414"/>
      <c r="Y68" s="414"/>
      <c r="Z68" s="414"/>
      <c r="AA68" s="63"/>
      <c r="AB68" s="603"/>
    </row>
    <row r="69" spans="1:28" s="413" customFormat="1" ht="15" customHeight="1" thickBot="1" x14ac:dyDescent="0.25">
      <c r="A69" s="471"/>
      <c r="B69" s="472"/>
      <c r="C69" s="472"/>
      <c r="D69" s="472"/>
      <c r="E69" s="472"/>
      <c r="F69" s="460"/>
      <c r="G69" s="460"/>
      <c r="H69" s="58"/>
      <c r="I69" s="58"/>
      <c r="J69" s="473"/>
      <c r="K69" s="473"/>
      <c r="L69" s="439"/>
      <c r="M69" s="439"/>
      <c r="N69" s="197"/>
      <c r="O69" s="197"/>
      <c r="P69" s="197"/>
      <c r="Q69" s="197" t="s">
        <v>305</v>
      </c>
      <c r="R69" s="434" t="str">
        <f>MID('[1]2NGeb'!$C$19,1,2)</f>
        <v>Be</v>
      </c>
      <c r="S69" s="197" t="s">
        <v>297</v>
      </c>
      <c r="T69" s="231">
        <f>X61*T67</f>
        <v>20260.800000000003</v>
      </c>
      <c r="U69" s="432" t="s">
        <v>295</v>
      </c>
      <c r="V69" s="432"/>
      <c r="W69" s="414"/>
      <c r="X69" s="414"/>
      <c r="Y69" s="414"/>
      <c r="Z69" s="414"/>
      <c r="AA69" s="63"/>
      <c r="AB69" s="603"/>
    </row>
    <row r="70" spans="1:28" s="413" customFormat="1" ht="3" customHeight="1" x14ac:dyDescent="0.2">
      <c r="A70" s="471"/>
      <c r="B70" s="472"/>
      <c r="C70" s="472"/>
      <c r="D70" s="472"/>
      <c r="E70" s="472"/>
      <c r="F70" s="460"/>
      <c r="G70" s="460"/>
      <c r="H70" s="58"/>
      <c r="I70" s="58"/>
      <c r="J70" s="473"/>
      <c r="K70" s="473"/>
      <c r="L70" s="439"/>
      <c r="M70" s="439"/>
      <c r="N70" s="197"/>
      <c r="O70" s="197"/>
      <c r="P70" s="197"/>
      <c r="Q70" s="484"/>
      <c r="R70" s="484"/>
      <c r="S70" s="484"/>
      <c r="T70" s="192"/>
      <c r="U70" s="432"/>
      <c r="V70" s="414"/>
      <c r="W70" s="414"/>
      <c r="X70" s="414"/>
      <c r="Y70" s="414"/>
      <c r="Z70" s="414"/>
      <c r="AA70" s="63"/>
      <c r="AB70" s="603"/>
    </row>
    <row r="71" spans="1:28" s="413" customFormat="1" ht="20.100000000000001" customHeight="1" x14ac:dyDescent="0.2">
      <c r="A71" s="471"/>
      <c r="B71" s="472"/>
      <c r="C71" s="472"/>
      <c r="D71" s="472"/>
      <c r="E71" s="472"/>
      <c r="F71" s="460"/>
      <c r="G71" s="460"/>
      <c r="H71" s="58"/>
      <c r="I71" s="58"/>
      <c r="J71" s="473"/>
      <c r="K71" s="473"/>
      <c r="L71" s="439"/>
      <c r="M71" s="439"/>
      <c r="N71" s="472"/>
      <c r="O71" s="472"/>
      <c r="P71" s="472"/>
      <c r="Q71" s="460"/>
      <c r="R71" s="460"/>
      <c r="S71" s="460"/>
      <c r="T71" s="58"/>
      <c r="U71" s="439"/>
      <c r="V71" s="471"/>
      <c r="W71" s="471"/>
      <c r="X71" s="471"/>
      <c r="Y71" s="471"/>
      <c r="Z71" s="471"/>
      <c r="AA71" s="63"/>
      <c r="AB71" s="603"/>
    </row>
    <row r="72" spans="1:28" s="413" customFormat="1" ht="15" customHeight="1" x14ac:dyDescent="0.2">
      <c r="A72" s="411" t="str">
        <f>A32</f>
        <v>Eingebaute(r) Rinderstall (Warmstall)</v>
      </c>
      <c r="B72" s="412"/>
      <c r="C72" s="412"/>
      <c r="D72" s="412"/>
      <c r="E72" s="412"/>
      <c r="F72" s="147"/>
      <c r="G72" s="147"/>
      <c r="H72" s="147"/>
      <c r="I72" s="147"/>
      <c r="J72" s="147"/>
      <c r="K72" s="147"/>
      <c r="L72" s="57"/>
      <c r="M72" s="57"/>
      <c r="N72" s="411" t="str">
        <f>N54</f>
        <v>Bergeraum (erdlastig)</v>
      </c>
      <c r="O72" s="411"/>
      <c r="P72" s="411"/>
      <c r="Q72" s="57"/>
      <c r="R72" s="57"/>
      <c r="S72" s="57"/>
      <c r="T72" s="57"/>
      <c r="U72" s="57"/>
      <c r="V72" s="57"/>
      <c r="W72" s="57"/>
      <c r="X72" s="57"/>
      <c r="Y72" s="57"/>
      <c r="Z72" s="57"/>
      <c r="AA72" s="63"/>
      <c r="AB72" s="603"/>
    </row>
    <row r="73" spans="1:28" s="413" customFormat="1" ht="3" customHeight="1" thickBot="1" x14ac:dyDescent="0.25">
      <c r="A73" s="486"/>
      <c r="B73" s="474"/>
      <c r="C73" s="474"/>
      <c r="D73" s="474"/>
      <c r="E73" s="474"/>
      <c r="F73" s="475"/>
      <c r="G73" s="475"/>
      <c r="H73" s="475"/>
      <c r="I73" s="475"/>
      <c r="J73" s="475"/>
      <c r="K73" s="475"/>
      <c r="L73" s="53"/>
      <c r="M73" s="53"/>
      <c r="N73" s="53"/>
      <c r="O73" s="53"/>
      <c r="P73" s="53"/>
      <c r="Q73" s="53"/>
      <c r="R73" s="53"/>
      <c r="S73" s="53"/>
      <c r="T73" s="53"/>
      <c r="U73" s="53"/>
      <c r="V73" s="53"/>
      <c r="W73" s="53"/>
      <c r="X73" s="53"/>
      <c r="Y73" s="53"/>
      <c r="Z73" s="53"/>
      <c r="AA73" s="63"/>
      <c r="AB73" s="603"/>
    </row>
    <row r="74" spans="1:28" s="413" customFormat="1" ht="3.95" customHeight="1" x14ac:dyDescent="0.2">
      <c r="A74" s="486"/>
      <c r="B74" s="487"/>
      <c r="C74" s="488"/>
      <c r="D74" s="488"/>
      <c r="E74" s="488"/>
      <c r="F74" s="489"/>
      <c r="G74" s="489"/>
      <c r="H74" s="489"/>
      <c r="I74" s="489"/>
      <c r="J74" s="489"/>
      <c r="K74" s="490"/>
      <c r="L74" s="53"/>
      <c r="M74" s="53"/>
      <c r="N74" s="53"/>
      <c r="O74" s="53"/>
      <c r="P74" s="53"/>
      <c r="Q74" s="53"/>
      <c r="R74" s="53"/>
      <c r="S74" s="53"/>
      <c r="T74" s="53"/>
      <c r="U74" s="53"/>
      <c r="V74" s="53"/>
      <c r="W74" s="53"/>
      <c r="X74" s="53"/>
      <c r="Y74" s="53"/>
      <c r="Z74" s="53"/>
      <c r="AA74" s="63"/>
      <c r="AB74" s="603"/>
    </row>
    <row r="75" spans="1:28" s="413" customFormat="1" ht="15" customHeight="1" x14ac:dyDescent="0.2">
      <c r="A75" s="471"/>
      <c r="B75" s="1326" t="s">
        <v>307</v>
      </c>
      <c r="C75" s="491"/>
      <c r="D75" s="1327" t="s">
        <v>297</v>
      </c>
      <c r="E75" s="492"/>
      <c r="F75" s="1325" t="s">
        <v>305</v>
      </c>
      <c r="G75" s="1325"/>
      <c r="H75" s="1325"/>
      <c r="I75" s="424"/>
      <c r="J75" s="422"/>
      <c r="K75" s="493"/>
      <c r="M75" s="439"/>
      <c r="N75" s="471"/>
      <c r="O75" s="471"/>
      <c r="P75" s="471"/>
      <c r="Q75" s="494"/>
      <c r="R75" s="494"/>
      <c r="S75" s="494"/>
      <c r="T75" s="495"/>
      <c r="U75" s="495"/>
      <c r="V75" s="438"/>
      <c r="W75" s="438"/>
      <c r="X75" s="438"/>
      <c r="Y75" s="438"/>
      <c r="Z75" s="438"/>
      <c r="AA75" s="63"/>
      <c r="AB75" s="603"/>
    </row>
    <row r="76" spans="1:28" s="413" customFormat="1" ht="3" customHeight="1" x14ac:dyDescent="0.2">
      <c r="A76" s="471"/>
      <c r="B76" s="1326"/>
      <c r="C76" s="491"/>
      <c r="D76" s="1327"/>
      <c r="E76" s="492"/>
      <c r="F76" s="496"/>
      <c r="G76" s="496"/>
      <c r="H76" s="496"/>
      <c r="I76" s="424"/>
      <c r="J76" s="422"/>
      <c r="K76" s="493"/>
      <c r="M76" s="439"/>
      <c r="N76" s="471"/>
      <c r="O76" s="471"/>
      <c r="P76" s="471"/>
      <c r="Q76" s="494"/>
      <c r="R76" s="494"/>
      <c r="S76" s="494"/>
      <c r="T76" s="495"/>
      <c r="U76" s="495"/>
      <c r="V76" s="438"/>
      <c r="W76" s="438"/>
      <c r="X76" s="438"/>
      <c r="Y76" s="438"/>
      <c r="Z76" s="438"/>
      <c r="AA76" s="63"/>
      <c r="AB76" s="603"/>
    </row>
    <row r="77" spans="1:28" s="413" customFormat="1" ht="3" customHeight="1" x14ac:dyDescent="0.2">
      <c r="A77" s="471"/>
      <c r="B77" s="1326"/>
      <c r="C77" s="421"/>
      <c r="D77" s="1327"/>
      <c r="E77" s="492"/>
      <c r="F77" s="422"/>
      <c r="G77" s="422"/>
      <c r="H77" s="422"/>
      <c r="I77" s="424"/>
      <c r="J77" s="422"/>
      <c r="K77" s="493"/>
      <c r="M77" s="439"/>
      <c r="N77" s="471"/>
      <c r="O77" s="471"/>
      <c r="P77" s="471"/>
      <c r="Q77" s="494"/>
      <c r="R77" s="494"/>
      <c r="S77" s="494"/>
      <c r="T77" s="495"/>
      <c r="U77" s="495"/>
      <c r="V77" s="438"/>
      <c r="W77" s="438"/>
      <c r="X77" s="438"/>
      <c r="Y77" s="438"/>
      <c r="Z77" s="438"/>
      <c r="AA77" s="63"/>
      <c r="AB77" s="603"/>
    </row>
    <row r="78" spans="1:28" s="413" customFormat="1" ht="15" customHeight="1" x14ac:dyDescent="0.2">
      <c r="A78" s="471"/>
      <c r="B78" s="1326"/>
      <c r="C78" s="497" t="str">
        <f>MID('[1]2NGeb'!$C$17,1,2)</f>
        <v>Ri</v>
      </c>
      <c r="D78" s="1327"/>
      <c r="E78" s="492"/>
      <c r="F78" s="1325" t="s">
        <v>271</v>
      </c>
      <c r="G78" s="1325"/>
      <c r="H78" s="1325"/>
      <c r="I78" s="424"/>
      <c r="J78" s="422"/>
      <c r="K78" s="493"/>
      <c r="M78" s="439"/>
      <c r="N78" s="471"/>
      <c r="O78" s="471"/>
      <c r="P78" s="471"/>
      <c r="Q78" s="494"/>
      <c r="R78" s="494"/>
      <c r="S78" s="494"/>
      <c r="T78" s="495"/>
      <c r="U78" s="495"/>
      <c r="V78" s="438"/>
      <c r="W78" s="438"/>
      <c r="X78" s="438"/>
      <c r="Y78" s="438"/>
      <c r="Z78" s="438"/>
      <c r="AA78" s="63"/>
      <c r="AB78" s="603"/>
    </row>
    <row r="79" spans="1:28" s="413" customFormat="1" ht="3.95" customHeight="1" thickBot="1" x14ac:dyDescent="0.25">
      <c r="A79" s="471"/>
      <c r="B79" s="498"/>
      <c r="C79" s="428"/>
      <c r="D79" s="428"/>
      <c r="E79" s="428"/>
      <c r="F79" s="429"/>
      <c r="G79" s="429"/>
      <c r="H79" s="429"/>
      <c r="I79" s="499"/>
      <c r="J79" s="429"/>
      <c r="K79" s="431"/>
      <c r="M79" s="439"/>
      <c r="N79" s="471"/>
      <c r="O79" s="471"/>
      <c r="P79" s="471"/>
      <c r="Q79" s="471"/>
      <c r="R79" s="471"/>
      <c r="S79" s="471"/>
      <c r="T79" s="438"/>
      <c r="U79" s="438"/>
      <c r="V79" s="438"/>
      <c r="W79" s="438"/>
      <c r="X79" s="438"/>
      <c r="Y79" s="438"/>
      <c r="Z79" s="438"/>
      <c r="AA79" s="63"/>
      <c r="AB79" s="603"/>
    </row>
    <row r="80" spans="1:28" s="413" customFormat="1" ht="6" customHeight="1" thickBot="1" x14ac:dyDescent="0.25">
      <c r="A80" s="471"/>
      <c r="B80" s="471"/>
      <c r="C80" s="471"/>
      <c r="D80" s="471"/>
      <c r="E80" s="471"/>
      <c r="F80" s="438"/>
      <c r="G80" s="438"/>
      <c r="H80" s="438"/>
      <c r="I80" s="255"/>
      <c r="J80" s="438"/>
      <c r="K80" s="438"/>
      <c r="M80" s="439"/>
      <c r="N80" s="471"/>
      <c r="O80" s="471"/>
      <c r="P80" s="471"/>
      <c r="Q80" s="471"/>
      <c r="R80" s="471"/>
      <c r="S80" s="471"/>
      <c r="T80" s="438"/>
      <c r="U80" s="438"/>
      <c r="V80" s="438"/>
      <c r="W80" s="438"/>
      <c r="X80" s="438"/>
      <c r="Y80" s="438"/>
      <c r="Z80" s="438"/>
      <c r="AA80" s="63"/>
      <c r="AB80" s="603"/>
    </row>
    <row r="81" spans="1:28" s="413" customFormat="1" ht="15" customHeight="1" thickBot="1" x14ac:dyDescent="0.25">
      <c r="A81" s="471"/>
      <c r="B81" s="472" t="s">
        <v>307</v>
      </c>
      <c r="C81" s="444" t="str">
        <f>MID('[1]2NGeb'!$C$17,1,2)</f>
        <v>Ri</v>
      </c>
      <c r="D81" s="58" t="s">
        <v>297</v>
      </c>
      <c r="F81" s="231">
        <f>F51/B7</f>
        <v>2171.8325581395347</v>
      </c>
      <c r="G81" s="442"/>
      <c r="I81" s="255"/>
      <c r="J81" s="438"/>
      <c r="K81" s="438"/>
      <c r="M81" s="439"/>
      <c r="N81" s="471"/>
      <c r="O81" s="471"/>
      <c r="P81" s="471"/>
      <c r="Q81" s="472" t="s">
        <v>307</v>
      </c>
      <c r="R81" s="444" t="str">
        <f>MID('[1]2NGeb'!$C$19,1,2)</f>
        <v>Be</v>
      </c>
      <c r="S81" s="58" t="s">
        <v>297</v>
      </c>
      <c r="T81" s="231">
        <f>T69/B7</f>
        <v>471.18139534883727</v>
      </c>
      <c r="U81" s="442" t="s">
        <v>295</v>
      </c>
      <c r="W81" s="438"/>
      <c r="X81" s="438"/>
      <c r="Y81" s="438"/>
      <c r="Z81" s="438"/>
      <c r="AA81" s="63"/>
      <c r="AB81" s="603"/>
    </row>
    <row r="82" spans="1:28" s="413" customFormat="1" ht="15" customHeight="1" thickBot="1" x14ac:dyDescent="0.25">
      <c r="A82" s="471"/>
      <c r="B82" s="471"/>
      <c r="C82" s="471"/>
      <c r="D82" s="471"/>
      <c r="E82" s="471"/>
      <c r="F82" s="438"/>
      <c r="G82" s="255"/>
      <c r="H82" s="438"/>
      <c r="I82" s="255"/>
      <c r="J82" s="438"/>
      <c r="K82" s="438"/>
      <c r="M82" s="439"/>
      <c r="N82" s="471"/>
      <c r="O82" s="471"/>
      <c r="P82" s="471"/>
      <c r="Q82" s="471"/>
      <c r="R82" s="450"/>
      <c r="S82" s="58"/>
      <c r="T82" s="438"/>
      <c r="U82" s="438"/>
      <c r="W82" s="438"/>
      <c r="X82" s="438"/>
      <c r="Y82" s="438"/>
      <c r="Z82" s="438"/>
      <c r="AA82" s="63"/>
      <c r="AB82" s="603"/>
    </row>
    <row r="83" spans="1:28" s="413" customFormat="1" ht="3.95" customHeight="1" x14ac:dyDescent="0.2">
      <c r="A83" s="471"/>
      <c r="B83" s="416"/>
      <c r="C83" s="417"/>
      <c r="D83" s="417"/>
      <c r="E83" s="417"/>
      <c r="F83" s="418"/>
      <c r="G83" s="500"/>
      <c r="H83" s="418"/>
      <c r="I83" s="500"/>
      <c r="J83" s="418"/>
      <c r="K83" s="441"/>
      <c r="M83" s="439"/>
      <c r="N83" s="471"/>
      <c r="O83" s="471"/>
      <c r="P83" s="471"/>
      <c r="Q83" s="471"/>
      <c r="R83" s="450"/>
      <c r="S83" s="58"/>
      <c r="T83" s="438"/>
      <c r="U83" s="438"/>
      <c r="W83" s="438"/>
      <c r="X83" s="438"/>
      <c r="Y83" s="438"/>
      <c r="Z83" s="438"/>
      <c r="AA83" s="63"/>
      <c r="AB83" s="603"/>
    </row>
    <row r="84" spans="1:28" s="413" customFormat="1" ht="15" customHeight="1" x14ac:dyDescent="0.2">
      <c r="A84" s="471"/>
      <c r="B84" s="420" t="s">
        <v>308</v>
      </c>
      <c r="C84" s="421" t="str">
        <f>MID('[1]2NGeb'!$C$17,1,2)</f>
        <v>Ri</v>
      </c>
      <c r="D84" s="492" t="s">
        <v>297</v>
      </c>
      <c r="E84" s="492"/>
      <c r="F84" s="423" t="s">
        <v>319</v>
      </c>
      <c r="G84" s="424"/>
      <c r="H84" s="423" t="s">
        <v>1</v>
      </c>
      <c r="I84" s="424"/>
      <c r="J84" s="423" t="s">
        <v>280</v>
      </c>
      <c r="K84" s="425"/>
      <c r="M84" s="439"/>
      <c r="N84" s="471"/>
      <c r="O84" s="471"/>
      <c r="P84" s="471"/>
      <c r="Q84" s="494"/>
      <c r="R84" s="501"/>
      <c r="S84" s="494"/>
      <c r="U84" s="495"/>
      <c r="W84" s="438"/>
      <c r="X84" s="438"/>
      <c r="Y84" s="438"/>
      <c r="Z84" s="438"/>
      <c r="AA84" s="63"/>
      <c r="AB84" s="603"/>
    </row>
    <row r="85" spans="1:28" s="413" customFormat="1" ht="3.95" customHeight="1" thickBot="1" x14ac:dyDescent="0.25">
      <c r="A85" s="471"/>
      <c r="B85" s="498"/>
      <c r="C85" s="428"/>
      <c r="D85" s="428"/>
      <c r="E85" s="428"/>
      <c r="F85" s="429"/>
      <c r="G85" s="499"/>
      <c r="H85" s="429"/>
      <c r="I85" s="499"/>
      <c r="J85" s="429"/>
      <c r="K85" s="502"/>
      <c r="M85" s="439"/>
      <c r="N85" s="471"/>
      <c r="O85" s="471"/>
      <c r="P85" s="471"/>
      <c r="Q85" s="471"/>
      <c r="R85" s="471"/>
      <c r="S85" s="471"/>
      <c r="T85" s="438"/>
      <c r="U85" s="438"/>
      <c r="W85" s="438"/>
      <c r="X85" s="438"/>
      <c r="Y85" s="438"/>
      <c r="Z85" s="438"/>
      <c r="AA85" s="63"/>
      <c r="AB85" s="603"/>
    </row>
    <row r="86" spans="1:28" s="413" customFormat="1" ht="3.95" customHeight="1" x14ac:dyDescent="0.2">
      <c r="A86" s="471"/>
      <c r="B86" s="471"/>
      <c r="C86" s="471"/>
      <c r="D86" s="471"/>
      <c r="E86" s="471"/>
      <c r="F86" s="438"/>
      <c r="G86" s="255"/>
      <c r="H86" s="438"/>
      <c r="I86" s="255"/>
      <c r="J86" s="438"/>
      <c r="K86" s="255"/>
      <c r="M86" s="439"/>
      <c r="N86" s="471"/>
      <c r="O86" s="471"/>
      <c r="P86" s="471"/>
      <c r="Q86" s="471"/>
      <c r="R86" s="471"/>
      <c r="S86" s="471"/>
      <c r="T86" s="438"/>
      <c r="U86" s="438"/>
      <c r="W86" s="438"/>
      <c r="X86" s="438"/>
      <c r="Y86" s="438"/>
      <c r="Z86" s="438"/>
      <c r="AA86" s="63"/>
      <c r="AB86" s="603"/>
    </row>
    <row r="87" spans="1:28" s="413" customFormat="1" ht="12.75" customHeight="1" x14ac:dyDescent="0.2">
      <c r="A87" s="471"/>
      <c r="B87" s="471"/>
      <c r="C87" s="471"/>
      <c r="D87" s="471"/>
      <c r="E87" s="471"/>
      <c r="F87" s="495" t="s">
        <v>309</v>
      </c>
      <c r="G87" s="255"/>
      <c r="H87" s="438"/>
      <c r="I87" s="255"/>
      <c r="K87" s="255"/>
      <c r="M87" s="439"/>
      <c r="N87" s="471"/>
      <c r="O87" s="471"/>
      <c r="P87" s="471"/>
      <c r="Q87" s="471"/>
      <c r="R87" s="471"/>
      <c r="S87" s="471"/>
      <c r="T87" s="495" t="s">
        <v>309</v>
      </c>
      <c r="U87" s="438"/>
      <c r="W87" s="438"/>
      <c r="X87" s="438"/>
      <c r="Y87" s="438"/>
      <c r="Z87" s="438"/>
      <c r="AA87" s="63"/>
      <c r="AB87" s="603"/>
    </row>
    <row r="88" spans="1:28" s="413" customFormat="1" ht="6" customHeight="1" thickBot="1" x14ac:dyDescent="0.25">
      <c r="A88" s="471"/>
      <c r="B88" s="471"/>
      <c r="C88" s="471"/>
      <c r="D88" s="471"/>
      <c r="E88" s="471"/>
      <c r="F88" s="438"/>
      <c r="G88" s="255"/>
      <c r="H88" s="438"/>
      <c r="I88" s="255"/>
      <c r="J88" s="438"/>
      <c r="K88" s="255"/>
      <c r="M88" s="439"/>
      <c r="N88" s="471"/>
      <c r="O88" s="471"/>
      <c r="P88" s="471"/>
      <c r="Q88" s="471"/>
      <c r="R88" s="471"/>
      <c r="S88" s="471"/>
      <c r="T88" s="438"/>
      <c r="U88" s="438"/>
      <c r="W88" s="438"/>
      <c r="X88" s="438"/>
      <c r="Y88" s="438"/>
      <c r="Z88" s="438"/>
      <c r="AA88" s="63"/>
      <c r="AB88" s="603"/>
    </row>
    <row r="89" spans="1:28" s="413" customFormat="1" ht="15" customHeight="1" thickBot="1" x14ac:dyDescent="0.25">
      <c r="A89" s="471"/>
      <c r="B89" s="472" t="s">
        <v>308</v>
      </c>
      <c r="C89" s="444" t="str">
        <f>MID('[1]2NGeb'!$C$17,1,2)</f>
        <v>Ri</v>
      </c>
      <c r="D89" s="58" t="s">
        <v>297</v>
      </c>
      <c r="F89" s="231">
        <f>F81*F37</f>
        <v>34749.320930232556</v>
      </c>
      <c r="G89" s="442" t="s">
        <v>295</v>
      </c>
      <c r="I89" s="255"/>
      <c r="J89" s="438"/>
      <c r="L89" s="446"/>
      <c r="M89" s="503" t="s">
        <v>13</v>
      </c>
      <c r="N89" s="471"/>
      <c r="O89" s="471"/>
      <c r="P89" s="471"/>
      <c r="Q89" s="472" t="s">
        <v>308</v>
      </c>
      <c r="R89" s="444" t="str">
        <f>MID('[1]2NGeb'!$C$19,1,2)</f>
        <v>Be</v>
      </c>
      <c r="S89" s="58" t="s">
        <v>297</v>
      </c>
      <c r="T89" s="231">
        <f>T81*F24</f>
        <v>12721.897674418606</v>
      </c>
      <c r="U89" s="442" t="s">
        <v>295</v>
      </c>
      <c r="W89" s="446"/>
      <c r="X89" s="503" t="s">
        <v>13</v>
      </c>
      <c r="Y89" s="495"/>
      <c r="Z89" s="495"/>
      <c r="AA89" s="63"/>
      <c r="AB89" s="603"/>
    </row>
    <row r="90" spans="1:28" s="413" customFormat="1" ht="3.95" customHeight="1" thickBot="1" x14ac:dyDescent="0.25">
      <c r="A90" s="471"/>
      <c r="B90" s="472"/>
      <c r="C90" s="450"/>
      <c r="D90" s="58"/>
      <c r="E90" s="442"/>
      <c r="F90" s="442"/>
      <c r="G90" s="442"/>
      <c r="I90" s="255"/>
      <c r="J90" s="438"/>
      <c r="K90" s="255"/>
      <c r="M90" s="439"/>
      <c r="N90" s="471"/>
      <c r="O90" s="471"/>
      <c r="P90" s="471"/>
      <c r="Q90" s="472"/>
      <c r="R90" s="450"/>
      <c r="S90" s="58"/>
      <c r="T90" s="442"/>
      <c r="U90" s="442"/>
      <c r="W90" s="442"/>
      <c r="X90" s="503"/>
      <c r="Y90" s="495"/>
      <c r="Z90" s="495"/>
      <c r="AA90" s="63"/>
      <c r="AB90" s="603"/>
    </row>
    <row r="91" spans="1:28" s="413" customFormat="1" ht="15" customHeight="1" thickBot="1" x14ac:dyDescent="0.25">
      <c r="A91" s="471"/>
      <c r="B91" s="472"/>
      <c r="C91" s="472"/>
      <c r="D91" s="472"/>
      <c r="E91" s="472"/>
      <c r="F91" s="504"/>
      <c r="G91" s="255"/>
      <c r="H91" s="442"/>
      <c r="I91" s="255"/>
      <c r="J91" s="438"/>
      <c r="K91" s="255"/>
      <c r="L91" s="446" t="s">
        <v>1</v>
      </c>
      <c r="M91" s="503" t="s">
        <v>14</v>
      </c>
      <c r="N91" s="471"/>
      <c r="O91" s="471"/>
      <c r="P91" s="471"/>
      <c r="Q91" s="472"/>
      <c r="R91" s="472"/>
      <c r="S91" s="472"/>
      <c r="T91" s="504"/>
      <c r="U91" s="505"/>
      <c r="W91" s="446" t="s">
        <v>1</v>
      </c>
      <c r="X91" s="503" t="s">
        <v>14</v>
      </c>
      <c r="Y91" s="495"/>
      <c r="Z91" s="495"/>
      <c r="AA91" s="63"/>
      <c r="AB91" s="603"/>
    </row>
    <row r="92" spans="1:28" s="413" customFormat="1" ht="6" customHeight="1" thickBot="1" x14ac:dyDescent="0.25">
      <c r="A92" s="471"/>
      <c r="B92" s="472"/>
      <c r="C92" s="472"/>
      <c r="D92" s="472"/>
      <c r="E92" s="472"/>
      <c r="F92" s="504"/>
      <c r="G92" s="255"/>
      <c r="H92" s="442"/>
      <c r="I92" s="255"/>
      <c r="J92" s="438"/>
      <c r="K92" s="255"/>
      <c r="L92" s="503"/>
      <c r="N92" s="471"/>
      <c r="O92" s="471"/>
      <c r="P92" s="471"/>
      <c r="Q92" s="472"/>
      <c r="R92" s="472"/>
      <c r="S92" s="472"/>
      <c r="T92" s="504"/>
      <c r="U92" s="505"/>
      <c r="W92" s="495"/>
      <c r="X92" s="503"/>
      <c r="Y92" s="495"/>
      <c r="Z92" s="495"/>
      <c r="AA92" s="63"/>
      <c r="AB92" s="603"/>
    </row>
    <row r="93" spans="1:28" s="413" customFormat="1" ht="3.95" customHeight="1" x14ac:dyDescent="0.2">
      <c r="A93" s="471"/>
      <c r="B93" s="440"/>
      <c r="C93" s="463"/>
      <c r="D93" s="463"/>
      <c r="E93" s="417"/>
      <c r="F93" s="418"/>
      <c r="G93" s="500"/>
      <c r="H93" s="418"/>
      <c r="I93" s="500"/>
      <c r="J93" s="418"/>
      <c r="K93" s="441"/>
      <c r="M93" s="439"/>
      <c r="N93" s="471"/>
      <c r="O93" s="471"/>
      <c r="P93" s="471"/>
      <c r="Q93" s="472"/>
      <c r="R93" s="472"/>
      <c r="S93" s="472"/>
      <c r="T93" s="504"/>
      <c r="U93" s="505"/>
      <c r="W93" s="495"/>
      <c r="X93" s="495"/>
      <c r="Y93" s="495"/>
      <c r="Z93" s="495"/>
      <c r="AA93" s="63"/>
      <c r="AB93" s="603"/>
    </row>
    <row r="94" spans="1:28" s="413" customFormat="1" ht="15" customHeight="1" x14ac:dyDescent="0.2">
      <c r="A94" s="471"/>
      <c r="B94" s="420" t="s">
        <v>330</v>
      </c>
      <c r="C94" s="421" t="str">
        <f>MID('[1]2NGeb'!$C$17,1,2)</f>
        <v>Ri</v>
      </c>
      <c r="D94" s="492" t="s">
        <v>297</v>
      </c>
      <c r="E94" s="492"/>
      <c r="F94" s="423" t="s">
        <v>305</v>
      </c>
      <c r="G94" s="424"/>
      <c r="H94" s="423" t="s">
        <v>54</v>
      </c>
      <c r="I94" s="424"/>
      <c r="J94" s="423" t="s">
        <v>315</v>
      </c>
      <c r="K94" s="425"/>
      <c r="M94" s="439"/>
      <c r="N94" s="471"/>
      <c r="O94" s="471"/>
      <c r="P94" s="471"/>
      <c r="Q94" s="494"/>
      <c r="R94" s="501"/>
      <c r="S94" s="494"/>
      <c r="T94" s="495"/>
      <c r="U94" s="495"/>
      <c r="Y94" s="495"/>
      <c r="Z94" s="495"/>
      <c r="AA94" s="63"/>
      <c r="AB94" s="603"/>
    </row>
    <row r="95" spans="1:28" s="413" customFormat="1" ht="3.95" customHeight="1" thickBot="1" x14ac:dyDescent="0.25">
      <c r="A95" s="471"/>
      <c r="B95" s="498"/>
      <c r="C95" s="428"/>
      <c r="D95" s="428"/>
      <c r="E95" s="428"/>
      <c r="F95" s="429"/>
      <c r="G95" s="499"/>
      <c r="H95" s="429"/>
      <c r="I95" s="499"/>
      <c r="J95" s="429"/>
      <c r="K95" s="502"/>
      <c r="M95" s="439"/>
      <c r="N95" s="471"/>
      <c r="O95" s="471"/>
      <c r="P95" s="471"/>
      <c r="Q95" s="471"/>
      <c r="R95" s="471"/>
      <c r="S95" s="471"/>
      <c r="T95" s="438"/>
      <c r="U95" s="438"/>
      <c r="W95" s="495"/>
      <c r="X95" s="495"/>
      <c r="Y95" s="495"/>
      <c r="Z95" s="495"/>
      <c r="AA95" s="63"/>
      <c r="AB95" s="603"/>
    </row>
    <row r="96" spans="1:28" s="413" customFormat="1" ht="6" customHeight="1" thickBot="1" x14ac:dyDescent="0.25">
      <c r="A96" s="471"/>
      <c r="B96" s="471"/>
      <c r="C96" s="471"/>
      <c r="D96" s="471"/>
      <c r="E96" s="471"/>
      <c r="F96" s="438"/>
      <c r="G96" s="255"/>
      <c r="H96" s="438"/>
      <c r="I96" s="255"/>
      <c r="J96" s="438"/>
      <c r="K96" s="255"/>
      <c r="M96" s="439"/>
      <c r="N96" s="471"/>
      <c r="O96" s="471"/>
      <c r="P96" s="471"/>
      <c r="Q96" s="471"/>
      <c r="R96" s="471"/>
      <c r="S96" s="471"/>
      <c r="T96" s="438"/>
      <c r="U96" s="438"/>
      <c r="W96" s="495"/>
      <c r="X96" s="495"/>
      <c r="Y96" s="495"/>
      <c r="Z96" s="495"/>
      <c r="AA96" s="63"/>
      <c r="AB96" s="603"/>
    </row>
    <row r="97" spans="1:28" s="413" customFormat="1" ht="15" customHeight="1" thickBot="1" x14ac:dyDescent="0.25">
      <c r="A97" s="471"/>
      <c r="B97" s="472" t="s">
        <v>330</v>
      </c>
      <c r="C97" s="444" t="str">
        <f>MID('[1]2NGeb'!$C$17,1,2)</f>
        <v>Ri</v>
      </c>
      <c r="D97" s="58" t="s">
        <v>297</v>
      </c>
      <c r="F97" s="231">
        <f>F51-F89</f>
        <v>58639.479069767447</v>
      </c>
      <c r="G97" s="442" t="s">
        <v>295</v>
      </c>
      <c r="I97" s="255"/>
      <c r="J97" s="438"/>
      <c r="K97" s="255"/>
      <c r="M97" s="439"/>
      <c r="N97" s="471"/>
      <c r="O97" s="471"/>
      <c r="P97" s="471"/>
      <c r="Q97" s="472" t="s">
        <v>330</v>
      </c>
      <c r="R97" s="444" t="str">
        <f>MID('[1]2NGeb'!$C$19,1,2)</f>
        <v>Be</v>
      </c>
      <c r="S97" s="58" t="s">
        <v>297</v>
      </c>
      <c r="T97" s="231">
        <f>T69-T89</f>
        <v>7538.9023255813972</v>
      </c>
      <c r="U97" s="442" t="s">
        <v>295</v>
      </c>
      <c r="W97" s="495"/>
      <c r="X97" s="495"/>
      <c r="Y97" s="495"/>
      <c r="Z97" s="495"/>
      <c r="AA97" s="63"/>
      <c r="AB97" s="603"/>
    </row>
    <row r="98" spans="1:28" s="413" customFormat="1" ht="15" customHeight="1" thickBot="1" x14ac:dyDescent="0.25">
      <c r="A98" s="471"/>
      <c r="B98" s="471"/>
      <c r="C98" s="471"/>
      <c r="D98" s="471"/>
      <c r="E98" s="471"/>
      <c r="F98" s="438"/>
      <c r="G98" s="255"/>
      <c r="H98" s="438"/>
      <c r="I98" s="255"/>
      <c r="J98" s="438"/>
      <c r="K98" s="255"/>
      <c r="M98" s="439"/>
      <c r="N98" s="471"/>
      <c r="O98" s="471"/>
      <c r="P98" s="471"/>
      <c r="Q98" s="471"/>
      <c r="R98" s="471"/>
      <c r="S98" s="471"/>
      <c r="T98" s="438"/>
      <c r="U98" s="438"/>
      <c r="W98" s="495"/>
      <c r="X98" s="495"/>
      <c r="Y98" s="495"/>
      <c r="Z98" s="495"/>
      <c r="AA98" s="63"/>
      <c r="AB98" s="603"/>
    </row>
    <row r="99" spans="1:28" s="413" customFormat="1" ht="3.95" customHeight="1" x14ac:dyDescent="0.2">
      <c r="A99" s="471"/>
      <c r="B99" s="416"/>
      <c r="C99" s="417"/>
      <c r="D99" s="417"/>
      <c r="E99" s="417"/>
      <c r="F99" s="418"/>
      <c r="G99" s="500"/>
      <c r="H99" s="418"/>
      <c r="I99" s="500"/>
      <c r="J99" s="418"/>
      <c r="K99" s="441"/>
      <c r="M99" s="439"/>
      <c r="N99" s="471"/>
      <c r="O99" s="471"/>
      <c r="P99" s="471"/>
      <c r="Q99" s="471"/>
      <c r="R99" s="471"/>
      <c r="S99" s="471"/>
      <c r="T99" s="438"/>
      <c r="U99" s="438"/>
      <c r="W99" s="495"/>
      <c r="X99" s="495"/>
      <c r="Y99" s="495"/>
      <c r="Z99" s="495"/>
      <c r="AA99" s="63"/>
      <c r="AB99" s="603"/>
    </row>
    <row r="100" spans="1:28" s="413" customFormat="1" ht="15" customHeight="1" x14ac:dyDescent="0.2">
      <c r="A100" s="471"/>
      <c r="B100" s="420" t="s">
        <v>331</v>
      </c>
      <c r="C100" s="421" t="str">
        <f>MID('[1]2NGeb'!$C$17,1,2)</f>
        <v>Ri</v>
      </c>
      <c r="D100" s="492" t="s">
        <v>297</v>
      </c>
      <c r="E100" s="492"/>
      <c r="F100" s="423" t="s">
        <v>724</v>
      </c>
      <c r="G100" s="424"/>
      <c r="H100" s="423" t="s">
        <v>54</v>
      </c>
      <c r="I100" s="424"/>
      <c r="J100" s="423" t="s">
        <v>319</v>
      </c>
      <c r="K100" s="425"/>
      <c r="M100" s="439"/>
      <c r="N100" s="471"/>
      <c r="O100" s="471"/>
      <c r="P100" s="471"/>
      <c r="Q100" s="494"/>
      <c r="R100" s="501"/>
      <c r="S100" s="494"/>
      <c r="T100" s="495"/>
      <c r="U100" s="495"/>
      <c r="W100" s="495"/>
      <c r="X100" s="495"/>
      <c r="Y100" s="495"/>
      <c r="Z100" s="495"/>
      <c r="AA100" s="63"/>
      <c r="AB100" s="603"/>
    </row>
    <row r="101" spans="1:28" s="413" customFormat="1" ht="3.95" customHeight="1" thickBot="1" x14ac:dyDescent="0.25">
      <c r="A101" s="471"/>
      <c r="B101" s="498"/>
      <c r="C101" s="428"/>
      <c r="D101" s="428"/>
      <c r="E101" s="428"/>
      <c r="F101" s="429"/>
      <c r="G101" s="499"/>
      <c r="H101" s="429"/>
      <c r="I101" s="499"/>
      <c r="J101" s="429"/>
      <c r="K101" s="502"/>
      <c r="M101" s="439"/>
      <c r="N101" s="471"/>
      <c r="O101" s="471"/>
      <c r="P101" s="471"/>
      <c r="Q101" s="471"/>
      <c r="R101" s="471"/>
      <c r="S101" s="471"/>
      <c r="T101" s="438"/>
      <c r="U101" s="438"/>
      <c r="W101" s="495"/>
      <c r="X101" s="495"/>
      <c r="Y101" s="495"/>
      <c r="Z101" s="495"/>
      <c r="AA101" s="63"/>
      <c r="AB101" s="603"/>
    </row>
    <row r="102" spans="1:28" s="413" customFormat="1" ht="6" customHeight="1" thickBot="1" x14ac:dyDescent="0.25">
      <c r="A102" s="471"/>
      <c r="B102" s="471"/>
      <c r="C102" s="471"/>
      <c r="D102" s="471"/>
      <c r="E102" s="471"/>
      <c r="F102" s="438"/>
      <c r="G102" s="255"/>
      <c r="H102" s="438"/>
      <c r="I102" s="255"/>
      <c r="J102" s="438"/>
      <c r="K102" s="438"/>
      <c r="M102" s="439"/>
      <c r="N102" s="471"/>
      <c r="O102" s="471"/>
      <c r="P102" s="471"/>
      <c r="Q102" s="471"/>
      <c r="R102" s="471"/>
      <c r="S102" s="471"/>
      <c r="T102" s="438"/>
      <c r="U102" s="438"/>
      <c r="W102" s="495"/>
      <c r="X102" s="495"/>
      <c r="Y102" s="495"/>
      <c r="Z102" s="495"/>
      <c r="AA102" s="63"/>
      <c r="AB102" s="603"/>
    </row>
    <row r="103" spans="1:28" s="413" customFormat="1" ht="15" customHeight="1" thickBot="1" x14ac:dyDescent="0.25">
      <c r="A103" s="471"/>
      <c r="B103" s="472" t="s">
        <v>331</v>
      </c>
      <c r="C103" s="444" t="str">
        <f>MID('[1]2NGeb'!$C$17,1,2)</f>
        <v>Ri</v>
      </c>
      <c r="D103" s="58" t="s">
        <v>297</v>
      </c>
      <c r="F103" s="231">
        <f>F97-F81</f>
        <v>56467.646511627914</v>
      </c>
      <c r="G103" s="442" t="s">
        <v>295</v>
      </c>
      <c r="I103" s="255"/>
      <c r="J103" s="438"/>
      <c r="K103" s="438"/>
      <c r="M103" s="439"/>
      <c r="N103" s="471"/>
      <c r="O103" s="471"/>
      <c r="P103" s="471"/>
      <c r="Q103" s="472" t="s">
        <v>331</v>
      </c>
      <c r="R103" s="444" t="str">
        <f>MID('[1]2NGeb'!$C$19,1,2)</f>
        <v>Be</v>
      </c>
      <c r="S103" s="58" t="s">
        <v>297</v>
      </c>
      <c r="T103" s="231">
        <f>T97-T81</f>
        <v>7067.72093023256</v>
      </c>
      <c r="U103" s="442" t="s">
        <v>295</v>
      </c>
      <c r="W103" s="438"/>
      <c r="X103" s="438"/>
      <c r="Y103" s="438"/>
      <c r="Z103" s="438"/>
      <c r="AA103" s="63"/>
      <c r="AB103" s="603"/>
    </row>
    <row r="104" spans="1:28" s="413" customFormat="1" ht="6" customHeight="1" x14ac:dyDescent="0.2">
      <c r="A104" s="471"/>
      <c r="B104" s="472"/>
      <c r="C104" s="450"/>
      <c r="D104" s="58"/>
      <c r="I104" s="255"/>
      <c r="J104" s="438"/>
      <c r="K104" s="438"/>
      <c r="M104" s="439"/>
      <c r="N104" s="471"/>
      <c r="O104" s="471"/>
      <c r="P104" s="471"/>
      <c r="Q104" s="472"/>
      <c r="R104" s="450"/>
      <c r="S104" s="58"/>
      <c r="V104" s="442"/>
      <c r="W104" s="438"/>
      <c r="X104" s="438"/>
      <c r="Y104" s="438"/>
      <c r="Z104" s="438"/>
      <c r="AA104" s="63"/>
      <c r="AB104" s="603"/>
    </row>
    <row r="105" spans="1:28" s="413" customFormat="1" ht="15" customHeight="1" x14ac:dyDescent="0.2">
      <c r="A105" s="436"/>
      <c r="B105" s="436"/>
      <c r="C105" s="436"/>
      <c r="D105" s="436"/>
      <c r="E105" s="436"/>
      <c r="F105" s="438"/>
      <c r="G105" s="438"/>
      <c r="H105" s="438"/>
      <c r="I105" s="255"/>
      <c r="J105" s="438"/>
      <c r="K105" s="438"/>
      <c r="R105" s="436"/>
      <c r="AA105" s="63"/>
      <c r="AB105" s="603"/>
    </row>
    <row r="106" spans="1:28" s="413" customFormat="1" ht="15" customHeight="1" x14ac:dyDescent="0.2">
      <c r="B106" s="506" t="s">
        <v>201</v>
      </c>
      <c r="C106" s="507"/>
      <c r="D106" s="507"/>
      <c r="E106" s="507"/>
      <c r="F106" s="508"/>
      <c r="G106" s="508"/>
      <c r="H106" s="508"/>
      <c r="I106" s="509"/>
      <c r="J106" s="508"/>
      <c r="K106" s="508"/>
      <c r="L106" s="510"/>
      <c r="M106" s="510"/>
      <c r="N106" s="510"/>
      <c r="O106" s="510"/>
      <c r="P106" s="510"/>
      <c r="Q106" s="510"/>
      <c r="R106" s="507"/>
      <c r="S106" s="510"/>
      <c r="T106" s="510"/>
      <c r="AA106" s="63"/>
      <c r="AB106" s="603"/>
    </row>
    <row r="107" spans="1:28" s="413" customFormat="1" ht="15" customHeight="1" x14ac:dyDescent="0.2">
      <c r="B107" s="510"/>
      <c r="C107" s="510"/>
      <c r="D107" s="510"/>
      <c r="E107" s="510"/>
      <c r="F107" s="30" t="str">
        <f>IF(A72="","",A72)</f>
        <v>Eingebaute(r) Rinderstall (Warmstall)</v>
      </c>
      <c r="G107" s="508"/>
      <c r="H107" s="508"/>
      <c r="I107" s="509"/>
      <c r="J107" s="508"/>
      <c r="K107" s="508"/>
      <c r="L107" s="30" t="str">
        <f>IF(N54="","",N54)</f>
        <v>Bergeraum (erdlastig)</v>
      </c>
      <c r="M107" s="510"/>
      <c r="N107" s="510"/>
      <c r="O107" s="510"/>
      <c r="P107" s="510"/>
      <c r="Q107" s="510"/>
      <c r="R107" s="507"/>
      <c r="S107" s="510"/>
      <c r="T107" s="510"/>
      <c r="AA107" s="63"/>
      <c r="AB107" s="603"/>
    </row>
    <row r="108" spans="1:28" s="413" customFormat="1" ht="3.95" customHeight="1" x14ac:dyDescent="0.2">
      <c r="B108" s="432"/>
      <c r="C108" s="432"/>
      <c r="D108" s="432"/>
      <c r="E108" s="432"/>
      <c r="F108" s="432"/>
      <c r="G108" s="433"/>
      <c r="H108" s="433"/>
      <c r="I108" s="453"/>
      <c r="J108" s="433"/>
      <c r="K108" s="433"/>
      <c r="L108" s="432"/>
      <c r="M108" s="432"/>
      <c r="N108" s="432"/>
      <c r="O108" s="432"/>
      <c r="P108" s="432"/>
      <c r="Q108" s="432"/>
      <c r="R108" s="414"/>
      <c r="S108" s="432"/>
      <c r="T108" s="432"/>
      <c r="AA108" s="63"/>
      <c r="AB108" s="603"/>
    </row>
    <row r="109" spans="1:28" s="413" customFormat="1" ht="15" customHeight="1" x14ac:dyDescent="0.2">
      <c r="A109" s="436"/>
      <c r="B109" s="432" t="s">
        <v>310</v>
      </c>
      <c r="C109" s="414"/>
      <c r="D109" s="414"/>
      <c r="E109" s="414"/>
      <c r="F109" s="626">
        <f>IF(F34="","noch leer",F34)</f>
        <v>768</v>
      </c>
      <c r="G109" s="433"/>
      <c r="H109" s="432" t="s">
        <v>276</v>
      </c>
      <c r="I109" s="453"/>
      <c r="J109" s="432"/>
      <c r="K109" s="432"/>
      <c r="L109" s="432" t="s">
        <v>310</v>
      </c>
      <c r="M109" s="433"/>
      <c r="N109" s="432"/>
      <c r="O109" s="432"/>
      <c r="P109" s="626">
        <f>IF(X61="","noch leer",X61)</f>
        <v>672</v>
      </c>
      <c r="Q109" s="432" t="s">
        <v>306</v>
      </c>
      <c r="R109" s="414"/>
      <c r="S109" s="432"/>
      <c r="T109" s="432"/>
      <c r="AA109" s="63"/>
      <c r="AB109" s="603"/>
    </row>
    <row r="110" spans="1:28" s="413" customFormat="1" ht="3" customHeight="1" x14ac:dyDescent="0.2">
      <c r="A110" s="436"/>
      <c r="B110" s="432"/>
      <c r="C110" s="414"/>
      <c r="D110" s="414"/>
      <c r="E110" s="414"/>
      <c r="F110" s="433"/>
      <c r="G110" s="433"/>
      <c r="H110" s="432"/>
      <c r="I110" s="453"/>
      <c r="J110" s="432"/>
      <c r="K110" s="432"/>
      <c r="L110" s="432"/>
      <c r="M110" s="433"/>
      <c r="N110" s="432"/>
      <c r="O110" s="432"/>
      <c r="P110" s="433"/>
      <c r="Q110" s="432"/>
      <c r="R110" s="414"/>
      <c r="S110" s="432"/>
      <c r="T110" s="432"/>
      <c r="AA110" s="63"/>
      <c r="AB110" s="603"/>
    </row>
    <row r="111" spans="1:28" s="413" customFormat="1" ht="15" customHeight="1" x14ac:dyDescent="0.2">
      <c r="A111" s="436"/>
      <c r="B111" s="432" t="s">
        <v>208</v>
      </c>
      <c r="C111" s="414"/>
      <c r="D111" s="414"/>
      <c r="E111" s="414"/>
      <c r="F111" s="627">
        <f>IF(F51="","noch leer",F51)</f>
        <v>93388.800000000003</v>
      </c>
      <c r="G111" s="433"/>
      <c r="H111" s="432" t="s">
        <v>294</v>
      </c>
      <c r="I111" s="453"/>
      <c r="J111" s="432"/>
      <c r="K111" s="432"/>
      <c r="L111" s="432" t="s">
        <v>208</v>
      </c>
      <c r="M111" s="433"/>
      <c r="N111" s="432"/>
      <c r="O111" s="432"/>
      <c r="P111" s="627">
        <f>IF(T69="","noch leer",T69)</f>
        <v>20260.800000000003</v>
      </c>
      <c r="Q111" s="432" t="s">
        <v>295</v>
      </c>
      <c r="R111" s="414"/>
      <c r="S111" s="432"/>
      <c r="T111" s="432"/>
      <c r="AA111" s="63"/>
      <c r="AB111" s="603"/>
    </row>
    <row r="112" spans="1:28" s="413" customFormat="1" ht="3" customHeight="1" x14ac:dyDescent="0.2">
      <c r="A112" s="436"/>
      <c r="B112" s="432"/>
      <c r="C112" s="414"/>
      <c r="D112" s="414"/>
      <c r="E112" s="414"/>
      <c r="F112" s="620"/>
      <c r="G112" s="433"/>
      <c r="H112" s="432"/>
      <c r="I112" s="453"/>
      <c r="J112" s="432"/>
      <c r="K112" s="432"/>
      <c r="L112" s="432"/>
      <c r="M112" s="433"/>
      <c r="N112" s="432"/>
      <c r="O112" s="432"/>
      <c r="P112" s="620"/>
      <c r="Q112" s="432"/>
      <c r="R112" s="414"/>
      <c r="S112" s="432"/>
      <c r="T112" s="432"/>
      <c r="AA112" s="63"/>
      <c r="AB112" s="603"/>
    </row>
    <row r="113" spans="1:256" s="413" customFormat="1" ht="15" customHeight="1" x14ac:dyDescent="0.2">
      <c r="A113" s="436"/>
      <c r="B113" s="432" t="s">
        <v>332</v>
      </c>
      <c r="C113" s="414"/>
      <c r="D113" s="414"/>
      <c r="E113" s="414"/>
      <c r="F113" s="627">
        <f>IF(F97="","noch leer",F97)</f>
        <v>58639.479069767447</v>
      </c>
      <c r="G113" s="433"/>
      <c r="H113" s="432" t="s">
        <v>294</v>
      </c>
      <c r="I113" s="453"/>
      <c r="J113" s="432"/>
      <c r="K113" s="432"/>
      <c r="L113" s="432" t="s">
        <v>332</v>
      </c>
      <c r="M113" s="433"/>
      <c r="N113" s="432"/>
      <c r="O113" s="432"/>
      <c r="P113" s="627">
        <f>IF(T97="","noch leer",T97)</f>
        <v>7538.9023255813972</v>
      </c>
      <c r="Q113" s="432" t="s">
        <v>295</v>
      </c>
      <c r="R113" s="414"/>
      <c r="S113" s="432"/>
      <c r="T113" s="432"/>
      <c r="AA113" s="63"/>
      <c r="AB113" s="603"/>
    </row>
    <row r="114" spans="1:256" s="413" customFormat="1" ht="3" customHeight="1" x14ac:dyDescent="0.2">
      <c r="A114" s="436"/>
      <c r="B114" s="432"/>
      <c r="C114" s="414"/>
      <c r="D114" s="414"/>
      <c r="E114" s="414"/>
      <c r="F114" s="620"/>
      <c r="G114" s="433"/>
      <c r="H114" s="432"/>
      <c r="I114" s="453"/>
      <c r="J114" s="432"/>
      <c r="K114" s="432"/>
      <c r="L114" s="432"/>
      <c r="M114" s="433"/>
      <c r="N114" s="432"/>
      <c r="O114" s="432"/>
      <c r="P114" s="620"/>
      <c r="Q114" s="432"/>
      <c r="R114" s="414"/>
      <c r="S114" s="432"/>
      <c r="T114" s="432"/>
      <c r="AA114" s="63"/>
      <c r="AB114" s="603"/>
    </row>
    <row r="115" spans="1:256" s="413" customFormat="1" ht="15" customHeight="1" x14ac:dyDescent="0.2">
      <c r="A115" s="436"/>
      <c r="B115" s="432" t="s">
        <v>307</v>
      </c>
      <c r="C115" s="414"/>
      <c r="D115" s="414"/>
      <c r="E115" s="414"/>
      <c r="F115" s="627">
        <f>IF(F81="","noch leer",F81)</f>
        <v>2171.8325581395347</v>
      </c>
      <c r="G115" s="433"/>
      <c r="H115" s="432" t="s">
        <v>294</v>
      </c>
      <c r="I115" s="453"/>
      <c r="J115" s="432"/>
      <c r="K115" s="432"/>
      <c r="L115" s="432" t="s">
        <v>307</v>
      </c>
      <c r="M115" s="433"/>
      <c r="N115" s="432"/>
      <c r="O115" s="432"/>
      <c r="P115" s="627">
        <f>IF(T81="","noch leer",T81)</f>
        <v>471.18139534883727</v>
      </c>
      <c r="Q115" s="432" t="s">
        <v>295</v>
      </c>
      <c r="R115" s="414"/>
      <c r="S115" s="432"/>
      <c r="T115" s="432"/>
      <c r="AA115" s="63"/>
      <c r="AB115" s="603"/>
    </row>
    <row r="116" spans="1:256" s="413" customFormat="1" ht="3" customHeight="1" x14ac:dyDescent="0.2">
      <c r="A116" s="436"/>
      <c r="B116" s="432"/>
      <c r="C116" s="414"/>
      <c r="D116" s="414"/>
      <c r="E116" s="414"/>
      <c r="F116" s="620"/>
      <c r="G116" s="433"/>
      <c r="H116" s="432"/>
      <c r="I116" s="453"/>
      <c r="J116" s="432"/>
      <c r="K116" s="432"/>
      <c r="L116" s="432"/>
      <c r="M116" s="433"/>
      <c r="N116" s="432"/>
      <c r="O116" s="432"/>
      <c r="P116" s="620"/>
      <c r="Q116" s="432"/>
      <c r="R116" s="414"/>
      <c r="S116" s="432"/>
      <c r="T116" s="432"/>
      <c r="AA116" s="63"/>
      <c r="AB116" s="603"/>
    </row>
    <row r="117" spans="1:256" s="413" customFormat="1" ht="15" customHeight="1" x14ac:dyDescent="0.2">
      <c r="A117" s="436"/>
      <c r="B117" s="432" t="s">
        <v>333</v>
      </c>
      <c r="C117" s="414"/>
      <c r="D117" s="414"/>
      <c r="E117" s="414"/>
      <c r="F117" s="627">
        <f>IF(F103="","noch leer",F103)</f>
        <v>56467.646511627914</v>
      </c>
      <c r="G117" s="433"/>
      <c r="H117" s="432" t="s">
        <v>294</v>
      </c>
      <c r="I117" s="453"/>
      <c r="J117" s="432"/>
      <c r="K117" s="432"/>
      <c r="L117" s="432" t="s">
        <v>333</v>
      </c>
      <c r="M117" s="433"/>
      <c r="N117" s="432"/>
      <c r="O117" s="432"/>
      <c r="P117" s="627">
        <f>IF(T103="","noch leer",T103)</f>
        <v>7067.72093023256</v>
      </c>
      <c r="Q117" s="432" t="s">
        <v>295</v>
      </c>
      <c r="R117" s="414"/>
      <c r="S117" s="432"/>
      <c r="T117" s="432"/>
      <c r="AA117" s="63"/>
      <c r="AB117" s="603"/>
    </row>
    <row r="118" spans="1:256" s="413" customFormat="1" ht="3.95" customHeight="1" x14ac:dyDescent="0.2">
      <c r="A118" s="436"/>
      <c r="B118" s="414"/>
      <c r="C118" s="414"/>
      <c r="D118" s="414"/>
      <c r="E118" s="414"/>
      <c r="F118" s="433"/>
      <c r="G118" s="433"/>
      <c r="H118" s="433"/>
      <c r="I118" s="453"/>
      <c r="J118" s="433"/>
      <c r="K118" s="433"/>
      <c r="L118" s="432"/>
      <c r="M118" s="432"/>
      <c r="N118" s="432"/>
      <c r="O118" s="432"/>
      <c r="P118" s="432"/>
      <c r="Q118" s="432"/>
      <c r="R118" s="414"/>
      <c r="S118" s="432"/>
      <c r="T118" s="432"/>
      <c r="AA118" s="63"/>
      <c r="AB118" s="603"/>
    </row>
    <row r="119" spans="1:256" s="413" customFormat="1" ht="15" customHeight="1" x14ac:dyDescent="0.2">
      <c r="A119" s="436"/>
      <c r="B119" s="436"/>
      <c r="C119" s="436"/>
      <c r="D119" s="436"/>
      <c r="E119" s="436"/>
      <c r="F119" s="438"/>
      <c r="G119" s="438"/>
      <c r="H119" s="438"/>
      <c r="I119" s="255"/>
      <c r="J119" s="438"/>
      <c r="K119" s="438"/>
      <c r="R119" s="436"/>
      <c r="AA119" s="63"/>
      <c r="AB119" s="603"/>
    </row>
    <row r="120" spans="1:256" s="1" customFormat="1" ht="12.75" hidden="1" customHeight="1" x14ac:dyDescent="0.2">
      <c r="AA120"/>
      <c r="AB120"/>
      <c r="AC120" s="511"/>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1"/>
      <c r="AY120" s="511"/>
      <c r="AZ120" s="511"/>
      <c r="BA120" s="511"/>
      <c r="BB120" s="511"/>
      <c r="BC120" s="511"/>
      <c r="BD120" s="511"/>
      <c r="BE120" s="511"/>
      <c r="BF120" s="511"/>
      <c r="BG120" s="511"/>
      <c r="BH120" s="511"/>
      <c r="BI120" s="511"/>
      <c r="BJ120" s="511"/>
      <c r="BK120" s="511"/>
      <c r="BL120" s="511"/>
      <c r="BM120" s="511"/>
      <c r="BN120" s="511"/>
      <c r="BO120" s="511"/>
      <c r="BP120" s="511"/>
      <c r="BQ120" s="511"/>
      <c r="BR120" s="511"/>
      <c r="BS120" s="511"/>
      <c r="BT120" s="511"/>
      <c r="BU120" s="511"/>
      <c r="BV120" s="511"/>
      <c r="BW120" s="511"/>
      <c r="BX120" s="511"/>
      <c r="BY120" s="511"/>
      <c r="BZ120" s="511"/>
      <c r="CA120" s="511"/>
      <c r="CB120" s="511"/>
      <c r="CC120" s="511"/>
      <c r="CD120" s="511"/>
      <c r="CE120" s="511"/>
      <c r="CF120" s="511"/>
      <c r="CG120" s="511"/>
      <c r="CH120" s="511"/>
      <c r="CI120" s="511"/>
      <c r="CJ120" s="511"/>
      <c r="CK120" s="511"/>
      <c r="CL120" s="511"/>
      <c r="CM120" s="511"/>
      <c r="CN120" s="511"/>
      <c r="CO120" s="511"/>
      <c r="CP120" s="511"/>
      <c r="CQ120" s="511"/>
      <c r="CR120" s="511"/>
      <c r="CS120" s="511"/>
      <c r="CT120" s="511"/>
      <c r="CU120" s="511"/>
      <c r="CV120" s="511"/>
      <c r="CW120" s="511"/>
      <c r="CX120" s="511"/>
      <c r="CY120" s="511"/>
      <c r="CZ120" s="511"/>
      <c r="DA120" s="511"/>
      <c r="DB120" s="511"/>
      <c r="DC120" s="511"/>
      <c r="DD120" s="511"/>
      <c r="DE120" s="511"/>
      <c r="DF120" s="511"/>
      <c r="DG120" s="511"/>
      <c r="DH120" s="511"/>
      <c r="DI120" s="511"/>
      <c r="DJ120" s="511"/>
      <c r="DK120" s="511"/>
      <c r="DL120" s="511"/>
      <c r="DM120" s="511"/>
      <c r="DN120" s="511"/>
      <c r="DO120" s="511"/>
      <c r="DP120" s="511"/>
      <c r="DQ120" s="511"/>
      <c r="DR120" s="511"/>
      <c r="DS120" s="511"/>
      <c r="DT120" s="511"/>
      <c r="DU120" s="511"/>
      <c r="DV120" s="511"/>
      <c r="DW120" s="511"/>
      <c r="DX120" s="511"/>
      <c r="DY120" s="511"/>
      <c r="DZ120" s="511"/>
      <c r="EA120" s="511"/>
      <c r="EB120" s="511"/>
      <c r="EC120" s="511"/>
      <c r="ED120" s="511"/>
      <c r="EE120" s="511"/>
      <c r="EF120" s="511"/>
      <c r="EG120" s="511"/>
      <c r="EH120" s="511"/>
      <c r="EI120" s="511"/>
      <c r="EJ120" s="511"/>
      <c r="EK120" s="511"/>
      <c r="EL120" s="511"/>
      <c r="EM120" s="511"/>
      <c r="EN120" s="511"/>
      <c r="EO120" s="511"/>
      <c r="EP120" s="511"/>
      <c r="EQ120" s="511"/>
      <c r="ER120" s="511"/>
      <c r="ES120" s="511"/>
      <c r="ET120" s="511"/>
      <c r="EU120" s="511"/>
      <c r="EV120" s="511"/>
      <c r="EW120" s="511"/>
      <c r="EX120" s="511"/>
      <c r="EY120" s="511"/>
      <c r="EZ120" s="511"/>
      <c r="FA120" s="511"/>
      <c r="FB120" s="511"/>
      <c r="FC120" s="511"/>
      <c r="FD120" s="511"/>
      <c r="FE120" s="511"/>
      <c r="FF120" s="511"/>
      <c r="FG120" s="511"/>
      <c r="FH120" s="511"/>
      <c r="FI120" s="511"/>
      <c r="FJ120" s="511"/>
      <c r="FK120" s="511"/>
      <c r="FL120" s="511"/>
      <c r="FM120" s="511"/>
      <c r="FN120" s="511"/>
      <c r="FO120" s="511"/>
      <c r="FP120" s="511"/>
      <c r="FQ120" s="511"/>
      <c r="FR120" s="511"/>
      <c r="FS120" s="511"/>
      <c r="FT120" s="511"/>
      <c r="FU120" s="511"/>
      <c r="FV120" s="511"/>
      <c r="FW120" s="511"/>
      <c r="FX120" s="511"/>
      <c r="FY120" s="511"/>
      <c r="FZ120" s="511"/>
      <c r="GA120" s="511"/>
      <c r="GB120" s="511"/>
      <c r="GC120" s="511"/>
      <c r="GD120" s="511"/>
      <c r="GE120" s="511"/>
      <c r="GF120" s="511"/>
      <c r="GG120" s="511"/>
      <c r="GH120" s="511"/>
      <c r="GI120" s="511"/>
      <c r="GJ120" s="511"/>
      <c r="GK120" s="511"/>
      <c r="GL120" s="511"/>
      <c r="GM120" s="511"/>
      <c r="GN120" s="511"/>
      <c r="GO120" s="511"/>
      <c r="GP120" s="511"/>
      <c r="GQ120" s="511"/>
      <c r="GR120" s="511"/>
      <c r="GS120" s="511"/>
      <c r="GT120" s="511"/>
      <c r="GU120" s="511"/>
      <c r="GV120" s="511"/>
      <c r="GW120" s="511"/>
      <c r="GX120" s="511"/>
      <c r="GY120" s="511"/>
      <c r="GZ120" s="511"/>
      <c r="HA120" s="511"/>
      <c r="HB120" s="511"/>
      <c r="HC120" s="511"/>
      <c r="HD120" s="511"/>
      <c r="HE120" s="511"/>
      <c r="HF120" s="511"/>
      <c r="HG120" s="511"/>
      <c r="HH120" s="511"/>
      <c r="HI120" s="511"/>
      <c r="HJ120" s="511"/>
      <c r="HK120" s="511"/>
      <c r="HL120" s="511"/>
      <c r="HM120" s="511"/>
      <c r="HN120" s="511"/>
      <c r="HO120" s="511"/>
      <c r="HP120" s="511"/>
      <c r="HQ120" s="511"/>
      <c r="HR120" s="511"/>
      <c r="HS120" s="511"/>
      <c r="HT120" s="511"/>
      <c r="HU120" s="511"/>
      <c r="HV120" s="511"/>
      <c r="HW120" s="511"/>
      <c r="HX120" s="511"/>
      <c r="HY120" s="511"/>
      <c r="HZ120" s="511"/>
      <c r="IA120" s="511"/>
      <c r="IB120" s="511"/>
      <c r="IC120" s="511"/>
      <c r="ID120" s="511"/>
      <c r="IE120" s="511"/>
      <c r="IF120" s="511"/>
      <c r="IG120" s="511"/>
      <c r="IH120" s="511"/>
      <c r="II120" s="511"/>
      <c r="IJ120" s="511"/>
      <c r="IK120" s="511"/>
      <c r="IL120" s="511"/>
      <c r="IM120" s="511"/>
      <c r="IN120" s="511"/>
      <c r="IO120" s="511"/>
      <c r="IP120" s="511"/>
      <c r="IQ120" s="511"/>
      <c r="IR120" s="511"/>
      <c r="IS120" s="511"/>
      <c r="IT120" s="511"/>
      <c r="IU120" s="511"/>
      <c r="IV120" s="511"/>
    </row>
    <row r="121" spans="1:256" s="1" customFormat="1" ht="12.75" hidden="1" customHeight="1" x14ac:dyDescent="0.2">
      <c r="A121" s="512" t="s">
        <v>311</v>
      </c>
      <c r="F121" s="512" t="s">
        <v>312</v>
      </c>
      <c r="G121" s="512"/>
      <c r="H121" s="512"/>
      <c r="I121" s="512"/>
      <c r="L121" s="513" t="s">
        <v>12</v>
      </c>
      <c r="M121" s="514"/>
      <c r="N121" s="514"/>
      <c r="AA121"/>
      <c r="AB121"/>
      <c r="AC121" s="511"/>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1"/>
      <c r="AY121" s="511"/>
      <c r="AZ121" s="511"/>
      <c r="BA121" s="511"/>
      <c r="BB121" s="511"/>
      <c r="BC121" s="511"/>
      <c r="BD121" s="511"/>
      <c r="BE121" s="511"/>
      <c r="BF121" s="511"/>
      <c r="BG121" s="511"/>
      <c r="BH121" s="511"/>
      <c r="BI121" s="511"/>
      <c r="BJ121" s="511"/>
      <c r="BK121" s="511"/>
      <c r="BL121" s="511"/>
      <c r="BM121" s="511"/>
      <c r="BN121" s="511"/>
      <c r="BO121" s="511"/>
      <c r="BP121" s="511"/>
      <c r="BQ121" s="511"/>
      <c r="BR121" s="511"/>
      <c r="BS121" s="511"/>
      <c r="BT121" s="511"/>
      <c r="BU121" s="511"/>
      <c r="BV121" s="511"/>
      <c r="BW121" s="511"/>
      <c r="BX121" s="511"/>
      <c r="BY121" s="511"/>
      <c r="BZ121" s="511"/>
      <c r="CA121" s="511"/>
      <c r="CB121" s="511"/>
      <c r="CC121" s="511"/>
      <c r="CD121" s="511"/>
      <c r="CE121" s="511"/>
      <c r="CF121" s="511"/>
      <c r="CG121" s="511"/>
      <c r="CH121" s="511"/>
      <c r="CI121" s="511"/>
      <c r="CJ121" s="511"/>
      <c r="CK121" s="511"/>
      <c r="CL121" s="511"/>
      <c r="CM121" s="511"/>
      <c r="CN121" s="511"/>
      <c r="CO121" s="511"/>
      <c r="CP121" s="511"/>
      <c r="CQ121" s="511"/>
      <c r="CR121" s="511"/>
      <c r="CS121" s="511"/>
      <c r="CT121" s="511"/>
      <c r="CU121" s="511"/>
      <c r="CV121" s="511"/>
      <c r="CW121" s="511"/>
      <c r="CX121" s="511"/>
      <c r="CY121" s="511"/>
      <c r="CZ121" s="511"/>
      <c r="DA121" s="511"/>
      <c r="DB121" s="511"/>
      <c r="DC121" s="511"/>
      <c r="DD121" s="511"/>
      <c r="DE121" s="511"/>
      <c r="DF121" s="511"/>
      <c r="DG121" s="511"/>
      <c r="DH121" s="511"/>
      <c r="DI121" s="511"/>
      <c r="DJ121" s="511"/>
      <c r="DK121" s="511"/>
      <c r="DL121" s="511"/>
      <c r="DM121" s="511"/>
      <c r="DN121" s="511"/>
      <c r="DO121" s="511"/>
      <c r="DP121" s="511"/>
      <c r="DQ121" s="511"/>
      <c r="DR121" s="511"/>
      <c r="DS121" s="511"/>
      <c r="DT121" s="511"/>
      <c r="DU121" s="511"/>
      <c r="DV121" s="511"/>
      <c r="DW121" s="511"/>
      <c r="DX121" s="511"/>
      <c r="DY121" s="511"/>
      <c r="DZ121" s="511"/>
      <c r="EA121" s="511"/>
      <c r="EB121" s="511"/>
      <c r="EC121" s="511"/>
      <c r="ED121" s="511"/>
      <c r="EE121" s="511"/>
      <c r="EF121" s="511"/>
      <c r="EG121" s="511"/>
      <c r="EH121" s="511"/>
      <c r="EI121" s="511"/>
      <c r="EJ121" s="511"/>
      <c r="EK121" s="511"/>
      <c r="EL121" s="511"/>
      <c r="EM121" s="511"/>
      <c r="EN121" s="511"/>
      <c r="EO121" s="511"/>
      <c r="EP121" s="511"/>
      <c r="EQ121" s="511"/>
      <c r="ER121" s="511"/>
      <c r="ES121" s="511"/>
      <c r="ET121" s="511"/>
      <c r="EU121" s="511"/>
      <c r="EV121" s="511"/>
      <c r="EW121" s="511"/>
      <c r="EX121" s="511"/>
      <c r="EY121" s="511"/>
      <c r="EZ121" s="511"/>
      <c r="FA121" s="511"/>
      <c r="FB121" s="511"/>
      <c r="FC121" s="511"/>
      <c r="FD121" s="511"/>
      <c r="FE121" s="511"/>
      <c r="FF121" s="511"/>
      <c r="FG121" s="511"/>
      <c r="FH121" s="511"/>
      <c r="FI121" s="511"/>
      <c r="FJ121" s="511"/>
      <c r="FK121" s="511"/>
      <c r="FL121" s="511"/>
      <c r="FM121" s="511"/>
      <c r="FN121" s="511"/>
      <c r="FO121" s="511"/>
      <c r="FP121" s="511"/>
      <c r="FQ121" s="511"/>
      <c r="FR121" s="511"/>
      <c r="FS121" s="511"/>
      <c r="FT121" s="511"/>
      <c r="FU121" s="511"/>
      <c r="FV121" s="511"/>
      <c r="FW121" s="511"/>
      <c r="FX121" s="511"/>
      <c r="FY121" s="511"/>
      <c r="FZ121" s="511"/>
      <c r="GA121" s="511"/>
      <c r="GB121" s="511"/>
      <c r="GC121" s="511"/>
      <c r="GD121" s="511"/>
      <c r="GE121" s="511"/>
      <c r="GF121" s="511"/>
      <c r="GG121" s="511"/>
      <c r="GH121" s="511"/>
      <c r="GI121" s="511"/>
      <c r="GJ121" s="511"/>
      <c r="GK121" s="511"/>
      <c r="GL121" s="511"/>
      <c r="GM121" s="511"/>
      <c r="GN121" s="511"/>
      <c r="GO121" s="511"/>
      <c r="GP121" s="511"/>
      <c r="GQ121" s="511"/>
      <c r="GR121" s="511"/>
      <c r="GS121" s="511"/>
      <c r="GT121" s="511"/>
      <c r="GU121" s="511"/>
      <c r="GV121" s="511"/>
      <c r="GW121" s="511"/>
      <c r="GX121" s="511"/>
      <c r="GY121" s="511"/>
      <c r="GZ121" s="511"/>
      <c r="HA121" s="511"/>
      <c r="HB121" s="511"/>
      <c r="HC121" s="511"/>
      <c r="HD121" s="511"/>
      <c r="HE121" s="511"/>
      <c r="HF121" s="511"/>
      <c r="HG121" s="511"/>
      <c r="HH121" s="511"/>
      <c r="HI121" s="511"/>
      <c r="HJ121" s="511"/>
      <c r="HK121" s="511"/>
      <c r="HL121" s="511"/>
      <c r="HM121" s="511"/>
      <c r="HN121" s="511"/>
      <c r="HO121" s="511"/>
      <c r="HP121" s="511"/>
      <c r="HQ121" s="511"/>
      <c r="HR121" s="511"/>
      <c r="HS121" s="511"/>
      <c r="HT121" s="511"/>
      <c r="HU121" s="511"/>
      <c r="HV121" s="511"/>
      <c r="HW121" s="511"/>
      <c r="HX121" s="511"/>
      <c r="HY121" s="511"/>
      <c r="HZ121" s="511"/>
      <c r="IA121" s="511"/>
      <c r="IB121" s="511"/>
      <c r="IC121" s="511"/>
      <c r="ID121" s="511"/>
      <c r="IE121" s="511"/>
      <c r="IF121" s="511"/>
      <c r="IG121" s="511"/>
      <c r="IH121" s="511"/>
      <c r="II121" s="511"/>
      <c r="IJ121" s="511"/>
      <c r="IK121" s="511"/>
      <c r="IL121" s="511"/>
      <c r="IM121" s="511"/>
      <c r="IN121" s="511"/>
      <c r="IO121" s="511"/>
      <c r="IP121" s="511"/>
      <c r="IQ121" s="511"/>
      <c r="IR121" s="511"/>
      <c r="IS121" s="511"/>
      <c r="IT121" s="511"/>
      <c r="IU121" s="511"/>
      <c r="IV121" s="511"/>
    </row>
    <row r="122" spans="1:256" s="1" customFormat="1" ht="12.75" hidden="1" customHeight="1" x14ac:dyDescent="0.2">
      <c r="A122" s="5" t="s">
        <v>313</v>
      </c>
      <c r="F122" s="515" t="s">
        <v>37</v>
      </c>
      <c r="G122" s="515"/>
      <c r="H122" s="5"/>
      <c r="I122" s="5"/>
      <c r="L122" s="5" t="s">
        <v>1</v>
      </c>
      <c r="M122" s="5"/>
      <c r="N122" s="5"/>
      <c r="AA122"/>
      <c r="AB122"/>
      <c r="AC122" s="511"/>
      <c r="AD122" s="511"/>
      <c r="AE122" s="511"/>
      <c r="AF122" s="511"/>
      <c r="AG122" s="511"/>
      <c r="AH122" s="511"/>
      <c r="AI122" s="511"/>
      <c r="AJ122" s="511"/>
      <c r="AK122" s="511"/>
      <c r="AL122" s="511"/>
      <c r="AM122" s="511"/>
      <c r="AN122" s="511"/>
      <c r="AO122" s="511"/>
      <c r="AP122" s="511"/>
      <c r="AQ122" s="511"/>
      <c r="AR122" s="511"/>
      <c r="AS122" s="511"/>
      <c r="AT122" s="511"/>
      <c r="AU122" s="511"/>
      <c r="AV122" s="511"/>
      <c r="AW122" s="511"/>
      <c r="AX122" s="511"/>
      <c r="AY122" s="511"/>
      <c r="AZ122" s="511"/>
      <c r="BA122" s="511"/>
      <c r="BB122" s="511"/>
      <c r="BC122" s="511"/>
      <c r="BD122" s="511"/>
      <c r="BE122" s="511"/>
      <c r="BF122" s="511"/>
      <c r="BG122" s="511"/>
      <c r="BH122" s="511"/>
      <c r="BI122" s="511"/>
      <c r="BJ122" s="511"/>
      <c r="BK122" s="511"/>
      <c r="BL122" s="511"/>
      <c r="BM122" s="511"/>
      <c r="BN122" s="511"/>
      <c r="BO122" s="511"/>
      <c r="BP122" s="511"/>
      <c r="BQ122" s="511"/>
      <c r="BR122" s="511"/>
      <c r="BS122" s="511"/>
      <c r="BT122" s="511"/>
      <c r="BU122" s="511"/>
      <c r="BV122" s="511"/>
      <c r="BW122" s="511"/>
      <c r="BX122" s="511"/>
      <c r="BY122" s="511"/>
      <c r="BZ122" s="511"/>
      <c r="CA122" s="511"/>
      <c r="CB122" s="511"/>
      <c r="CC122" s="511"/>
      <c r="CD122" s="511"/>
      <c r="CE122" s="511"/>
      <c r="CF122" s="511"/>
      <c r="CG122" s="511"/>
      <c r="CH122" s="511"/>
      <c r="CI122" s="511"/>
      <c r="CJ122" s="511"/>
      <c r="CK122" s="511"/>
      <c r="CL122" s="511"/>
      <c r="CM122" s="511"/>
      <c r="CN122" s="511"/>
      <c r="CO122" s="511"/>
      <c r="CP122" s="511"/>
      <c r="CQ122" s="511"/>
      <c r="CR122" s="511"/>
      <c r="CS122" s="511"/>
      <c r="CT122" s="511"/>
      <c r="CU122" s="511"/>
      <c r="CV122" s="511"/>
      <c r="CW122" s="511"/>
      <c r="CX122" s="511"/>
      <c r="CY122" s="511"/>
      <c r="CZ122" s="511"/>
      <c r="DA122" s="511"/>
      <c r="DB122" s="511"/>
      <c r="DC122" s="511"/>
      <c r="DD122" s="511"/>
      <c r="DE122" s="511"/>
      <c r="DF122" s="511"/>
      <c r="DG122" s="511"/>
      <c r="DH122" s="511"/>
      <c r="DI122" s="511"/>
      <c r="DJ122" s="511"/>
      <c r="DK122" s="511"/>
      <c r="DL122" s="511"/>
      <c r="DM122" s="511"/>
      <c r="DN122" s="511"/>
      <c r="DO122" s="511"/>
      <c r="DP122" s="511"/>
      <c r="DQ122" s="511"/>
      <c r="DR122" s="511"/>
      <c r="DS122" s="511"/>
      <c r="DT122" s="511"/>
      <c r="DU122" s="511"/>
      <c r="DV122" s="511"/>
      <c r="DW122" s="511"/>
      <c r="DX122" s="511"/>
      <c r="DY122" s="511"/>
      <c r="DZ122" s="511"/>
      <c r="EA122" s="511"/>
      <c r="EB122" s="511"/>
      <c r="EC122" s="511"/>
      <c r="ED122" s="511"/>
      <c r="EE122" s="511"/>
      <c r="EF122" s="511"/>
      <c r="EG122" s="511"/>
      <c r="EH122" s="511"/>
      <c r="EI122" s="511"/>
      <c r="EJ122" s="511"/>
      <c r="EK122" s="511"/>
      <c r="EL122" s="511"/>
      <c r="EM122" s="511"/>
      <c r="EN122" s="511"/>
      <c r="EO122" s="511"/>
      <c r="EP122" s="511"/>
      <c r="EQ122" s="511"/>
      <c r="ER122" s="511"/>
      <c r="ES122" s="511"/>
      <c r="ET122" s="511"/>
      <c r="EU122" s="511"/>
      <c r="EV122" s="511"/>
      <c r="EW122" s="511"/>
      <c r="EX122" s="511"/>
      <c r="EY122" s="511"/>
      <c r="EZ122" s="511"/>
      <c r="FA122" s="511"/>
      <c r="FB122" s="511"/>
      <c r="FC122" s="511"/>
      <c r="FD122" s="511"/>
      <c r="FE122" s="511"/>
      <c r="FF122" s="511"/>
      <c r="FG122" s="511"/>
      <c r="FH122" s="511"/>
      <c r="FI122" s="511"/>
      <c r="FJ122" s="511"/>
      <c r="FK122" s="511"/>
      <c r="FL122" s="511"/>
      <c r="FM122" s="511"/>
      <c r="FN122" s="511"/>
      <c r="FO122" s="511"/>
      <c r="FP122" s="511"/>
      <c r="FQ122" s="511"/>
      <c r="FR122" s="511"/>
      <c r="FS122" s="511"/>
      <c r="FT122" s="511"/>
      <c r="FU122" s="511"/>
      <c r="FV122" s="511"/>
      <c r="FW122" s="511"/>
      <c r="FX122" s="511"/>
      <c r="FY122" s="511"/>
      <c r="FZ122" s="511"/>
      <c r="GA122" s="511"/>
      <c r="GB122" s="511"/>
      <c r="GC122" s="511"/>
      <c r="GD122" s="511"/>
      <c r="GE122" s="511"/>
      <c r="GF122" s="511"/>
      <c r="GG122" s="511"/>
      <c r="GH122" s="511"/>
      <c r="GI122" s="511"/>
      <c r="GJ122" s="511"/>
      <c r="GK122" s="511"/>
      <c r="GL122" s="511"/>
      <c r="GM122" s="511"/>
      <c r="GN122" s="511"/>
      <c r="GO122" s="511"/>
      <c r="GP122" s="511"/>
      <c r="GQ122" s="511"/>
      <c r="GR122" s="511"/>
      <c r="GS122" s="511"/>
      <c r="GT122" s="511"/>
      <c r="GU122" s="511"/>
      <c r="GV122" s="511"/>
      <c r="GW122" s="511"/>
      <c r="GX122" s="511"/>
      <c r="GY122" s="511"/>
      <c r="GZ122" s="511"/>
      <c r="HA122" s="511"/>
      <c r="HB122" s="511"/>
      <c r="HC122" s="511"/>
      <c r="HD122" s="511"/>
      <c r="HE122" s="511"/>
      <c r="HF122" s="511"/>
      <c r="HG122" s="511"/>
      <c r="HH122" s="511"/>
      <c r="HI122" s="511"/>
      <c r="HJ122" s="511"/>
      <c r="HK122" s="511"/>
      <c r="HL122" s="511"/>
      <c r="HM122" s="511"/>
      <c r="HN122" s="511"/>
      <c r="HO122" s="511"/>
      <c r="HP122" s="511"/>
      <c r="HQ122" s="511"/>
      <c r="HR122" s="511"/>
      <c r="HS122" s="511"/>
      <c r="HT122" s="511"/>
      <c r="HU122" s="511"/>
      <c r="HV122" s="511"/>
      <c r="HW122" s="511"/>
      <c r="HX122" s="511"/>
      <c r="HY122" s="511"/>
      <c r="HZ122" s="511"/>
      <c r="IA122" s="511"/>
      <c r="IB122" s="511"/>
      <c r="IC122" s="511"/>
      <c r="ID122" s="511"/>
      <c r="IE122" s="511"/>
      <c r="IF122" s="511"/>
      <c r="IG122" s="511"/>
      <c r="IH122" s="511"/>
      <c r="II122" s="511"/>
      <c r="IJ122" s="511"/>
      <c r="IK122" s="511"/>
      <c r="IL122" s="511"/>
      <c r="IM122" s="511"/>
      <c r="IN122" s="511"/>
      <c r="IO122" s="511"/>
      <c r="IP122" s="511"/>
      <c r="IQ122" s="511"/>
      <c r="IR122" s="511"/>
      <c r="IS122" s="511"/>
      <c r="IT122" s="511"/>
      <c r="IU122" s="511"/>
      <c r="IV122" s="511"/>
    </row>
    <row r="123" spans="1:256" s="1" customFormat="1" ht="12.75" hidden="1" customHeight="1" x14ac:dyDescent="0.2">
      <c r="A123" s="5" t="s">
        <v>314</v>
      </c>
      <c r="F123" s="515" t="s">
        <v>54</v>
      </c>
      <c r="G123" s="515"/>
      <c r="H123" s="5"/>
      <c r="I123" s="5"/>
      <c r="AA123"/>
      <c r="AB123"/>
      <c r="AC123" s="511"/>
      <c r="AD123" s="511"/>
      <c r="AE123" s="511"/>
      <c r="AF123" s="511"/>
      <c r="AG123" s="511"/>
      <c r="AH123" s="511"/>
      <c r="AI123" s="511"/>
      <c r="AJ123" s="511"/>
      <c r="AK123" s="511"/>
      <c r="AL123" s="511"/>
      <c r="AM123" s="511"/>
      <c r="AN123" s="511"/>
      <c r="AO123" s="511"/>
      <c r="AP123" s="511"/>
      <c r="AQ123" s="511"/>
      <c r="AR123" s="511"/>
      <c r="AS123" s="511"/>
      <c r="AT123" s="511"/>
      <c r="AU123" s="511"/>
      <c r="AV123" s="511"/>
      <c r="AW123" s="511"/>
      <c r="AX123" s="511"/>
      <c r="AY123" s="511"/>
      <c r="AZ123" s="511"/>
      <c r="BA123" s="511"/>
      <c r="BB123" s="511"/>
      <c r="BC123" s="511"/>
      <c r="BD123" s="511"/>
      <c r="BE123" s="511"/>
      <c r="BF123" s="511"/>
      <c r="BG123" s="511"/>
      <c r="BH123" s="511"/>
      <c r="BI123" s="511"/>
      <c r="BJ123" s="511"/>
      <c r="BK123" s="511"/>
      <c r="BL123" s="511"/>
      <c r="BM123" s="511"/>
      <c r="BN123" s="511"/>
      <c r="BO123" s="511"/>
      <c r="BP123" s="511"/>
      <c r="BQ123" s="511"/>
      <c r="BR123" s="511"/>
      <c r="BS123" s="511"/>
      <c r="BT123" s="511"/>
      <c r="BU123" s="511"/>
      <c r="BV123" s="511"/>
      <c r="BW123" s="511"/>
      <c r="BX123" s="511"/>
      <c r="BY123" s="511"/>
      <c r="BZ123" s="511"/>
      <c r="CA123" s="511"/>
      <c r="CB123" s="511"/>
      <c r="CC123" s="511"/>
      <c r="CD123" s="511"/>
      <c r="CE123" s="511"/>
      <c r="CF123" s="511"/>
      <c r="CG123" s="511"/>
      <c r="CH123" s="511"/>
      <c r="CI123" s="511"/>
      <c r="CJ123" s="511"/>
      <c r="CK123" s="511"/>
      <c r="CL123" s="511"/>
      <c r="CM123" s="511"/>
      <c r="CN123" s="511"/>
      <c r="CO123" s="511"/>
      <c r="CP123" s="511"/>
      <c r="CQ123" s="511"/>
      <c r="CR123" s="511"/>
      <c r="CS123" s="511"/>
      <c r="CT123" s="511"/>
      <c r="CU123" s="511"/>
      <c r="CV123" s="511"/>
      <c r="CW123" s="511"/>
      <c r="CX123" s="511"/>
      <c r="CY123" s="511"/>
      <c r="CZ123" s="511"/>
      <c r="DA123" s="511"/>
      <c r="DB123" s="511"/>
      <c r="DC123" s="511"/>
      <c r="DD123" s="511"/>
      <c r="DE123" s="511"/>
      <c r="DF123" s="511"/>
      <c r="DG123" s="511"/>
      <c r="DH123" s="511"/>
      <c r="DI123" s="511"/>
      <c r="DJ123" s="511"/>
      <c r="DK123" s="511"/>
      <c r="DL123" s="511"/>
      <c r="DM123" s="511"/>
      <c r="DN123" s="511"/>
      <c r="DO123" s="511"/>
      <c r="DP123" s="511"/>
      <c r="DQ123" s="511"/>
      <c r="DR123" s="511"/>
      <c r="DS123" s="511"/>
      <c r="DT123" s="511"/>
      <c r="DU123" s="511"/>
      <c r="DV123" s="511"/>
      <c r="DW123" s="511"/>
      <c r="DX123" s="511"/>
      <c r="DY123" s="511"/>
      <c r="DZ123" s="511"/>
      <c r="EA123" s="511"/>
      <c r="EB123" s="511"/>
      <c r="EC123" s="511"/>
      <c r="ED123" s="511"/>
      <c r="EE123" s="511"/>
      <c r="EF123" s="511"/>
      <c r="EG123" s="511"/>
      <c r="EH123" s="511"/>
      <c r="EI123" s="511"/>
      <c r="EJ123" s="511"/>
      <c r="EK123" s="511"/>
      <c r="EL123" s="511"/>
      <c r="EM123" s="511"/>
      <c r="EN123" s="511"/>
      <c r="EO123" s="511"/>
      <c r="EP123" s="511"/>
      <c r="EQ123" s="511"/>
      <c r="ER123" s="511"/>
      <c r="ES123" s="511"/>
      <c r="ET123" s="511"/>
      <c r="EU123" s="511"/>
      <c r="EV123" s="511"/>
      <c r="EW123" s="511"/>
      <c r="EX123" s="511"/>
      <c r="EY123" s="511"/>
      <c r="EZ123" s="511"/>
      <c r="FA123" s="511"/>
      <c r="FB123" s="511"/>
      <c r="FC123" s="511"/>
      <c r="FD123" s="511"/>
      <c r="FE123" s="511"/>
      <c r="FF123" s="511"/>
      <c r="FG123" s="511"/>
      <c r="FH123" s="511"/>
      <c r="FI123" s="511"/>
      <c r="FJ123" s="511"/>
      <c r="FK123" s="511"/>
      <c r="FL123" s="511"/>
      <c r="FM123" s="511"/>
      <c r="FN123" s="511"/>
      <c r="FO123" s="511"/>
      <c r="FP123" s="511"/>
      <c r="FQ123" s="511"/>
      <c r="FR123" s="511"/>
      <c r="FS123" s="511"/>
      <c r="FT123" s="511"/>
      <c r="FU123" s="511"/>
      <c r="FV123" s="511"/>
      <c r="FW123" s="511"/>
      <c r="FX123" s="511"/>
      <c r="FY123" s="511"/>
      <c r="FZ123" s="511"/>
      <c r="GA123" s="511"/>
      <c r="GB123" s="511"/>
      <c r="GC123" s="511"/>
      <c r="GD123" s="511"/>
      <c r="GE123" s="511"/>
      <c r="GF123" s="511"/>
      <c r="GG123" s="511"/>
      <c r="GH123" s="511"/>
      <c r="GI123" s="511"/>
      <c r="GJ123" s="511"/>
      <c r="GK123" s="511"/>
      <c r="GL123" s="511"/>
      <c r="GM123" s="511"/>
      <c r="GN123" s="511"/>
      <c r="GO123" s="511"/>
      <c r="GP123" s="511"/>
      <c r="GQ123" s="511"/>
      <c r="GR123" s="511"/>
      <c r="GS123" s="511"/>
      <c r="GT123" s="511"/>
      <c r="GU123" s="511"/>
      <c r="GV123" s="511"/>
      <c r="GW123" s="511"/>
      <c r="GX123" s="511"/>
      <c r="GY123" s="511"/>
      <c r="GZ123" s="511"/>
      <c r="HA123" s="511"/>
      <c r="HB123" s="511"/>
      <c r="HC123" s="511"/>
      <c r="HD123" s="511"/>
      <c r="HE123" s="511"/>
      <c r="HF123" s="511"/>
      <c r="HG123" s="511"/>
      <c r="HH123" s="511"/>
      <c r="HI123" s="511"/>
      <c r="HJ123" s="511"/>
      <c r="HK123" s="511"/>
      <c r="HL123" s="511"/>
      <c r="HM123" s="511"/>
      <c r="HN123" s="511"/>
      <c r="HO123" s="511"/>
      <c r="HP123" s="511"/>
      <c r="HQ123" s="511"/>
      <c r="HR123" s="511"/>
      <c r="HS123" s="511"/>
      <c r="HT123" s="511"/>
      <c r="HU123" s="511"/>
      <c r="HV123" s="511"/>
      <c r="HW123" s="511"/>
      <c r="HX123" s="511"/>
      <c r="HY123" s="511"/>
      <c r="HZ123" s="511"/>
      <c r="IA123" s="511"/>
      <c r="IB123" s="511"/>
      <c r="IC123" s="511"/>
      <c r="ID123" s="511"/>
      <c r="IE123" s="511"/>
      <c r="IF123" s="511"/>
      <c r="IG123" s="511"/>
      <c r="IH123" s="511"/>
      <c r="II123" s="511"/>
      <c r="IJ123" s="511"/>
      <c r="IK123" s="511"/>
      <c r="IL123" s="511"/>
      <c r="IM123" s="511"/>
      <c r="IN123" s="511"/>
      <c r="IO123" s="511"/>
      <c r="IP123" s="511"/>
      <c r="IQ123" s="511"/>
      <c r="IR123" s="511"/>
      <c r="IS123" s="511"/>
      <c r="IT123" s="511"/>
      <c r="IU123" s="511"/>
      <c r="IV123" s="511"/>
    </row>
    <row r="124" spans="1:256" s="1" customFormat="1" ht="12.75" hidden="1" customHeight="1" x14ac:dyDescent="0.2">
      <c r="A124" s="5" t="s">
        <v>280</v>
      </c>
      <c r="F124" s="515" t="s">
        <v>1</v>
      </c>
      <c r="G124" s="515"/>
      <c r="H124" s="5"/>
      <c r="I124" s="5"/>
      <c r="AA124"/>
      <c r="AB124"/>
      <c r="AC124" s="511"/>
      <c r="AD124" s="511"/>
      <c r="AE124" s="511"/>
      <c r="AF124" s="511"/>
      <c r="AG124" s="511"/>
      <c r="AH124" s="511"/>
      <c r="AI124" s="511"/>
      <c r="AJ124" s="511"/>
      <c r="AK124" s="511"/>
      <c r="AL124" s="511"/>
      <c r="AM124" s="511"/>
      <c r="AN124" s="511"/>
      <c r="AO124" s="511"/>
      <c r="AP124" s="511"/>
      <c r="AQ124" s="511"/>
      <c r="AR124" s="511"/>
      <c r="AS124" s="511"/>
      <c r="AT124" s="511"/>
      <c r="AU124" s="511"/>
      <c r="AV124" s="511"/>
      <c r="AW124" s="511"/>
      <c r="AX124" s="511"/>
      <c r="AY124" s="511"/>
      <c r="AZ124" s="511"/>
      <c r="BA124" s="511"/>
      <c r="BB124" s="511"/>
      <c r="BC124" s="511"/>
      <c r="BD124" s="511"/>
      <c r="BE124" s="511"/>
      <c r="BF124" s="511"/>
      <c r="BG124" s="511"/>
      <c r="BH124" s="511"/>
      <c r="BI124" s="511"/>
      <c r="BJ124" s="511"/>
      <c r="BK124" s="511"/>
      <c r="BL124" s="511"/>
      <c r="BM124" s="511"/>
      <c r="BN124" s="511"/>
      <c r="BO124" s="511"/>
      <c r="BP124" s="511"/>
      <c r="BQ124" s="511"/>
      <c r="BR124" s="511"/>
      <c r="BS124" s="511"/>
      <c r="BT124" s="511"/>
      <c r="BU124" s="511"/>
      <c r="BV124" s="511"/>
      <c r="BW124" s="511"/>
      <c r="BX124" s="511"/>
      <c r="BY124" s="511"/>
      <c r="BZ124" s="511"/>
      <c r="CA124" s="511"/>
      <c r="CB124" s="511"/>
      <c r="CC124" s="511"/>
      <c r="CD124" s="511"/>
      <c r="CE124" s="511"/>
      <c r="CF124" s="511"/>
      <c r="CG124" s="511"/>
      <c r="CH124" s="511"/>
      <c r="CI124" s="511"/>
      <c r="CJ124" s="511"/>
      <c r="CK124" s="511"/>
      <c r="CL124" s="511"/>
      <c r="CM124" s="511"/>
      <c r="CN124" s="511"/>
      <c r="CO124" s="511"/>
      <c r="CP124" s="511"/>
      <c r="CQ124" s="511"/>
      <c r="CR124" s="511"/>
      <c r="CS124" s="511"/>
      <c r="CT124" s="511"/>
      <c r="CU124" s="511"/>
      <c r="CV124" s="511"/>
      <c r="CW124" s="511"/>
      <c r="CX124" s="511"/>
      <c r="CY124" s="511"/>
      <c r="CZ124" s="511"/>
      <c r="DA124" s="511"/>
      <c r="DB124" s="511"/>
      <c r="DC124" s="511"/>
      <c r="DD124" s="511"/>
      <c r="DE124" s="511"/>
      <c r="DF124" s="511"/>
      <c r="DG124" s="511"/>
      <c r="DH124" s="511"/>
      <c r="DI124" s="511"/>
      <c r="DJ124" s="511"/>
      <c r="DK124" s="511"/>
      <c r="DL124" s="511"/>
      <c r="DM124" s="511"/>
      <c r="DN124" s="511"/>
      <c r="DO124" s="511"/>
      <c r="DP124" s="511"/>
      <c r="DQ124" s="511"/>
      <c r="DR124" s="511"/>
      <c r="DS124" s="511"/>
      <c r="DT124" s="511"/>
      <c r="DU124" s="511"/>
      <c r="DV124" s="511"/>
      <c r="DW124" s="511"/>
      <c r="DX124" s="511"/>
      <c r="DY124" s="511"/>
      <c r="DZ124" s="511"/>
      <c r="EA124" s="511"/>
      <c r="EB124" s="511"/>
      <c r="EC124" s="511"/>
      <c r="ED124" s="511"/>
      <c r="EE124" s="511"/>
      <c r="EF124" s="511"/>
      <c r="EG124" s="511"/>
      <c r="EH124" s="511"/>
      <c r="EI124" s="511"/>
      <c r="EJ124" s="511"/>
      <c r="EK124" s="511"/>
      <c r="EL124" s="511"/>
      <c r="EM124" s="511"/>
      <c r="EN124" s="511"/>
      <c r="EO124" s="511"/>
      <c r="EP124" s="511"/>
      <c r="EQ124" s="511"/>
      <c r="ER124" s="511"/>
      <c r="ES124" s="511"/>
      <c r="ET124" s="511"/>
      <c r="EU124" s="511"/>
      <c r="EV124" s="511"/>
      <c r="EW124" s="511"/>
      <c r="EX124" s="511"/>
      <c r="EY124" s="511"/>
      <c r="EZ124" s="511"/>
      <c r="FA124" s="511"/>
      <c r="FB124" s="511"/>
      <c r="FC124" s="511"/>
      <c r="FD124" s="511"/>
      <c r="FE124" s="511"/>
      <c r="FF124" s="511"/>
      <c r="FG124" s="511"/>
      <c r="FH124" s="511"/>
      <c r="FI124" s="511"/>
      <c r="FJ124" s="511"/>
      <c r="FK124" s="511"/>
      <c r="FL124" s="511"/>
      <c r="FM124" s="511"/>
      <c r="FN124" s="511"/>
      <c r="FO124" s="511"/>
      <c r="FP124" s="511"/>
      <c r="FQ124" s="511"/>
      <c r="FR124" s="511"/>
      <c r="FS124" s="511"/>
      <c r="FT124" s="511"/>
      <c r="FU124" s="511"/>
      <c r="FV124" s="511"/>
      <c r="FW124" s="511"/>
      <c r="FX124" s="511"/>
      <c r="FY124" s="511"/>
      <c r="FZ124" s="511"/>
      <c r="GA124" s="511"/>
      <c r="GB124" s="511"/>
      <c r="GC124" s="511"/>
      <c r="GD124" s="511"/>
      <c r="GE124" s="511"/>
      <c r="GF124" s="511"/>
      <c r="GG124" s="511"/>
      <c r="GH124" s="511"/>
      <c r="GI124" s="511"/>
      <c r="GJ124" s="511"/>
      <c r="GK124" s="511"/>
      <c r="GL124" s="511"/>
      <c r="GM124" s="511"/>
      <c r="GN124" s="511"/>
      <c r="GO124" s="511"/>
      <c r="GP124" s="511"/>
      <c r="GQ124" s="511"/>
      <c r="GR124" s="511"/>
      <c r="GS124" s="511"/>
      <c r="GT124" s="511"/>
      <c r="GU124" s="511"/>
      <c r="GV124" s="511"/>
      <c r="GW124" s="511"/>
      <c r="GX124" s="511"/>
      <c r="GY124" s="511"/>
      <c r="GZ124" s="511"/>
      <c r="HA124" s="511"/>
      <c r="HB124" s="511"/>
      <c r="HC124" s="511"/>
      <c r="HD124" s="511"/>
      <c r="HE124" s="511"/>
      <c r="HF124" s="511"/>
      <c r="HG124" s="511"/>
      <c r="HH124" s="511"/>
      <c r="HI124" s="511"/>
      <c r="HJ124" s="511"/>
      <c r="HK124" s="511"/>
      <c r="HL124" s="511"/>
      <c r="HM124" s="511"/>
      <c r="HN124" s="511"/>
      <c r="HO124" s="511"/>
      <c r="HP124" s="511"/>
      <c r="HQ124" s="511"/>
      <c r="HR124" s="511"/>
      <c r="HS124" s="511"/>
      <c r="HT124" s="511"/>
      <c r="HU124" s="511"/>
      <c r="HV124" s="511"/>
      <c r="HW124" s="511"/>
      <c r="HX124" s="511"/>
      <c r="HY124" s="511"/>
      <c r="HZ124" s="511"/>
      <c r="IA124" s="511"/>
      <c r="IB124" s="511"/>
      <c r="IC124" s="511"/>
      <c r="ID124" s="511"/>
      <c r="IE124" s="511"/>
      <c r="IF124" s="511"/>
      <c r="IG124" s="511"/>
      <c r="IH124" s="511"/>
      <c r="II124" s="511"/>
      <c r="IJ124" s="511"/>
      <c r="IK124" s="511"/>
      <c r="IL124" s="511"/>
      <c r="IM124" s="511"/>
      <c r="IN124" s="511"/>
      <c r="IO124" s="511"/>
      <c r="IP124" s="511"/>
      <c r="IQ124" s="511"/>
      <c r="IR124" s="511"/>
      <c r="IS124" s="511"/>
      <c r="IT124" s="511"/>
      <c r="IU124" s="511"/>
      <c r="IV124" s="511"/>
    </row>
    <row r="125" spans="1:256" s="1" customFormat="1" ht="12.75" hidden="1" customHeight="1" x14ac:dyDescent="0.2">
      <c r="A125" s="5" t="s">
        <v>315</v>
      </c>
      <c r="F125" s="515" t="s">
        <v>316</v>
      </c>
      <c r="G125" s="515"/>
      <c r="H125" s="5"/>
      <c r="I125" s="5"/>
      <c r="AA125"/>
      <c r="AB125"/>
      <c r="AC125" s="511"/>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1"/>
      <c r="AY125" s="511"/>
      <c r="AZ125" s="511"/>
      <c r="BA125" s="511"/>
      <c r="BB125" s="511"/>
      <c r="BC125" s="511"/>
      <c r="BD125" s="511"/>
      <c r="BE125" s="511"/>
      <c r="BF125" s="511"/>
      <c r="BG125" s="511"/>
      <c r="BH125" s="511"/>
      <c r="BI125" s="511"/>
      <c r="BJ125" s="511"/>
      <c r="BK125" s="511"/>
      <c r="BL125" s="511"/>
      <c r="BM125" s="511"/>
      <c r="BN125" s="511"/>
      <c r="BO125" s="511"/>
      <c r="BP125" s="511"/>
      <c r="BQ125" s="511"/>
      <c r="BR125" s="511"/>
      <c r="BS125" s="511"/>
      <c r="BT125" s="511"/>
      <c r="BU125" s="511"/>
      <c r="BV125" s="511"/>
      <c r="BW125" s="511"/>
      <c r="BX125" s="511"/>
      <c r="BY125" s="511"/>
      <c r="BZ125" s="511"/>
      <c r="CA125" s="511"/>
      <c r="CB125" s="511"/>
      <c r="CC125" s="511"/>
      <c r="CD125" s="511"/>
      <c r="CE125" s="511"/>
      <c r="CF125" s="511"/>
      <c r="CG125" s="511"/>
      <c r="CH125" s="511"/>
      <c r="CI125" s="511"/>
      <c r="CJ125" s="511"/>
      <c r="CK125" s="511"/>
      <c r="CL125" s="511"/>
      <c r="CM125" s="511"/>
      <c r="CN125" s="511"/>
      <c r="CO125" s="511"/>
      <c r="CP125" s="511"/>
      <c r="CQ125" s="511"/>
      <c r="CR125" s="511"/>
      <c r="CS125" s="511"/>
      <c r="CT125" s="511"/>
      <c r="CU125" s="511"/>
      <c r="CV125" s="511"/>
      <c r="CW125" s="511"/>
      <c r="CX125" s="511"/>
      <c r="CY125" s="511"/>
      <c r="CZ125" s="511"/>
      <c r="DA125" s="511"/>
      <c r="DB125" s="511"/>
      <c r="DC125" s="511"/>
      <c r="DD125" s="511"/>
      <c r="DE125" s="511"/>
      <c r="DF125" s="511"/>
      <c r="DG125" s="511"/>
      <c r="DH125" s="511"/>
      <c r="DI125" s="511"/>
      <c r="DJ125" s="511"/>
      <c r="DK125" s="511"/>
      <c r="DL125" s="511"/>
      <c r="DM125" s="511"/>
      <c r="DN125" s="511"/>
      <c r="DO125" s="511"/>
      <c r="DP125" s="511"/>
      <c r="DQ125" s="511"/>
      <c r="DR125" s="511"/>
      <c r="DS125" s="511"/>
      <c r="DT125" s="511"/>
      <c r="DU125" s="511"/>
      <c r="DV125" s="511"/>
      <c r="DW125" s="511"/>
      <c r="DX125" s="511"/>
      <c r="DY125" s="511"/>
      <c r="DZ125" s="511"/>
      <c r="EA125" s="511"/>
      <c r="EB125" s="511"/>
      <c r="EC125" s="511"/>
      <c r="ED125" s="511"/>
      <c r="EE125" s="511"/>
      <c r="EF125" s="511"/>
      <c r="EG125" s="511"/>
      <c r="EH125" s="511"/>
      <c r="EI125" s="511"/>
      <c r="EJ125" s="511"/>
      <c r="EK125" s="511"/>
      <c r="EL125" s="511"/>
      <c r="EM125" s="511"/>
      <c r="EN125" s="511"/>
      <c r="EO125" s="511"/>
      <c r="EP125" s="511"/>
      <c r="EQ125" s="511"/>
      <c r="ER125" s="511"/>
      <c r="ES125" s="511"/>
      <c r="ET125" s="511"/>
      <c r="EU125" s="511"/>
      <c r="EV125" s="511"/>
      <c r="EW125" s="511"/>
      <c r="EX125" s="511"/>
      <c r="EY125" s="511"/>
      <c r="EZ125" s="511"/>
      <c r="FA125" s="511"/>
      <c r="FB125" s="511"/>
      <c r="FC125" s="511"/>
      <c r="FD125" s="511"/>
      <c r="FE125" s="511"/>
      <c r="FF125" s="511"/>
      <c r="FG125" s="511"/>
      <c r="FH125" s="511"/>
      <c r="FI125" s="511"/>
      <c r="FJ125" s="511"/>
      <c r="FK125" s="511"/>
      <c r="FL125" s="511"/>
      <c r="FM125" s="511"/>
      <c r="FN125" s="511"/>
      <c r="FO125" s="511"/>
      <c r="FP125" s="511"/>
      <c r="FQ125" s="511"/>
      <c r="FR125" s="511"/>
      <c r="FS125" s="511"/>
      <c r="FT125" s="511"/>
      <c r="FU125" s="511"/>
      <c r="FV125" s="511"/>
      <c r="FW125" s="511"/>
      <c r="FX125" s="511"/>
      <c r="FY125" s="511"/>
      <c r="FZ125" s="511"/>
      <c r="GA125" s="511"/>
      <c r="GB125" s="511"/>
      <c r="GC125" s="511"/>
      <c r="GD125" s="511"/>
      <c r="GE125" s="511"/>
      <c r="GF125" s="511"/>
      <c r="GG125" s="511"/>
      <c r="GH125" s="511"/>
      <c r="GI125" s="511"/>
      <c r="GJ125" s="511"/>
      <c r="GK125" s="511"/>
      <c r="GL125" s="511"/>
      <c r="GM125" s="511"/>
      <c r="GN125" s="511"/>
      <c r="GO125" s="511"/>
      <c r="GP125" s="511"/>
      <c r="GQ125" s="511"/>
      <c r="GR125" s="511"/>
      <c r="GS125" s="511"/>
      <c r="GT125" s="511"/>
      <c r="GU125" s="511"/>
      <c r="GV125" s="511"/>
      <c r="GW125" s="511"/>
      <c r="GX125" s="511"/>
      <c r="GY125" s="511"/>
      <c r="GZ125" s="511"/>
      <c r="HA125" s="511"/>
      <c r="HB125" s="511"/>
      <c r="HC125" s="511"/>
      <c r="HD125" s="511"/>
      <c r="HE125" s="511"/>
      <c r="HF125" s="511"/>
      <c r="HG125" s="511"/>
      <c r="HH125" s="511"/>
      <c r="HI125" s="511"/>
      <c r="HJ125" s="511"/>
      <c r="HK125" s="511"/>
      <c r="HL125" s="511"/>
      <c r="HM125" s="511"/>
      <c r="HN125" s="511"/>
      <c r="HO125" s="511"/>
      <c r="HP125" s="511"/>
      <c r="HQ125" s="511"/>
      <c r="HR125" s="511"/>
      <c r="HS125" s="511"/>
      <c r="HT125" s="511"/>
      <c r="HU125" s="511"/>
      <c r="HV125" s="511"/>
      <c r="HW125" s="511"/>
      <c r="HX125" s="511"/>
      <c r="HY125" s="511"/>
      <c r="HZ125" s="511"/>
      <c r="IA125" s="511"/>
      <c r="IB125" s="511"/>
      <c r="IC125" s="511"/>
      <c r="ID125" s="511"/>
      <c r="IE125" s="511"/>
      <c r="IF125" s="511"/>
      <c r="IG125" s="511"/>
      <c r="IH125" s="511"/>
      <c r="II125" s="511"/>
      <c r="IJ125" s="511"/>
      <c r="IK125" s="511"/>
      <c r="IL125" s="511"/>
      <c r="IM125" s="511"/>
      <c r="IN125" s="511"/>
      <c r="IO125" s="511"/>
      <c r="IP125" s="511"/>
      <c r="IQ125" s="511"/>
      <c r="IR125" s="511"/>
      <c r="IS125" s="511"/>
      <c r="IT125" s="511"/>
      <c r="IU125" s="511"/>
      <c r="IV125" s="511"/>
    </row>
    <row r="126" spans="1:256" s="1" customFormat="1" ht="12.75" hidden="1" customHeight="1" x14ac:dyDescent="0.2">
      <c r="A126" s="5" t="s">
        <v>302</v>
      </c>
      <c r="AA126"/>
      <c r="AB126"/>
      <c r="AC126" s="511"/>
      <c r="AD126" s="511"/>
      <c r="AE126" s="511"/>
      <c r="AF126" s="511"/>
      <c r="AG126" s="511"/>
      <c r="AH126" s="511"/>
      <c r="AI126" s="511"/>
      <c r="AJ126" s="511"/>
      <c r="AK126" s="511"/>
      <c r="AL126" s="511"/>
      <c r="AM126" s="511"/>
      <c r="AN126" s="511"/>
      <c r="AO126" s="511"/>
      <c r="AP126" s="511"/>
      <c r="AQ126" s="511"/>
      <c r="AR126" s="511"/>
      <c r="AS126" s="511"/>
      <c r="AT126" s="511"/>
      <c r="AU126" s="511"/>
      <c r="AV126" s="511"/>
      <c r="AW126" s="511"/>
      <c r="AX126" s="511"/>
      <c r="AY126" s="511"/>
      <c r="AZ126" s="511"/>
      <c r="BA126" s="511"/>
      <c r="BB126" s="511"/>
      <c r="BC126" s="511"/>
      <c r="BD126" s="511"/>
      <c r="BE126" s="511"/>
      <c r="BF126" s="511"/>
      <c r="BG126" s="511"/>
      <c r="BH126" s="511"/>
      <c r="BI126" s="511"/>
      <c r="BJ126" s="511"/>
      <c r="BK126" s="511"/>
      <c r="BL126" s="511"/>
      <c r="BM126" s="511"/>
      <c r="BN126" s="511"/>
      <c r="BO126" s="511"/>
      <c r="BP126" s="511"/>
      <c r="BQ126" s="511"/>
      <c r="BR126" s="511"/>
      <c r="BS126" s="511"/>
      <c r="BT126" s="511"/>
      <c r="BU126" s="511"/>
      <c r="BV126" s="511"/>
      <c r="BW126" s="511"/>
      <c r="BX126" s="511"/>
      <c r="BY126" s="511"/>
      <c r="BZ126" s="511"/>
      <c r="CA126" s="511"/>
      <c r="CB126" s="511"/>
      <c r="CC126" s="511"/>
      <c r="CD126" s="511"/>
      <c r="CE126" s="511"/>
      <c r="CF126" s="511"/>
      <c r="CG126" s="511"/>
      <c r="CH126" s="511"/>
      <c r="CI126" s="511"/>
      <c r="CJ126" s="511"/>
      <c r="CK126" s="511"/>
      <c r="CL126" s="511"/>
      <c r="CM126" s="511"/>
      <c r="CN126" s="511"/>
      <c r="CO126" s="511"/>
      <c r="CP126" s="511"/>
      <c r="CQ126" s="511"/>
      <c r="CR126" s="511"/>
      <c r="CS126" s="511"/>
      <c r="CT126" s="511"/>
      <c r="CU126" s="511"/>
      <c r="CV126" s="511"/>
      <c r="CW126" s="511"/>
      <c r="CX126" s="511"/>
      <c r="CY126" s="511"/>
      <c r="CZ126" s="511"/>
      <c r="DA126" s="511"/>
      <c r="DB126" s="511"/>
      <c r="DC126" s="511"/>
      <c r="DD126" s="511"/>
      <c r="DE126" s="511"/>
      <c r="DF126" s="511"/>
      <c r="DG126" s="511"/>
      <c r="DH126" s="511"/>
      <c r="DI126" s="511"/>
      <c r="DJ126" s="511"/>
      <c r="DK126" s="511"/>
      <c r="DL126" s="511"/>
      <c r="DM126" s="511"/>
      <c r="DN126" s="511"/>
      <c r="DO126" s="511"/>
      <c r="DP126" s="511"/>
      <c r="DQ126" s="511"/>
      <c r="DR126" s="511"/>
      <c r="DS126" s="511"/>
      <c r="DT126" s="511"/>
      <c r="DU126" s="511"/>
      <c r="DV126" s="511"/>
      <c r="DW126" s="511"/>
      <c r="DX126" s="511"/>
      <c r="DY126" s="511"/>
      <c r="DZ126" s="511"/>
      <c r="EA126" s="511"/>
      <c r="EB126" s="511"/>
      <c r="EC126" s="511"/>
      <c r="ED126" s="511"/>
      <c r="EE126" s="511"/>
      <c r="EF126" s="511"/>
      <c r="EG126" s="511"/>
      <c r="EH126" s="511"/>
      <c r="EI126" s="511"/>
      <c r="EJ126" s="511"/>
      <c r="EK126" s="511"/>
      <c r="EL126" s="511"/>
      <c r="EM126" s="511"/>
      <c r="EN126" s="511"/>
      <c r="EO126" s="511"/>
      <c r="EP126" s="511"/>
      <c r="EQ126" s="511"/>
      <c r="ER126" s="511"/>
      <c r="ES126" s="511"/>
      <c r="ET126" s="511"/>
      <c r="EU126" s="511"/>
      <c r="EV126" s="511"/>
      <c r="EW126" s="511"/>
      <c r="EX126" s="511"/>
      <c r="EY126" s="511"/>
      <c r="EZ126" s="511"/>
      <c r="FA126" s="511"/>
      <c r="FB126" s="511"/>
      <c r="FC126" s="511"/>
      <c r="FD126" s="511"/>
      <c r="FE126" s="511"/>
      <c r="FF126" s="511"/>
      <c r="FG126" s="511"/>
      <c r="FH126" s="511"/>
      <c r="FI126" s="511"/>
      <c r="FJ126" s="511"/>
      <c r="FK126" s="511"/>
      <c r="FL126" s="511"/>
      <c r="FM126" s="511"/>
      <c r="FN126" s="511"/>
      <c r="FO126" s="511"/>
      <c r="FP126" s="511"/>
      <c r="FQ126" s="511"/>
      <c r="FR126" s="511"/>
      <c r="FS126" s="511"/>
      <c r="FT126" s="511"/>
      <c r="FU126" s="511"/>
      <c r="FV126" s="511"/>
      <c r="FW126" s="511"/>
      <c r="FX126" s="511"/>
      <c r="FY126" s="511"/>
      <c r="FZ126" s="511"/>
      <c r="GA126" s="511"/>
      <c r="GB126" s="511"/>
      <c r="GC126" s="511"/>
      <c r="GD126" s="511"/>
      <c r="GE126" s="511"/>
      <c r="GF126" s="511"/>
      <c r="GG126" s="511"/>
      <c r="GH126" s="511"/>
      <c r="GI126" s="511"/>
      <c r="GJ126" s="511"/>
      <c r="GK126" s="511"/>
      <c r="GL126" s="511"/>
      <c r="GM126" s="511"/>
      <c r="GN126" s="511"/>
      <c r="GO126" s="511"/>
      <c r="GP126" s="511"/>
      <c r="GQ126" s="511"/>
      <c r="GR126" s="511"/>
      <c r="GS126" s="511"/>
      <c r="GT126" s="511"/>
      <c r="GU126" s="511"/>
      <c r="GV126" s="511"/>
      <c r="GW126" s="511"/>
      <c r="GX126" s="511"/>
      <c r="GY126" s="511"/>
      <c r="GZ126" s="511"/>
      <c r="HA126" s="511"/>
      <c r="HB126" s="511"/>
      <c r="HC126" s="511"/>
      <c r="HD126" s="511"/>
      <c r="HE126" s="511"/>
      <c r="HF126" s="511"/>
      <c r="HG126" s="511"/>
      <c r="HH126" s="511"/>
      <c r="HI126" s="511"/>
      <c r="HJ126" s="511"/>
      <c r="HK126" s="511"/>
      <c r="HL126" s="511"/>
      <c r="HM126" s="511"/>
      <c r="HN126" s="511"/>
      <c r="HO126" s="511"/>
      <c r="HP126" s="511"/>
      <c r="HQ126" s="511"/>
      <c r="HR126" s="511"/>
      <c r="HS126" s="511"/>
      <c r="HT126" s="511"/>
      <c r="HU126" s="511"/>
      <c r="HV126" s="511"/>
      <c r="HW126" s="511"/>
      <c r="HX126" s="511"/>
      <c r="HY126" s="511"/>
      <c r="HZ126" s="511"/>
      <c r="IA126" s="511"/>
      <c r="IB126" s="511"/>
      <c r="IC126" s="511"/>
      <c r="ID126" s="511"/>
      <c r="IE126" s="511"/>
      <c r="IF126" s="511"/>
      <c r="IG126" s="511"/>
      <c r="IH126" s="511"/>
      <c r="II126" s="511"/>
      <c r="IJ126" s="511"/>
      <c r="IK126" s="511"/>
      <c r="IL126" s="511"/>
      <c r="IM126" s="511"/>
      <c r="IN126" s="511"/>
      <c r="IO126" s="511"/>
      <c r="IP126" s="511"/>
      <c r="IQ126" s="511"/>
      <c r="IR126" s="511"/>
      <c r="IS126" s="511"/>
      <c r="IT126" s="511"/>
      <c r="IU126" s="511"/>
      <c r="IV126" s="511"/>
    </row>
    <row r="127" spans="1:256" s="1" customFormat="1" ht="12.75" hidden="1" customHeight="1" x14ac:dyDescent="0.2">
      <c r="A127" s="5" t="s">
        <v>317</v>
      </c>
      <c r="AA127"/>
      <c r="AB127"/>
      <c r="AC127" s="511"/>
      <c r="AD127" s="511"/>
      <c r="AE127" s="511"/>
      <c r="AF127" s="511"/>
      <c r="AG127" s="511"/>
      <c r="AH127" s="511"/>
      <c r="AI127" s="511"/>
      <c r="AJ127" s="511"/>
      <c r="AK127" s="511"/>
      <c r="AL127" s="511"/>
      <c r="AM127" s="511"/>
      <c r="AN127" s="511"/>
      <c r="AO127" s="511"/>
      <c r="AP127" s="511"/>
      <c r="AQ127" s="511"/>
      <c r="AR127" s="511"/>
      <c r="AS127" s="511"/>
      <c r="AT127" s="511"/>
      <c r="AU127" s="511"/>
      <c r="AV127" s="511"/>
      <c r="AW127" s="511"/>
      <c r="AX127" s="511"/>
      <c r="AY127" s="511"/>
      <c r="AZ127" s="511"/>
      <c r="BA127" s="511"/>
      <c r="BB127" s="511"/>
      <c r="BC127" s="511"/>
      <c r="BD127" s="511"/>
      <c r="BE127" s="511"/>
      <c r="BF127" s="511"/>
      <c r="BG127" s="511"/>
      <c r="BH127" s="511"/>
      <c r="BI127" s="511"/>
      <c r="BJ127" s="511"/>
      <c r="BK127" s="511"/>
      <c r="BL127" s="511"/>
      <c r="BM127" s="511"/>
      <c r="BN127" s="511"/>
      <c r="BO127" s="511"/>
      <c r="BP127" s="511"/>
      <c r="BQ127" s="511"/>
      <c r="BR127" s="511"/>
      <c r="BS127" s="511"/>
      <c r="BT127" s="511"/>
      <c r="BU127" s="511"/>
      <c r="BV127" s="511"/>
      <c r="BW127" s="511"/>
      <c r="BX127" s="511"/>
      <c r="BY127" s="511"/>
      <c r="BZ127" s="511"/>
      <c r="CA127" s="511"/>
      <c r="CB127" s="511"/>
      <c r="CC127" s="511"/>
      <c r="CD127" s="511"/>
      <c r="CE127" s="511"/>
      <c r="CF127" s="511"/>
      <c r="CG127" s="511"/>
      <c r="CH127" s="511"/>
      <c r="CI127" s="511"/>
      <c r="CJ127" s="511"/>
      <c r="CK127" s="511"/>
      <c r="CL127" s="511"/>
      <c r="CM127" s="511"/>
      <c r="CN127" s="511"/>
      <c r="CO127" s="511"/>
      <c r="CP127" s="511"/>
      <c r="CQ127" s="511"/>
      <c r="CR127" s="511"/>
      <c r="CS127" s="511"/>
      <c r="CT127" s="511"/>
      <c r="CU127" s="511"/>
      <c r="CV127" s="511"/>
      <c r="CW127" s="511"/>
      <c r="CX127" s="511"/>
      <c r="CY127" s="511"/>
      <c r="CZ127" s="511"/>
      <c r="DA127" s="511"/>
      <c r="DB127" s="511"/>
      <c r="DC127" s="511"/>
      <c r="DD127" s="511"/>
      <c r="DE127" s="511"/>
      <c r="DF127" s="511"/>
      <c r="DG127" s="511"/>
      <c r="DH127" s="511"/>
      <c r="DI127" s="511"/>
      <c r="DJ127" s="511"/>
      <c r="DK127" s="511"/>
      <c r="DL127" s="511"/>
      <c r="DM127" s="511"/>
      <c r="DN127" s="511"/>
      <c r="DO127" s="511"/>
      <c r="DP127" s="511"/>
      <c r="DQ127" s="511"/>
      <c r="DR127" s="511"/>
      <c r="DS127" s="511"/>
      <c r="DT127" s="511"/>
      <c r="DU127" s="511"/>
      <c r="DV127" s="511"/>
      <c r="DW127" s="511"/>
      <c r="DX127" s="511"/>
      <c r="DY127" s="511"/>
      <c r="DZ127" s="511"/>
      <c r="EA127" s="511"/>
      <c r="EB127" s="511"/>
      <c r="EC127" s="511"/>
      <c r="ED127" s="511"/>
      <c r="EE127" s="511"/>
      <c r="EF127" s="511"/>
      <c r="EG127" s="511"/>
      <c r="EH127" s="511"/>
      <c r="EI127" s="511"/>
      <c r="EJ127" s="511"/>
      <c r="EK127" s="511"/>
      <c r="EL127" s="511"/>
      <c r="EM127" s="511"/>
      <c r="EN127" s="511"/>
      <c r="EO127" s="511"/>
      <c r="EP127" s="511"/>
      <c r="EQ127" s="511"/>
      <c r="ER127" s="511"/>
      <c r="ES127" s="511"/>
      <c r="ET127" s="511"/>
      <c r="EU127" s="511"/>
      <c r="EV127" s="511"/>
      <c r="EW127" s="511"/>
      <c r="EX127" s="511"/>
      <c r="EY127" s="511"/>
      <c r="EZ127" s="511"/>
      <c r="FA127" s="511"/>
      <c r="FB127" s="511"/>
      <c r="FC127" s="511"/>
      <c r="FD127" s="511"/>
      <c r="FE127" s="511"/>
      <c r="FF127" s="511"/>
      <c r="FG127" s="511"/>
      <c r="FH127" s="511"/>
      <c r="FI127" s="511"/>
      <c r="FJ127" s="511"/>
      <c r="FK127" s="511"/>
      <c r="FL127" s="511"/>
      <c r="FM127" s="511"/>
      <c r="FN127" s="511"/>
      <c r="FO127" s="511"/>
      <c r="FP127" s="511"/>
      <c r="FQ127" s="511"/>
      <c r="FR127" s="511"/>
      <c r="FS127" s="511"/>
      <c r="FT127" s="511"/>
      <c r="FU127" s="511"/>
      <c r="FV127" s="511"/>
      <c r="FW127" s="511"/>
      <c r="FX127" s="511"/>
      <c r="FY127" s="511"/>
      <c r="FZ127" s="511"/>
      <c r="GA127" s="511"/>
      <c r="GB127" s="511"/>
      <c r="GC127" s="511"/>
      <c r="GD127" s="511"/>
      <c r="GE127" s="511"/>
      <c r="GF127" s="511"/>
      <c r="GG127" s="511"/>
      <c r="GH127" s="511"/>
      <c r="GI127" s="511"/>
      <c r="GJ127" s="511"/>
      <c r="GK127" s="511"/>
      <c r="GL127" s="511"/>
      <c r="GM127" s="511"/>
      <c r="GN127" s="511"/>
      <c r="GO127" s="511"/>
      <c r="GP127" s="511"/>
      <c r="GQ127" s="511"/>
      <c r="GR127" s="511"/>
      <c r="GS127" s="511"/>
      <c r="GT127" s="511"/>
      <c r="GU127" s="511"/>
      <c r="GV127" s="511"/>
      <c r="GW127" s="511"/>
      <c r="GX127" s="511"/>
      <c r="GY127" s="511"/>
      <c r="GZ127" s="511"/>
      <c r="HA127" s="511"/>
      <c r="HB127" s="511"/>
      <c r="HC127" s="511"/>
      <c r="HD127" s="511"/>
      <c r="HE127" s="511"/>
      <c r="HF127" s="511"/>
      <c r="HG127" s="511"/>
      <c r="HH127" s="511"/>
      <c r="HI127" s="511"/>
      <c r="HJ127" s="511"/>
      <c r="HK127" s="511"/>
      <c r="HL127" s="511"/>
      <c r="HM127" s="511"/>
      <c r="HN127" s="511"/>
      <c r="HO127" s="511"/>
      <c r="HP127" s="511"/>
      <c r="HQ127" s="511"/>
      <c r="HR127" s="511"/>
      <c r="HS127" s="511"/>
      <c r="HT127" s="511"/>
      <c r="HU127" s="511"/>
      <c r="HV127" s="511"/>
      <c r="HW127" s="511"/>
      <c r="HX127" s="511"/>
      <c r="HY127" s="511"/>
      <c r="HZ127" s="511"/>
      <c r="IA127" s="511"/>
      <c r="IB127" s="511"/>
      <c r="IC127" s="511"/>
      <c r="ID127" s="511"/>
      <c r="IE127" s="511"/>
      <c r="IF127" s="511"/>
      <c r="IG127" s="511"/>
      <c r="IH127" s="511"/>
      <c r="II127" s="511"/>
      <c r="IJ127" s="511"/>
      <c r="IK127" s="511"/>
      <c r="IL127" s="511"/>
      <c r="IM127" s="511"/>
      <c r="IN127" s="511"/>
      <c r="IO127" s="511"/>
      <c r="IP127" s="511"/>
      <c r="IQ127" s="511"/>
      <c r="IR127" s="511"/>
      <c r="IS127" s="511"/>
      <c r="IT127" s="511"/>
      <c r="IU127" s="511"/>
      <c r="IV127" s="511"/>
    </row>
    <row r="128" spans="1:256" s="1" customFormat="1" ht="12.75" hidden="1" customHeight="1" x14ac:dyDescent="0.2">
      <c r="A128" s="5" t="s">
        <v>318</v>
      </c>
      <c r="AA128"/>
      <c r="AB128"/>
      <c r="AC128" s="511"/>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1"/>
      <c r="AY128" s="511"/>
      <c r="AZ128" s="511"/>
      <c r="BA128" s="511"/>
      <c r="BB128" s="511"/>
      <c r="BC128" s="511"/>
      <c r="BD128" s="511"/>
      <c r="BE128" s="511"/>
      <c r="BF128" s="511"/>
      <c r="BG128" s="511"/>
      <c r="BH128" s="511"/>
      <c r="BI128" s="511"/>
      <c r="BJ128" s="511"/>
      <c r="BK128" s="511"/>
      <c r="BL128" s="511"/>
      <c r="BM128" s="511"/>
      <c r="BN128" s="511"/>
      <c r="BO128" s="511"/>
      <c r="BP128" s="511"/>
      <c r="BQ128" s="511"/>
      <c r="BR128" s="511"/>
      <c r="BS128" s="511"/>
      <c r="BT128" s="511"/>
      <c r="BU128" s="511"/>
      <c r="BV128" s="511"/>
      <c r="BW128" s="511"/>
      <c r="BX128" s="511"/>
      <c r="BY128" s="511"/>
      <c r="BZ128" s="511"/>
      <c r="CA128" s="511"/>
      <c r="CB128" s="511"/>
      <c r="CC128" s="511"/>
      <c r="CD128" s="511"/>
      <c r="CE128" s="511"/>
      <c r="CF128" s="511"/>
      <c r="CG128" s="511"/>
      <c r="CH128" s="511"/>
      <c r="CI128" s="511"/>
      <c r="CJ128" s="511"/>
      <c r="CK128" s="511"/>
      <c r="CL128" s="511"/>
      <c r="CM128" s="511"/>
      <c r="CN128" s="511"/>
      <c r="CO128" s="511"/>
      <c r="CP128" s="511"/>
      <c r="CQ128" s="511"/>
      <c r="CR128" s="511"/>
      <c r="CS128" s="511"/>
      <c r="CT128" s="511"/>
      <c r="CU128" s="511"/>
      <c r="CV128" s="511"/>
      <c r="CW128" s="511"/>
      <c r="CX128" s="511"/>
      <c r="CY128" s="511"/>
      <c r="CZ128" s="511"/>
      <c r="DA128" s="511"/>
      <c r="DB128" s="511"/>
      <c r="DC128" s="511"/>
      <c r="DD128" s="511"/>
      <c r="DE128" s="511"/>
      <c r="DF128" s="511"/>
      <c r="DG128" s="511"/>
      <c r="DH128" s="511"/>
      <c r="DI128" s="511"/>
      <c r="DJ128" s="511"/>
      <c r="DK128" s="511"/>
      <c r="DL128" s="511"/>
      <c r="DM128" s="511"/>
      <c r="DN128" s="511"/>
      <c r="DO128" s="511"/>
      <c r="DP128" s="511"/>
      <c r="DQ128" s="511"/>
      <c r="DR128" s="511"/>
      <c r="DS128" s="511"/>
      <c r="DT128" s="511"/>
      <c r="DU128" s="511"/>
      <c r="DV128" s="511"/>
      <c r="DW128" s="511"/>
      <c r="DX128" s="511"/>
      <c r="DY128" s="511"/>
      <c r="DZ128" s="511"/>
      <c r="EA128" s="511"/>
      <c r="EB128" s="511"/>
      <c r="EC128" s="511"/>
      <c r="ED128" s="511"/>
      <c r="EE128" s="511"/>
      <c r="EF128" s="511"/>
      <c r="EG128" s="511"/>
      <c r="EH128" s="511"/>
      <c r="EI128" s="511"/>
      <c r="EJ128" s="511"/>
      <c r="EK128" s="511"/>
      <c r="EL128" s="511"/>
      <c r="EM128" s="511"/>
      <c r="EN128" s="511"/>
      <c r="EO128" s="511"/>
      <c r="EP128" s="511"/>
      <c r="EQ128" s="511"/>
      <c r="ER128" s="511"/>
      <c r="ES128" s="511"/>
      <c r="ET128" s="511"/>
      <c r="EU128" s="511"/>
      <c r="EV128" s="511"/>
      <c r="EW128" s="511"/>
      <c r="EX128" s="511"/>
      <c r="EY128" s="511"/>
      <c r="EZ128" s="511"/>
      <c r="FA128" s="511"/>
      <c r="FB128" s="511"/>
      <c r="FC128" s="511"/>
      <c r="FD128" s="511"/>
      <c r="FE128" s="511"/>
      <c r="FF128" s="511"/>
      <c r="FG128" s="511"/>
      <c r="FH128" s="511"/>
      <c r="FI128" s="511"/>
      <c r="FJ128" s="511"/>
      <c r="FK128" s="511"/>
      <c r="FL128" s="511"/>
      <c r="FM128" s="511"/>
      <c r="FN128" s="511"/>
      <c r="FO128" s="511"/>
      <c r="FP128" s="511"/>
      <c r="FQ128" s="511"/>
      <c r="FR128" s="511"/>
      <c r="FS128" s="511"/>
      <c r="FT128" s="511"/>
      <c r="FU128" s="511"/>
      <c r="FV128" s="511"/>
      <c r="FW128" s="511"/>
      <c r="FX128" s="511"/>
      <c r="FY128" s="511"/>
      <c r="FZ128" s="511"/>
      <c r="GA128" s="511"/>
      <c r="GB128" s="511"/>
      <c r="GC128" s="511"/>
      <c r="GD128" s="511"/>
      <c r="GE128" s="511"/>
      <c r="GF128" s="511"/>
      <c r="GG128" s="511"/>
      <c r="GH128" s="511"/>
      <c r="GI128" s="511"/>
      <c r="GJ128" s="511"/>
      <c r="GK128" s="511"/>
      <c r="GL128" s="511"/>
      <c r="GM128" s="511"/>
      <c r="GN128" s="511"/>
      <c r="GO128" s="511"/>
      <c r="GP128" s="511"/>
      <c r="GQ128" s="511"/>
      <c r="GR128" s="511"/>
      <c r="GS128" s="511"/>
      <c r="GT128" s="511"/>
      <c r="GU128" s="511"/>
      <c r="GV128" s="511"/>
      <c r="GW128" s="511"/>
      <c r="GX128" s="511"/>
      <c r="GY128" s="511"/>
      <c r="GZ128" s="511"/>
      <c r="HA128" s="511"/>
      <c r="HB128" s="511"/>
      <c r="HC128" s="511"/>
      <c r="HD128" s="511"/>
      <c r="HE128" s="511"/>
      <c r="HF128" s="511"/>
      <c r="HG128" s="511"/>
      <c r="HH128" s="511"/>
      <c r="HI128" s="511"/>
      <c r="HJ128" s="511"/>
      <c r="HK128" s="511"/>
      <c r="HL128" s="511"/>
      <c r="HM128" s="511"/>
      <c r="HN128" s="511"/>
      <c r="HO128" s="511"/>
      <c r="HP128" s="511"/>
      <c r="HQ128" s="511"/>
      <c r="HR128" s="511"/>
      <c r="HS128" s="511"/>
      <c r="HT128" s="511"/>
      <c r="HU128" s="511"/>
      <c r="HV128" s="511"/>
      <c r="HW128" s="511"/>
      <c r="HX128" s="511"/>
      <c r="HY128" s="511"/>
      <c r="HZ128" s="511"/>
      <c r="IA128" s="511"/>
      <c r="IB128" s="511"/>
      <c r="IC128" s="511"/>
      <c r="ID128" s="511"/>
      <c r="IE128" s="511"/>
      <c r="IF128" s="511"/>
      <c r="IG128" s="511"/>
      <c r="IH128" s="511"/>
      <c r="II128" s="511"/>
      <c r="IJ128" s="511"/>
      <c r="IK128" s="511"/>
      <c r="IL128" s="511"/>
      <c r="IM128" s="511"/>
      <c r="IN128" s="511"/>
      <c r="IO128" s="511"/>
      <c r="IP128" s="511"/>
      <c r="IQ128" s="511"/>
      <c r="IR128" s="511"/>
      <c r="IS128" s="511"/>
      <c r="IT128" s="511"/>
      <c r="IU128" s="511"/>
      <c r="IV128" s="511"/>
    </row>
    <row r="129" spans="1:1" ht="12.75" hidden="1" customHeight="1" x14ac:dyDescent="0.2">
      <c r="A129" s="5" t="s">
        <v>319</v>
      </c>
    </row>
    <row r="130" spans="1:1" ht="12.75" hidden="1" customHeight="1" x14ac:dyDescent="0.2">
      <c r="A130" s="5" t="s">
        <v>296</v>
      </c>
    </row>
    <row r="131" spans="1:1" ht="12.75" hidden="1" customHeight="1" x14ac:dyDescent="0.2">
      <c r="A131" s="5" t="s">
        <v>320</v>
      </c>
    </row>
    <row r="132" spans="1:1" ht="12.75" hidden="1" customHeight="1" x14ac:dyDescent="0.2">
      <c r="A132" s="5" t="s">
        <v>271</v>
      </c>
    </row>
    <row r="133" spans="1:1" ht="12.75" hidden="1" customHeight="1" x14ac:dyDescent="0.2">
      <c r="A133" s="5" t="s">
        <v>321</v>
      </c>
    </row>
    <row r="134" spans="1:1" ht="12.75" hidden="1" customHeight="1" x14ac:dyDescent="0.2">
      <c r="A134" s="5" t="s">
        <v>305</v>
      </c>
    </row>
    <row r="135" spans="1:1" ht="12.75" hidden="1" customHeight="1" x14ac:dyDescent="0.3">
      <c r="A135" s="5" t="s">
        <v>334</v>
      </c>
    </row>
    <row r="136" spans="1:1" ht="12.75" hidden="1" customHeight="1" x14ac:dyDescent="0.3">
      <c r="A136" s="5" t="s">
        <v>335</v>
      </c>
    </row>
    <row r="137" spans="1:1" ht="12.75" hidden="1" customHeight="1" x14ac:dyDescent="0.2">
      <c r="A137" s="1"/>
    </row>
    <row r="138" spans="1:1" ht="12.75" hidden="1" customHeight="1" x14ac:dyDescent="0.2">
      <c r="A138" s="1"/>
    </row>
    <row r="139" spans="1:1" ht="12.75" hidden="1" customHeight="1" x14ac:dyDescent="0.2">
      <c r="A139" s="1"/>
    </row>
    <row r="140" spans="1:1" ht="12.75" hidden="1" customHeight="1" x14ac:dyDescent="0.2">
      <c r="A140" s="1"/>
    </row>
    <row r="141" spans="1:1" ht="12.75" hidden="1" customHeight="1" x14ac:dyDescent="0.2">
      <c r="A141" s="1"/>
    </row>
    <row r="142" spans="1:1" ht="12.75" hidden="1" customHeight="1" x14ac:dyDescent="0.2">
      <c r="A142" s="1"/>
    </row>
    <row r="143" spans="1:1" ht="12.75" hidden="1" customHeight="1" x14ac:dyDescent="0.2">
      <c r="A143" s="1"/>
    </row>
    <row r="144" spans="1:1" ht="12.75" hidden="1" customHeight="1" x14ac:dyDescent="0.2">
      <c r="A144" s="1"/>
    </row>
    <row r="145" spans="1:1" ht="12.75" hidden="1" customHeight="1" x14ac:dyDescent="0.2">
      <c r="A145" s="1"/>
    </row>
    <row r="146" spans="1:1" ht="12.75" hidden="1" customHeight="1" x14ac:dyDescent="0.2">
      <c r="A146" s="1"/>
    </row>
    <row r="147" spans="1:1" ht="12.75" hidden="1" customHeight="1" x14ac:dyDescent="0.2">
      <c r="A147" s="1"/>
    </row>
    <row r="148" spans="1:1" ht="12.75" hidden="1" customHeight="1" x14ac:dyDescent="0.2">
      <c r="A148" s="1"/>
    </row>
    <row r="149" spans="1:1" ht="12.75" hidden="1" customHeight="1" x14ac:dyDescent="0.2">
      <c r="A149" s="1"/>
    </row>
    <row r="150" spans="1:1" ht="12.75" hidden="1" customHeight="1" x14ac:dyDescent="0.2">
      <c r="A150" s="1"/>
    </row>
    <row r="151" spans="1:1" ht="12.75" hidden="1" customHeight="1" x14ac:dyDescent="0.2">
      <c r="A151" s="1"/>
    </row>
    <row r="152" spans="1:1" ht="12.75" hidden="1" customHeight="1" x14ac:dyDescent="0.2">
      <c r="A152" s="1"/>
    </row>
    <row r="153" spans="1:1" ht="12.75" hidden="1" customHeight="1" x14ac:dyDescent="0.2">
      <c r="A153" s="1"/>
    </row>
    <row r="154" spans="1:1" ht="12.75" hidden="1" customHeight="1" x14ac:dyDescent="0.2">
      <c r="A154" s="1"/>
    </row>
    <row r="155" spans="1:1" ht="12.75" hidden="1" customHeight="1" x14ac:dyDescent="0.2">
      <c r="A155" s="1"/>
    </row>
    <row r="156" spans="1:1" ht="12.75" hidden="1" customHeight="1" x14ac:dyDescent="0.2">
      <c r="A156" s="1"/>
    </row>
    <row r="157" spans="1:1" ht="12.75" hidden="1" customHeight="1" x14ac:dyDescent="0.2">
      <c r="A157" s="1"/>
    </row>
    <row r="158" spans="1:1" ht="12.75" hidden="1" customHeight="1" x14ac:dyDescent="0.2">
      <c r="A158" s="1"/>
    </row>
    <row r="159" spans="1:1" ht="12.75" hidden="1" customHeight="1" x14ac:dyDescent="0.2"/>
    <row r="160" spans="1:1"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sheetData>
  <sheetProtection sheet="1" objects="1" scenarios="1"/>
  <mergeCells count="5">
    <mergeCell ref="AB1:AB10"/>
    <mergeCell ref="F75:H75"/>
    <mergeCell ref="F78:H78"/>
    <mergeCell ref="B75:B78"/>
    <mergeCell ref="D75:D78"/>
  </mergeCells>
  <phoneticPr fontId="4" type="noConversion"/>
  <conditionalFormatting sqref="F103 F97 F89 F81 F51 T67 T65 X58 X56 X61 F44:G45 T103 T69 T89 T81 T97 F109 F111 F113 F115 F117 P109 P111 P113 P115 P117">
    <cfRule type="cellIs" dxfId="1" priority="1" stopIfTrue="1" operator="equal">
      <formula>"noch leer"</formula>
    </cfRule>
  </conditionalFormatting>
  <conditionalFormatting sqref="F37 F34 F24 F17">
    <cfRule type="cellIs" dxfId="0" priority="2" stopIfTrue="1" operator="equal">
      <formula>"DE leer"</formula>
    </cfRule>
  </conditionalFormatting>
  <dataValidations xWindow="364" yWindow="758" count="3">
    <dataValidation type="list" allowBlank="1" showInputMessage="1" showErrorMessage="1" errorTitle="Falsch" error="Nicht erlaubte Größe!" promptTitle="Formel" prompt="Wähle hier die richtige Größe aus!" sqref="J84 F78:H78 F75:H75 J48:K48 F21 F14 F48 J14 F84 F94 J94 F100 J21 J100 N14" xr:uid="{00000000-0002-0000-1100-000000000000}">
      <formula1>$A$122:$A$136</formula1>
    </dataValidation>
    <dataValidation type="list" allowBlank="1" showInputMessage="1" showErrorMessage="1" promptTitle="Operator" prompt="Wähle jetzt die richtige Rechnungsart!" sqref="Q58 S58 H14 L14 H21 H48 H84 H94 H100" xr:uid="{00000000-0002-0000-1100-000001000000}">
      <formula1>$F$122:$F$125</formula1>
    </dataValidation>
    <dataValidation type="list" allowBlank="1" showInputMessage="1" showErrorMessage="1" errorTitle="Falsche Eingabe!" error="Hier kann nur das &quot;x&quot; ausgewählt werden!" promptTitle="Kreuze zutreffendes an!" prompt="Wähle dazu einfach das &quot;x&quot; aus der Liste!" sqref="L89 W89:W92 L41 L39 L37 L28 L26 L24 L91" xr:uid="{00000000-0002-0000-1100-000002000000}">
      <formula1>$L$122</formula1>
    </dataValidation>
  </dataValidations>
  <printOptions horizontalCentered="1"/>
  <pageMargins left="0.39370078740157483" right="0.19685039370078741" top="0.78740157480314965" bottom="1.1811023622047245" header="0" footer="0"/>
  <pageSetup paperSize="9" scale="88" orientation="portrait" blackAndWhite="1" horizontalDpi="4294967295" r:id="rId1"/>
  <headerFooter alignWithMargins="0">
    <oddHeader>&amp;R&amp;8&amp;U&amp;F - Seite &amp;P/&amp;N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53"/>
  </sheetPr>
  <dimension ref="A1:CU67"/>
  <sheetViews>
    <sheetView showGridLines="0" zoomScaleNormal="100" workbookViewId="0">
      <pane xSplit="1" ySplit="3" topLeftCell="B4" activePane="bottomRight" state="frozen"/>
      <selection activeCell="A8" sqref="A8"/>
      <selection pane="topRight" activeCell="A8" sqref="A8"/>
      <selection pane="bottomLeft" activeCell="A8" sqref="A8"/>
      <selection pane="bottomRight" activeCell="B4" sqref="B4"/>
    </sheetView>
  </sheetViews>
  <sheetFormatPr baseColWidth="10" defaultColWidth="0" defaultRowHeight="12.75" customHeight="1" zeroHeight="1" x14ac:dyDescent="0.2"/>
  <cols>
    <col min="1" max="1" width="4.85546875" style="665" customWidth="1"/>
    <col min="2" max="22" width="13.140625" style="645" customWidth="1"/>
    <col min="23" max="23" width="2.7109375" style="664" customWidth="1"/>
    <col min="24" max="27" width="11.7109375" style="645" hidden="1" customWidth="1"/>
    <col min="28" max="28" width="3.42578125" style="645" hidden="1" customWidth="1"/>
    <col min="29" max="99" width="11.7109375" style="645" hidden="1" customWidth="1"/>
    <col min="100" max="16384" width="11.5703125" style="645" hidden="1"/>
  </cols>
  <sheetData>
    <row r="1" spans="1:28" ht="24.75" x14ac:dyDescent="0.5">
      <c r="A1" s="642" t="s">
        <v>349</v>
      </c>
      <c r="B1" s="642"/>
      <c r="C1" s="642"/>
      <c r="D1" s="642"/>
      <c r="E1" s="642"/>
      <c r="F1" s="642"/>
      <c r="G1" s="642"/>
      <c r="H1" s="642"/>
      <c r="I1" s="643" t="s">
        <v>350</v>
      </c>
      <c r="J1" s="642"/>
      <c r="K1" s="642"/>
      <c r="L1" s="642"/>
      <c r="M1" s="642"/>
      <c r="N1" s="642"/>
      <c r="O1" s="642"/>
      <c r="P1" s="643" t="s">
        <v>350</v>
      </c>
      <c r="Q1" s="642"/>
      <c r="R1" s="642"/>
      <c r="S1" s="642"/>
      <c r="T1" s="642"/>
      <c r="U1" s="642"/>
      <c r="V1" s="642"/>
      <c r="W1" s="644"/>
    </row>
    <row r="2" spans="1:28" s="646" customFormat="1" ht="24" customHeight="1" x14ac:dyDescent="0.2">
      <c r="W2" s="644"/>
    </row>
    <row r="3" spans="1:28" ht="30" customHeight="1" x14ac:dyDescent="0.2">
      <c r="A3" s="647" t="s">
        <v>351</v>
      </c>
      <c r="B3" s="648">
        <f>IF(Z6="","",Z6)</f>
        <v>1.7500000000000002E-2</v>
      </c>
      <c r="C3" s="649">
        <f t="shared" ref="C3:V3" si="0">IF($B$3="","",B3+IF($Z$9="",0.005,$Z$9))</f>
        <v>2.2500000000000003E-2</v>
      </c>
      <c r="D3" s="649">
        <f t="shared" si="0"/>
        <v>2.7500000000000004E-2</v>
      </c>
      <c r="E3" s="649">
        <f t="shared" si="0"/>
        <v>3.2500000000000001E-2</v>
      </c>
      <c r="F3" s="649">
        <f t="shared" si="0"/>
        <v>3.7499999999999999E-2</v>
      </c>
      <c r="G3" s="649">
        <f t="shared" si="0"/>
        <v>4.2499999999999996E-2</v>
      </c>
      <c r="H3" s="649">
        <f t="shared" si="0"/>
        <v>4.7499999999999994E-2</v>
      </c>
      <c r="I3" s="649">
        <f t="shared" si="0"/>
        <v>5.2499999999999991E-2</v>
      </c>
      <c r="J3" s="649">
        <f t="shared" si="0"/>
        <v>5.7499999999999989E-2</v>
      </c>
      <c r="K3" s="649">
        <f t="shared" si="0"/>
        <v>6.2499999999999986E-2</v>
      </c>
      <c r="L3" s="650">
        <f t="shared" si="0"/>
        <v>6.7499999999999991E-2</v>
      </c>
      <c r="M3" s="650">
        <f t="shared" si="0"/>
        <v>7.2499999999999995E-2</v>
      </c>
      <c r="N3" s="650">
        <f t="shared" si="0"/>
        <v>7.7499999999999999E-2</v>
      </c>
      <c r="O3" s="650">
        <f t="shared" si="0"/>
        <v>8.2500000000000004E-2</v>
      </c>
      <c r="P3" s="649">
        <f t="shared" si="0"/>
        <v>8.7500000000000008E-2</v>
      </c>
      <c r="Q3" s="649">
        <f t="shared" si="0"/>
        <v>9.2500000000000013E-2</v>
      </c>
      <c r="R3" s="649">
        <f t="shared" si="0"/>
        <v>9.7500000000000017E-2</v>
      </c>
      <c r="S3" s="650">
        <f t="shared" si="0"/>
        <v>0.10250000000000002</v>
      </c>
      <c r="T3" s="650">
        <f t="shared" si="0"/>
        <v>0.10750000000000003</v>
      </c>
      <c r="U3" s="650">
        <f t="shared" si="0"/>
        <v>0.11250000000000003</v>
      </c>
      <c r="V3" s="650">
        <f t="shared" si="0"/>
        <v>0.11750000000000003</v>
      </c>
      <c r="W3" s="644"/>
      <c r="AB3" s="666"/>
    </row>
    <row r="4" spans="1:28" ht="17.100000000000001" customHeight="1" x14ac:dyDescent="0.2">
      <c r="A4" s="651">
        <f>IF(Z10="","",Z10)</f>
        <v>1</v>
      </c>
      <c r="B4" s="652">
        <f t="shared" ref="B4:K8" si="1">-PMT(B$3,$A4,$Z$4)/$Z$4</f>
        <v>1.0174999999999998</v>
      </c>
      <c r="C4" s="656">
        <f t="shared" si="1"/>
        <v>1.0225000000000002</v>
      </c>
      <c r="D4" s="656">
        <f t="shared" si="1"/>
        <v>1.0274999999999999</v>
      </c>
      <c r="E4" s="656">
        <f t="shared" si="1"/>
        <v>1.0325</v>
      </c>
      <c r="F4" s="656">
        <f t="shared" si="1"/>
        <v>1.0374999999999999</v>
      </c>
      <c r="G4" s="656">
        <f t="shared" si="1"/>
        <v>1.0424999999999998</v>
      </c>
      <c r="H4" s="656">
        <f t="shared" si="1"/>
        <v>1.0474999999999999</v>
      </c>
      <c r="I4" s="656">
        <f t="shared" si="1"/>
        <v>1.0525</v>
      </c>
      <c r="J4" s="656">
        <f t="shared" si="1"/>
        <v>1.0575000000000001</v>
      </c>
      <c r="K4" s="656">
        <f t="shared" si="1"/>
        <v>1.0625</v>
      </c>
      <c r="L4" s="657">
        <f t="shared" ref="L4:V8" si="2">-PMT(L$3,$A4,$Z$4)/$Z$4</f>
        <v>1.0675000000000001</v>
      </c>
      <c r="M4" s="657">
        <f t="shared" si="2"/>
        <v>1.0725</v>
      </c>
      <c r="N4" s="657">
        <f t="shared" si="2"/>
        <v>1.0775000000000001</v>
      </c>
      <c r="O4" s="657">
        <f t="shared" si="2"/>
        <v>1.0825</v>
      </c>
      <c r="P4" s="656">
        <f t="shared" si="2"/>
        <v>1.0875000000000001</v>
      </c>
      <c r="Q4" s="656">
        <f t="shared" si="2"/>
        <v>1.0925</v>
      </c>
      <c r="R4" s="656">
        <f t="shared" si="2"/>
        <v>1.0975000000000001</v>
      </c>
      <c r="S4" s="657">
        <f t="shared" si="2"/>
        <v>1.1025</v>
      </c>
      <c r="T4" s="657">
        <f t="shared" si="2"/>
        <v>1.1074999999999999</v>
      </c>
      <c r="U4" s="657">
        <f t="shared" si="2"/>
        <v>1.1124999999999998</v>
      </c>
      <c r="V4" s="657">
        <f t="shared" si="2"/>
        <v>1.1174999999999999</v>
      </c>
      <c r="W4" s="644"/>
      <c r="Y4" s="653" t="s">
        <v>352</v>
      </c>
      <c r="Z4" s="669">
        <f>IF([1]PlanI!$P$23="","100000",[1]PlanI!$P$23)</f>
        <v>78242</v>
      </c>
    </row>
    <row r="5" spans="1:28" ht="17.100000000000001" customHeight="1" x14ac:dyDescent="0.2">
      <c r="A5" s="654">
        <f t="shared" ref="A5:A38" si="3">A4+1</f>
        <v>2</v>
      </c>
      <c r="B5" s="658">
        <f t="shared" si="1"/>
        <v>0.51316294919454775</v>
      </c>
      <c r="C5" s="659">
        <f t="shared" si="1"/>
        <v>0.51693757725587142</v>
      </c>
      <c r="D5" s="659">
        <f t="shared" si="1"/>
        <v>0.52071824907521569</v>
      </c>
      <c r="E5" s="659">
        <f t="shared" si="1"/>
        <v>0.52450492004920057</v>
      </c>
      <c r="F5" s="659">
        <f t="shared" si="1"/>
        <v>0.52829754601226997</v>
      </c>
      <c r="G5" s="659">
        <f t="shared" si="1"/>
        <v>0.53209608323133406</v>
      </c>
      <c r="H5" s="659">
        <f t="shared" si="1"/>
        <v>0.53590048840048843</v>
      </c>
      <c r="I5" s="659">
        <f t="shared" si="1"/>
        <v>0.53971071863580999</v>
      </c>
      <c r="J5" s="659">
        <f t="shared" si="1"/>
        <v>0.54352673147023089</v>
      </c>
      <c r="K5" s="659">
        <f t="shared" si="1"/>
        <v>0.54734848484848486</v>
      </c>
      <c r="L5" s="660">
        <f t="shared" si="2"/>
        <v>0.5511759371221282</v>
      </c>
      <c r="M5" s="660">
        <f t="shared" si="2"/>
        <v>0.55500904704463205</v>
      </c>
      <c r="N5" s="660">
        <f t="shared" si="2"/>
        <v>0.55884777376654637</v>
      </c>
      <c r="O5" s="660">
        <f t="shared" si="2"/>
        <v>0.56269207683073219</v>
      </c>
      <c r="P5" s="659">
        <f t="shared" si="2"/>
        <v>0.56654191616766469</v>
      </c>
      <c r="Q5" s="659">
        <f t="shared" si="2"/>
        <v>0.5703972520908005</v>
      </c>
      <c r="R5" s="659">
        <f t="shared" si="2"/>
        <v>0.57425804529201441</v>
      </c>
      <c r="S5" s="660">
        <f t="shared" si="2"/>
        <v>0.57812425683709878</v>
      </c>
      <c r="T5" s="660">
        <f t="shared" si="2"/>
        <v>0.58199584816132854</v>
      </c>
      <c r="U5" s="660">
        <f t="shared" si="2"/>
        <v>0.58587278106508867</v>
      </c>
      <c r="V5" s="660">
        <f t="shared" si="2"/>
        <v>0.58975501770956307</v>
      </c>
      <c r="W5" s="644"/>
      <c r="Y5" s="653" t="s">
        <v>52</v>
      </c>
      <c r="Z5" s="670">
        <f>IF([1]PlanI!$R$23="","",[1]PlanI!$R$23)</f>
        <v>4.2500000000000003E-2</v>
      </c>
    </row>
    <row r="6" spans="1:28" ht="17.100000000000001" customHeight="1" x14ac:dyDescent="0.2">
      <c r="A6" s="654">
        <f t="shared" si="3"/>
        <v>3</v>
      </c>
      <c r="B6" s="658">
        <f t="shared" si="1"/>
        <v>0.34506746354276496</v>
      </c>
      <c r="C6" s="659">
        <f t="shared" si="1"/>
        <v>0.34844457719895455</v>
      </c>
      <c r="D6" s="659">
        <f t="shared" si="1"/>
        <v>0.35183243263514014</v>
      </c>
      <c r="E6" s="659">
        <f t="shared" si="1"/>
        <v>0.35523094929291665</v>
      </c>
      <c r="F6" s="659">
        <f t="shared" si="1"/>
        <v>0.35864004716744446</v>
      </c>
      <c r="G6" s="659">
        <f t="shared" si="1"/>
        <v>0.36205964680670033</v>
      </c>
      <c r="H6" s="659">
        <f t="shared" si="1"/>
        <v>0.36548966931061827</v>
      </c>
      <c r="I6" s="659">
        <f t="shared" si="1"/>
        <v>0.36893003633012356</v>
      </c>
      <c r="J6" s="659">
        <f t="shared" si="1"/>
        <v>0.3723806700660659</v>
      </c>
      <c r="K6" s="659">
        <f t="shared" si="1"/>
        <v>0.37584149326805383</v>
      </c>
      <c r="L6" s="660">
        <f t="shared" si="2"/>
        <v>0.37931242923319475</v>
      </c>
      <c r="M6" s="660">
        <f t="shared" si="2"/>
        <v>0.38279340180474392</v>
      </c>
      <c r="N6" s="660">
        <f t="shared" si="2"/>
        <v>0.3862843353706667</v>
      </c>
      <c r="O6" s="660">
        <f t="shared" si="2"/>
        <v>0.38978515486211529</v>
      </c>
      <c r="P6" s="659">
        <f t="shared" si="2"/>
        <v>0.39329578575182755</v>
      </c>
      <c r="Q6" s="659">
        <f t="shared" si="2"/>
        <v>0.39681615405244502</v>
      </c>
      <c r="R6" s="659">
        <f t="shared" si="2"/>
        <v>0.40034618631475938</v>
      </c>
      <c r="S6" s="660">
        <f t="shared" si="2"/>
        <v>0.40388580962588605</v>
      </c>
      <c r="T6" s="660">
        <f t="shared" si="2"/>
        <v>0.40743495160737014</v>
      </c>
      <c r="U6" s="660">
        <f t="shared" si="2"/>
        <v>0.41099354041322694</v>
      </c>
      <c r="V6" s="660">
        <f t="shared" si="2"/>
        <v>0.41456150472791958</v>
      </c>
      <c r="W6" s="644"/>
      <c r="Y6" s="653" t="s">
        <v>354</v>
      </c>
      <c r="Z6" s="670">
        <f>IF([1]PlanI!$R$23="","",[1]PlanI!$R$23-Z9*5)</f>
        <v>1.7500000000000002E-2</v>
      </c>
    </row>
    <row r="7" spans="1:28" ht="17.100000000000001" customHeight="1" x14ac:dyDescent="0.2">
      <c r="A7" s="654">
        <f t="shared" si="3"/>
        <v>4</v>
      </c>
      <c r="B7" s="658">
        <f t="shared" si="1"/>
        <v>0.26103236727620116</v>
      </c>
      <c r="C7" s="659">
        <f t="shared" si="1"/>
        <v>0.26421892765219929</v>
      </c>
      <c r="D7" s="659">
        <f t="shared" si="1"/>
        <v>0.26742058838454985</v>
      </c>
      <c r="E7" s="659">
        <f t="shared" si="1"/>
        <v>0.27063723370271286</v>
      </c>
      <c r="F7" s="659">
        <f t="shared" si="1"/>
        <v>0.27386874817356671</v>
      </c>
      <c r="G7" s="659">
        <f t="shared" si="1"/>
        <v>0.27711501671817113</v>
      </c>
      <c r="H7" s="659">
        <f t="shared" si="1"/>
        <v>0.28037592462794586</v>
      </c>
      <c r="I7" s="659">
        <f t="shared" si="1"/>
        <v>0.28365135758027521</v>
      </c>
      <c r="J7" s="659">
        <f t="shared" si="1"/>
        <v>0.28694120165355264</v>
      </c>
      <c r="K7" s="659">
        <f t="shared" si="1"/>
        <v>0.29024534334167362</v>
      </c>
      <c r="L7" s="660">
        <f t="shared" si="2"/>
        <v>0.29356366956799018</v>
      </c>
      <c r="M7" s="660">
        <f t="shared" si="2"/>
        <v>0.29689606769873689</v>
      </c>
      <c r="N7" s="660">
        <f t="shared" si="2"/>
        <v>0.30024242555594016</v>
      </c>
      <c r="O7" s="660">
        <f t="shared" si="2"/>
        <v>0.30360263142982125</v>
      </c>
      <c r="P7" s="659">
        <f t="shared" si="2"/>
        <v>0.30697657409070467</v>
      </c>
      <c r="Q7" s="659">
        <f t="shared" si="2"/>
        <v>0.31036414280044128</v>
      </c>
      <c r="R7" s="659">
        <f t="shared" si="2"/>
        <v>0.31376522732335843</v>
      </c>
      <c r="S7" s="660">
        <f t="shared" si="2"/>
        <v>0.31717971793674637</v>
      </c>
      <c r="T7" s="660">
        <f t="shared" si="2"/>
        <v>0.32060750544089267</v>
      </c>
      <c r="U7" s="660">
        <f t="shared" si="2"/>
        <v>0.32404848116867313</v>
      </c>
      <c r="V7" s="660">
        <f t="shared" si="2"/>
        <v>0.32750253699471138</v>
      </c>
      <c r="W7" s="644"/>
      <c r="Y7" s="673" t="s">
        <v>356</v>
      </c>
      <c r="Z7" s="672">
        <f>IF([1]PlanI!$T$23="","",[1]PlanI!$T$23)</f>
        <v>15</v>
      </c>
    </row>
    <row r="8" spans="1:28" ht="17.100000000000001" customHeight="1" thickBot="1" x14ac:dyDescent="0.25">
      <c r="A8" s="674">
        <f t="shared" si="3"/>
        <v>5</v>
      </c>
      <c r="B8" s="675">
        <f t="shared" si="1"/>
        <v>0.21062142463260089</v>
      </c>
      <c r="C8" s="676">
        <f t="shared" si="1"/>
        <v>0.21370021253051424</v>
      </c>
      <c r="D8" s="676">
        <f t="shared" si="1"/>
        <v>0.21679832021298612</v>
      </c>
      <c r="E8" s="676">
        <f t="shared" si="1"/>
        <v>0.21991559540858627</v>
      </c>
      <c r="F8" s="676">
        <f t="shared" si="1"/>
        <v>0.22305188555529354</v>
      </c>
      <c r="G8" s="676">
        <f t="shared" si="1"/>
        <v>0.22620703785244509</v>
      </c>
      <c r="H8" s="676">
        <f t="shared" si="1"/>
        <v>0.22938089931136077</v>
      </c>
      <c r="I8" s="676">
        <f t="shared" si="1"/>
        <v>0.23257331680465254</v>
      </c>
      <c r="J8" s="676">
        <f t="shared" si="1"/>
        <v>0.23578413711422905</v>
      </c>
      <c r="K8" s="676">
        <f t="shared" si="1"/>
        <v>0.23901320697800316</v>
      </c>
      <c r="L8" s="677">
        <f t="shared" si="2"/>
        <v>0.24226037313531565</v>
      </c>
      <c r="M8" s="677">
        <f t="shared" si="2"/>
        <v>0.24552548237108468</v>
      </c>
      <c r="N8" s="677">
        <f t="shared" si="2"/>
        <v>0.24880838155869503</v>
      </c>
      <c r="O8" s="677">
        <f t="shared" si="2"/>
        <v>0.25210891770163946</v>
      </c>
      <c r="P8" s="676">
        <f t="shared" si="2"/>
        <v>0.25542693797392646</v>
      </c>
      <c r="Q8" s="676">
        <f t="shared" si="2"/>
        <v>0.25876228975926763</v>
      </c>
      <c r="R8" s="676">
        <f t="shared" si="2"/>
        <v>0.26211482068906122</v>
      </c>
      <c r="S8" s="677">
        <f t="shared" si="2"/>
        <v>0.26548437867918623</v>
      </c>
      <c r="T8" s="677">
        <f t="shared" si="2"/>
        <v>0.2688708119656229</v>
      </c>
      <c r="U8" s="677">
        <f t="shared" si="2"/>
        <v>0.27227396913891672</v>
      </c>
      <c r="V8" s="677">
        <f t="shared" si="2"/>
        <v>0.27569369917750153</v>
      </c>
      <c r="W8" s="644"/>
      <c r="Y8" s="653" t="s">
        <v>355</v>
      </c>
      <c r="Z8" s="671">
        <f>INDEX(AT,Z7+1,7)</f>
        <v>9.1520425322923232E-2</v>
      </c>
    </row>
    <row r="9" spans="1:28" ht="17.100000000000001" customHeight="1" thickTop="1" x14ac:dyDescent="0.2">
      <c r="A9" s="678">
        <f t="shared" si="3"/>
        <v>6</v>
      </c>
      <c r="B9" s="679">
        <f t="shared" ref="B9:K13" si="4">-PMT(B$3,$A9,$Z$4)/$Z$4</f>
        <v>0.17702255651778948</v>
      </c>
      <c r="C9" s="680">
        <f t="shared" si="4"/>
        <v>0.1800349584325027</v>
      </c>
      <c r="D9" s="680">
        <f t="shared" si="4"/>
        <v>0.18307082637971733</v>
      </c>
      <c r="E9" s="680">
        <f t="shared" si="4"/>
        <v>0.1861299692486636</v>
      </c>
      <c r="F9" s="680">
        <f t="shared" si="4"/>
        <v>0.18921219450845189</v>
      </c>
      <c r="G9" s="680">
        <f t="shared" si="4"/>
        <v>0.19231730831865554</v>
      </c>
      <c r="H9" s="680">
        <f t="shared" si="4"/>
        <v>0.195445115637669</v>
      </c>
      <c r="I9" s="680">
        <f t="shared" si="4"/>
        <v>0.19859542032881108</v>
      </c>
      <c r="J9" s="680">
        <f t="shared" si="4"/>
        <v>0.20176802526414805</v>
      </c>
      <c r="K9" s="680">
        <f t="shared" si="4"/>
        <v>0.20496273242601271</v>
      </c>
      <c r="L9" s="681">
        <f t="shared" ref="L9:V13" si="5">-PMT(L$3,$A9,$Z$4)/$Z$4</f>
        <v>0.20817934300620208</v>
      </c>
      <c r="M9" s="681">
        <f t="shared" si="5"/>
        <v>0.21141765750283903</v>
      </c>
      <c r="N9" s="681">
        <f t="shared" si="5"/>
        <v>0.21467747581488619</v>
      </c>
      <c r="O9" s="681">
        <f t="shared" si="5"/>
        <v>0.21795859733430556</v>
      </c>
      <c r="P9" s="680">
        <f t="shared" si="5"/>
        <v>0.22126082103585873</v>
      </c>
      <c r="Q9" s="680">
        <f t="shared" si="5"/>
        <v>0.22458394556454694</v>
      </c>
      <c r="R9" s="680">
        <f t="shared" si="5"/>
        <v>0.22792776932069339</v>
      </c>
      <c r="S9" s="681">
        <f t="shared" si="5"/>
        <v>0.23129209054267164</v>
      </c>
      <c r="T9" s="681">
        <f t="shared" si="5"/>
        <v>0.2346767073872883</v>
      </c>
      <c r="U9" s="681">
        <f t="shared" si="5"/>
        <v>0.23808141800783111</v>
      </c>
      <c r="V9" s="681">
        <f t="shared" si="5"/>
        <v>0.24150602062979243</v>
      </c>
      <c r="W9" s="644"/>
      <c r="Y9" s="653" t="s">
        <v>353</v>
      </c>
      <c r="Z9" s="668">
        <v>5.0000000000000001E-3</v>
      </c>
    </row>
    <row r="10" spans="1:28" ht="17.100000000000001" customHeight="1" x14ac:dyDescent="0.2">
      <c r="A10" s="654">
        <f t="shared" si="3"/>
        <v>7</v>
      </c>
      <c r="B10" s="658">
        <f t="shared" si="4"/>
        <v>0.15303058574317854</v>
      </c>
      <c r="C10" s="659">
        <f t="shared" si="4"/>
        <v>0.15600024701112583</v>
      </c>
      <c r="D10" s="659">
        <f t="shared" si="4"/>
        <v>0.1589974749700957</v>
      </c>
      <c r="E10" s="659">
        <f t="shared" si="4"/>
        <v>0.16202203656567096</v>
      </c>
      <c r="F10" s="659">
        <f t="shared" si="4"/>
        <v>0.16507369560203716</v>
      </c>
      <c r="G10" s="659">
        <f t="shared" si="4"/>
        <v>0.16815221294146962</v>
      </c>
      <c r="H10" s="659">
        <f t="shared" si="4"/>
        <v>0.17125734670073306</v>
      </c>
      <c r="I10" s="659">
        <f t="shared" si="4"/>
        <v>0.17438885244424904</v>
      </c>
      <c r="J10" s="659">
        <f t="shared" si="4"/>
        <v>0.17754648337389239</v>
      </c>
      <c r="K10" s="659">
        <f t="shared" si="4"/>
        <v>0.18072999051529606</v>
      </c>
      <c r="L10" s="660">
        <f t="shared" si="5"/>
        <v>0.18393912290054762</v>
      </c>
      <c r="M10" s="660">
        <f t="shared" si="5"/>
        <v>0.18717362774717805</v>
      </c>
      <c r="N10" s="660">
        <f t="shared" si="5"/>
        <v>0.19043325063334893</v>
      </c>
      <c r="O10" s="660">
        <f t="shared" si="5"/>
        <v>0.19371773566915826</v>
      </c>
      <c r="P10" s="659">
        <f t="shared" si="5"/>
        <v>0.19702682566399238</v>
      </c>
      <c r="Q10" s="659">
        <f t="shared" si="5"/>
        <v>0.20036026228986267</v>
      </c>
      <c r="R10" s="659">
        <f t="shared" si="5"/>
        <v>0.20371778624067427</v>
      </c>
      <c r="S10" s="660">
        <f t="shared" si="5"/>
        <v>0.20709913738738353</v>
      </c>
      <c r="T10" s="660">
        <f t="shared" si="5"/>
        <v>0.21050405492900909</v>
      </c>
      <c r="U10" s="660">
        <f t="shared" si="5"/>
        <v>0.21393227753947014</v>
      </c>
      <c r="V10" s="660">
        <f t="shared" si="5"/>
        <v>0.21738354351023328</v>
      </c>
      <c r="W10" s="644"/>
      <c r="Y10" s="653" t="s">
        <v>53</v>
      </c>
      <c r="Z10" s="667">
        <v>1</v>
      </c>
    </row>
    <row r="11" spans="1:28" ht="17.100000000000001" customHeight="1" x14ac:dyDescent="0.2">
      <c r="A11" s="654">
        <f t="shared" si="3"/>
        <v>8</v>
      </c>
      <c r="B11" s="658">
        <f t="shared" si="4"/>
        <v>0.13504292333522375</v>
      </c>
      <c r="C11" s="659">
        <f t="shared" si="4"/>
        <v>0.13798461806673032</v>
      </c>
      <c r="D11" s="659">
        <f t="shared" si="4"/>
        <v>0.14095794776083406</v>
      </c>
      <c r="E11" s="659">
        <f t="shared" si="4"/>
        <v>0.14396263365922934</v>
      </c>
      <c r="F11" s="659">
        <f t="shared" si="4"/>
        <v>0.14699839146107843</v>
      </c>
      <c r="G11" s="659">
        <f t="shared" si="4"/>
        <v>0.15006493164967827</v>
      </c>
      <c r="H11" s="659">
        <f t="shared" si="4"/>
        <v>0.15316195981552655</v>
      </c>
      <c r="I11" s="659">
        <f t="shared" si="4"/>
        <v>0.1562891769753795</v>
      </c>
      <c r="J11" s="659">
        <f t="shared" si="4"/>
        <v>0.15944627988691934</v>
      </c>
      <c r="K11" s="659">
        <f t="shared" si="4"/>
        <v>0.16263296135867431</v>
      </c>
      <c r="L11" s="660">
        <f t="shared" si="5"/>
        <v>0.16584891055486195</v>
      </c>
      <c r="M11" s="660">
        <f t="shared" si="5"/>
        <v>0.16909381329484779</v>
      </c>
      <c r="N11" s="660">
        <f t="shared" si="5"/>
        <v>0.17236735234694162</v>
      </c>
      <c r="O11" s="660">
        <f t="shared" si="5"/>
        <v>0.17566920771627248</v>
      </c>
      <c r="P11" s="659">
        <f t="shared" si="5"/>
        <v>0.17899905692651266</v>
      </c>
      <c r="Q11" s="659">
        <f t="shared" si="5"/>
        <v>0.18235657529523966</v>
      </c>
      <c r="R11" s="659">
        <f t="shared" si="5"/>
        <v>0.18574143620275199</v>
      </c>
      <c r="S11" s="660">
        <f t="shared" si="5"/>
        <v>0.18915331135417376</v>
      </c>
      <c r="T11" s="660">
        <f t="shared" si="5"/>
        <v>0.19259187103470696</v>
      </c>
      <c r="U11" s="660">
        <f t="shared" si="5"/>
        <v>0.19605678435790841</v>
      </c>
      <c r="V11" s="660">
        <f t="shared" si="5"/>
        <v>0.19954771950689151</v>
      </c>
      <c r="W11" s="644"/>
    </row>
    <row r="12" spans="1:28" ht="17.100000000000001" customHeight="1" x14ac:dyDescent="0.2">
      <c r="A12" s="654">
        <f t="shared" si="3"/>
        <v>9</v>
      </c>
      <c r="B12" s="658">
        <f t="shared" si="4"/>
        <v>0.12105813063864949</v>
      </c>
      <c r="C12" s="659">
        <f t="shared" si="4"/>
        <v>0.12398170391171179</v>
      </c>
      <c r="D12" s="659">
        <f t="shared" si="4"/>
        <v>0.12694095484281334</v>
      </c>
      <c r="E12" s="659">
        <f t="shared" si="4"/>
        <v>0.1299355546060891</v>
      </c>
      <c r="F12" s="659">
        <f t="shared" si="4"/>
        <v>0.1329651656674046</v>
      </c>
      <c r="G12" s="659">
        <f t="shared" si="4"/>
        <v>0.13602944228582362</v>
      </c>
      <c r="H12" s="659">
        <f t="shared" si="4"/>
        <v>0.13912803101173191</v>
      </c>
      <c r="I12" s="659">
        <f t="shared" si="4"/>
        <v>0.14226057118070687</v>
      </c>
      <c r="J12" s="659">
        <f t="shared" si="4"/>
        <v>0.14542669540227607</v>
      </c>
      <c r="K12" s="659">
        <f t="shared" si="4"/>
        <v>0.14862603004275493</v>
      </c>
      <c r="L12" s="660">
        <f t="shared" si="5"/>
        <v>0.15185819570140938</v>
      </c>
      <c r="M12" s="660">
        <f t="shared" si="5"/>
        <v>0.15512280767923853</v>
      </c>
      <c r="N12" s="660">
        <f t="shared" si="5"/>
        <v>0.15841947643972543</v>
      </c>
      <c r="O12" s="660">
        <f t="shared" si="5"/>
        <v>0.16174780806095354</v>
      </c>
      <c r="P12" s="659">
        <f t="shared" si="5"/>
        <v>0.16510740467853982</v>
      </c>
      <c r="Q12" s="659">
        <f t="shared" si="5"/>
        <v>0.16849786491888211</v>
      </c>
      <c r="R12" s="659">
        <f t="shared" si="5"/>
        <v>0.17191878432227062</v>
      </c>
      <c r="S12" s="660">
        <f t="shared" si="5"/>
        <v>0.17536975575545888</v>
      </c>
      <c r="T12" s="660">
        <f t="shared" si="5"/>
        <v>0.17885036981333793</v>
      </c>
      <c r="U12" s="660">
        <f t="shared" si="5"/>
        <v>0.18236021520940168</v>
      </c>
      <c r="V12" s="660">
        <f t="shared" si="5"/>
        <v>0.18589887915473643</v>
      </c>
      <c r="W12" s="644"/>
    </row>
    <row r="13" spans="1:28" ht="17.100000000000001" customHeight="1" thickBot="1" x14ac:dyDescent="0.25">
      <c r="A13" s="674">
        <f t="shared" si="3"/>
        <v>10</v>
      </c>
      <c r="B13" s="675">
        <f t="shared" si="4"/>
        <v>0.10987534415780385</v>
      </c>
      <c r="C13" s="676">
        <f t="shared" si="4"/>
        <v>0.11278768311666677</v>
      </c>
      <c r="D13" s="676">
        <f t="shared" si="4"/>
        <v>0.11573972047114345</v>
      </c>
      <c r="E13" s="676">
        <f t="shared" si="4"/>
        <v>0.11873107239072274</v>
      </c>
      <c r="F13" s="676">
        <f t="shared" si="4"/>
        <v>0.12176134232570882</v>
      </c>
      <c r="G13" s="676">
        <f t="shared" si="4"/>
        <v>0.12483012174194313</v>
      </c>
      <c r="H13" s="676">
        <f t="shared" si="4"/>
        <v>0.12793699085374205</v>
      </c>
      <c r="I13" s="676">
        <f t="shared" si="4"/>
        <v>0.13108151935326381</v>
      </c>
      <c r="J13" s="676">
        <f t="shared" si="4"/>
        <v>0.13426326713460793</v>
      </c>
      <c r="K13" s="676">
        <f t="shared" si="4"/>
        <v>0.13748178501104413</v>
      </c>
      <c r="L13" s="677">
        <f t="shared" si="5"/>
        <v>0.14073661542386345</v>
      </c>
      <c r="M13" s="677">
        <f t="shared" si="5"/>
        <v>0.14402729314144208</v>
      </c>
      <c r="N13" s="677">
        <f t="shared" si="5"/>
        <v>0.147353345947206</v>
      </c>
      <c r="O13" s="677">
        <f t="shared" si="5"/>
        <v>0.15071429531528382</v>
      </c>
      <c r="P13" s="676">
        <f t="shared" si="5"/>
        <v>0.15410965707273327</v>
      </c>
      <c r="Q13" s="676">
        <f t="shared" si="5"/>
        <v>0.15753894204732491</v>
      </c>
      <c r="R13" s="676">
        <f t="shared" si="5"/>
        <v>0.1610016566999628</v>
      </c>
      <c r="S13" s="677">
        <f t="shared" si="5"/>
        <v>0.16449730374091723</v>
      </c>
      <c r="T13" s="677">
        <f t="shared" si="5"/>
        <v>0.16802538272913781</v>
      </c>
      <c r="U13" s="677">
        <f t="shared" si="5"/>
        <v>0.17158539065400566</v>
      </c>
      <c r="V13" s="677">
        <f t="shared" si="5"/>
        <v>0.17517682249897101</v>
      </c>
      <c r="W13" s="644"/>
    </row>
    <row r="14" spans="1:28" ht="17.100000000000001" customHeight="1" thickTop="1" x14ac:dyDescent="0.2">
      <c r="A14" s="678">
        <f t="shared" si="3"/>
        <v>11</v>
      </c>
      <c r="B14" s="679">
        <f t="shared" ref="B14:K18" si="6">-PMT(B$3,$A14,$Z$4)/$Z$4</f>
        <v>0.1007303777573329</v>
      </c>
      <c r="C14" s="680">
        <f t="shared" si="6"/>
        <v>0.10363648675890386</v>
      </c>
      <c r="D14" s="680">
        <f t="shared" si="6"/>
        <v>0.10658629481603688</v>
      </c>
      <c r="E14" s="680">
        <f t="shared" si="6"/>
        <v>0.10957935760329544</v>
      </c>
      <c r="F14" s="680">
        <f t="shared" si="6"/>
        <v>0.11261521314419047</v>
      </c>
      <c r="G14" s="680">
        <f t="shared" si="6"/>
        <v>0.11569338285006488</v>
      </c>
      <c r="H14" s="680">
        <f t="shared" si="6"/>
        <v>0.11881337256069492</v>
      </c>
      <c r="I14" s="680">
        <f t="shared" si="6"/>
        <v>0.12197467358338202</v>
      </c>
      <c r="J14" s="680">
        <f t="shared" si="6"/>
        <v>0.12517676372746195</v>
      </c>
      <c r="K14" s="680">
        <f t="shared" si="6"/>
        <v>0.12841910833131809</v>
      </c>
      <c r="L14" s="681">
        <f t="shared" ref="L14:V18" si="7">-PMT(L$3,$A14,$Z$4)/$Z$4</f>
        <v>0.13170116127915377</v>
      </c>
      <c r="M14" s="681">
        <f t="shared" si="7"/>
        <v>0.13502236600495054</v>
      </c>
      <c r="N14" s="681">
        <f t="shared" si="7"/>
        <v>0.13838215648121729</v>
      </c>
      <c r="O14" s="681">
        <f t="shared" si="7"/>
        <v>0.14177995819031156</v>
      </c>
      <c r="P14" s="680">
        <f t="shared" si="7"/>
        <v>0.14521518907629716</v>
      </c>
      <c r="Q14" s="680">
        <f t="shared" si="7"/>
        <v>0.14868726047548031</v>
      </c>
      <c r="R14" s="680">
        <f t="shared" si="7"/>
        <v>0.15219557802394554</v>
      </c>
      <c r="S14" s="681">
        <f t="shared" si="7"/>
        <v>0.15573954254059025</v>
      </c>
      <c r="T14" s="681">
        <f t="shared" si="7"/>
        <v>0.15931855088432917</v>
      </c>
      <c r="U14" s="681">
        <f t="shared" si="7"/>
        <v>0.16293199678430853</v>
      </c>
      <c r="V14" s="681">
        <f t="shared" si="7"/>
        <v>0.16657927164213751</v>
      </c>
      <c r="W14" s="644"/>
    </row>
    <row r="15" spans="1:28" ht="17.100000000000001" customHeight="1" x14ac:dyDescent="0.2">
      <c r="A15" s="654">
        <f t="shared" si="3"/>
        <v>12</v>
      </c>
      <c r="B15" s="658">
        <f t="shared" si="6"/>
        <v>9.3113773762571558E-2</v>
      </c>
      <c r="C15" s="659">
        <f t="shared" si="6"/>
        <v>9.6017401546935818E-2</v>
      </c>
      <c r="D15" s="659">
        <f t="shared" si="6"/>
        <v>9.8968709839013944E-2</v>
      </c>
      <c r="E15" s="659">
        <f t="shared" si="6"/>
        <v>0.10196718779068473</v>
      </c>
      <c r="F15" s="659">
        <f t="shared" si="6"/>
        <v>0.10501230097952638</v>
      </c>
      <c r="G15" s="659">
        <f t="shared" si="6"/>
        <v>0.10810349283697521</v>
      </c>
      <c r="H15" s="659">
        <f t="shared" si="6"/>
        <v>0.11124018608436521</v>
      </c>
      <c r="I15" s="659">
        <f t="shared" si="6"/>
        <v>0.11442178417137762</v>
      </c>
      <c r="J15" s="659">
        <f t="shared" si="6"/>
        <v>0.1176476727116758</v>
      </c>
      <c r="K15" s="659">
        <f t="shared" si="6"/>
        <v>0.12091722091076416</v>
      </c>
      <c r="L15" s="660">
        <f t="shared" si="7"/>
        <v>0.12422978298139026</v>
      </c>
      <c r="M15" s="660">
        <f t="shared" si="7"/>
        <v>0.12758469954210386</v>
      </c>
      <c r="N15" s="660">
        <f t="shared" si="7"/>
        <v>0.13098129899488792</v>
      </c>
      <c r="O15" s="660">
        <f t="shared" si="7"/>
        <v>0.13441889887808903</v>
      </c>
      <c r="P15" s="659">
        <f t="shared" si="7"/>
        <v>0.13789680719118724</v>
      </c>
      <c r="Q15" s="659">
        <f t="shared" si="7"/>
        <v>0.14141432368826176</v>
      </c>
      <c r="R15" s="659">
        <f t="shared" si="7"/>
        <v>0.14497074113732519</v>
      </c>
      <c r="S15" s="660">
        <f t="shared" si="7"/>
        <v>0.1485653465430084</v>
      </c>
      <c r="T15" s="660">
        <f t="shared" si="7"/>
        <v>0.15219742233038702</v>
      </c>
      <c r="U15" s="660">
        <f t="shared" si="7"/>
        <v>0.15586624748803973</v>
      </c>
      <c r="V15" s="660">
        <f t="shared" si="7"/>
        <v>0.15957109866871796</v>
      </c>
      <c r="W15" s="644"/>
    </row>
    <row r="16" spans="1:28" ht="17.100000000000001" customHeight="1" x14ac:dyDescent="0.2">
      <c r="A16" s="654">
        <f t="shared" si="3"/>
        <v>13</v>
      </c>
      <c r="B16" s="658">
        <f t="shared" si="6"/>
        <v>8.6672830475188173E-2</v>
      </c>
      <c r="C16" s="659">
        <f t="shared" si="6"/>
        <v>8.9576856118499804E-2</v>
      </c>
      <c r="D16" s="659">
        <f t="shared" si="6"/>
        <v>9.2532524765407825E-2</v>
      </c>
      <c r="E16" s="659">
        <f t="shared" si="6"/>
        <v>9.5539252493496041E-2</v>
      </c>
      <c r="F16" s="659">
        <f t="shared" si="6"/>
        <v>9.8596424826837503E-2</v>
      </c>
      <c r="G16" s="659">
        <f t="shared" si="6"/>
        <v>0.10170339865459374</v>
      </c>
      <c r="H16" s="659">
        <f t="shared" si="6"/>
        <v>0.1048595041671091</v>
      </c>
      <c r="I16" s="659">
        <f t="shared" si="6"/>
        <v>0.10806404680066373</v>
      </c>
      <c r="J16" s="659">
        <f t="shared" si="6"/>
        <v>0.11131630918243084</v>
      </c>
      <c r="K16" s="659">
        <f t="shared" si="6"/>
        <v>0.11461555306760222</v>
      </c>
      <c r="L16" s="660">
        <f t="shared" si="7"/>
        <v>0.117961021261104</v>
      </c>
      <c r="M16" s="660">
        <f t="shared" si="7"/>
        <v>0.12135193951680347</v>
      </c>
      <c r="N16" s="660">
        <f t="shared" si="7"/>
        <v>0.12478751840761397</v>
      </c>
      <c r="O16" s="660">
        <f t="shared" si="7"/>
        <v>0.12826695516042219</v>
      </c>
      <c r="P16" s="659">
        <f t="shared" si="7"/>
        <v>0.13178943545029181</v>
      </c>
      <c r="Q16" s="659">
        <f t="shared" si="7"/>
        <v>0.13535413514893041</v>
      </c>
      <c r="R16" s="659">
        <f t="shared" si="7"/>
        <v>0.13896022202294134</v>
      </c>
      <c r="S16" s="660">
        <f t="shared" si="7"/>
        <v>0.1426068573779084</v>
      </c>
      <c r="T16" s="660">
        <f t="shared" si="7"/>
        <v>0.14629319764488263</v>
      </c>
      <c r="U16" s="660">
        <f t="shared" si="7"/>
        <v>0.15001839590634683</v>
      </c>
      <c r="V16" s="660">
        <f t="shared" si="7"/>
        <v>0.15378160335922397</v>
      </c>
      <c r="W16" s="644"/>
    </row>
    <row r="17" spans="1:23" ht="17.100000000000001" customHeight="1" x14ac:dyDescent="0.2">
      <c r="A17" s="654">
        <f t="shared" si="3"/>
        <v>14</v>
      </c>
      <c r="B17" s="658">
        <f t="shared" si="6"/>
        <v>8.115561789645534E-2</v>
      </c>
      <c r="C17" s="659">
        <f t="shared" si="6"/>
        <v>8.4062298925340492E-2</v>
      </c>
      <c r="D17" s="659">
        <f t="shared" si="6"/>
        <v>8.7024566355012462E-2</v>
      </c>
      <c r="E17" s="659">
        <f t="shared" si="6"/>
        <v>9.0041756126050157E-2</v>
      </c>
      <c r="F17" s="659">
        <f t="shared" si="6"/>
        <v>9.3113165532072079E-2</v>
      </c>
      <c r="G17" s="659">
        <f t="shared" si="6"/>
        <v>9.6238055747938381E-2</v>
      </c>
      <c r="H17" s="659">
        <f t="shared" si="6"/>
        <v>9.9415654389332669E-2</v>
      </c>
      <c r="I17" s="659">
        <f t="shared" si="6"/>
        <v>0.10264515808999937</v>
      </c>
      <c r="J17" s="659">
        <f t="shared" si="6"/>
        <v>0.1059257350834905</v>
      </c>
      <c r="K17" s="659">
        <f t="shared" si="6"/>
        <v>0.10925652777692882</v>
      </c>
      <c r="L17" s="660">
        <f t="shared" si="7"/>
        <v>0.1126366553050141</v>
      </c>
      <c r="M17" s="660">
        <f t="shared" si="7"/>
        <v>0.11606521605327048</v>
      </c>
      <c r="N17" s="660">
        <f t="shared" si="7"/>
        <v>0.11954129014034573</v>
      </c>
      <c r="O17" s="660">
        <f t="shared" si="7"/>
        <v>0.12306394185001621</v>
      </c>
      <c r="P17" s="659">
        <f t="shared" si="7"/>
        <v>0.12663222200441451</v>
      </c>
      <c r="Q17" s="659">
        <f t="shared" si="7"/>
        <v>0.13024517027086793</v>
      </c>
      <c r="R17" s="659">
        <f t="shared" si="7"/>
        <v>0.13390181739560897</v>
      </c>
      <c r="S17" s="660">
        <f t="shared" si="7"/>
        <v>0.13760118735848212</v>
      </c>
      <c r="T17" s="660">
        <f t="shared" si="7"/>
        <v>0.14134229944361987</v>
      </c>
      <c r="U17" s="660">
        <f t="shared" si="7"/>
        <v>0.14512417022188415</v>
      </c>
      <c r="V17" s="660">
        <f t="shared" si="7"/>
        <v>0.1489458154416663</v>
      </c>
      <c r="W17" s="644"/>
    </row>
    <row r="18" spans="1:23" ht="17.100000000000001" customHeight="1" thickBot="1" x14ac:dyDescent="0.25">
      <c r="A18" s="674">
        <f t="shared" si="3"/>
        <v>15</v>
      </c>
      <c r="B18" s="675">
        <f t="shared" si="6"/>
        <v>7.6377387161254875E-2</v>
      </c>
      <c r="C18" s="676">
        <f t="shared" si="6"/>
        <v>7.9288524964265278E-2</v>
      </c>
      <c r="D18" s="676">
        <f t="shared" si="6"/>
        <v>8.2259173065066013E-2</v>
      </c>
      <c r="E18" s="676">
        <f t="shared" si="6"/>
        <v>8.5288579705928402E-2</v>
      </c>
      <c r="F18" s="676">
        <f t="shared" si="6"/>
        <v>8.8375945222928881E-2</v>
      </c>
      <c r="G18" s="676">
        <f t="shared" si="6"/>
        <v>9.1520425322923232E-2</v>
      </c>
      <c r="H18" s="676">
        <f t="shared" si="6"/>
        <v>9.4721134410869434E-2</v>
      </c>
      <c r="I18" s="676">
        <f t="shared" si="6"/>
        <v>9.7977148946865877E-2</v>
      </c>
      <c r="J18" s="676">
        <f t="shared" si="6"/>
        <v>0.10128751081313309</v>
      </c>
      <c r="K18" s="676">
        <f t="shared" si="6"/>
        <v>0.10465123067216382</v>
      </c>
      <c r="L18" s="677">
        <f t="shared" si="7"/>
        <v>0.10806729129838034</v>
      </c>
      <c r="M18" s="677">
        <f t="shared" si="7"/>
        <v>0.11153465086684602</v>
      </c>
      <c r="N18" s="677">
        <f t="shared" si="7"/>
        <v>0.11505224618385931</v>
      </c>
      <c r="O18" s="677">
        <f t="shared" si="7"/>
        <v>0.11861899584559316</v>
      </c>
      <c r="P18" s="676">
        <f t="shared" si="7"/>
        <v>0.12223380331231215</v>
      </c>
      <c r="Q18" s="676">
        <f t="shared" si="7"/>
        <v>0.12589555988708379</v>
      </c>
      <c r="R18" s="676">
        <f t="shared" si="7"/>
        <v>0.12960314758928435</v>
      </c>
      <c r="S18" s="677">
        <f t="shared" si="7"/>
        <v>0.133355441914567</v>
      </c>
      <c r="T18" s="677">
        <f t="shared" si="7"/>
        <v>0.13715131447429685</v>
      </c>
      <c r="U18" s="677">
        <f t="shared" si="7"/>
        <v>0.14098963550875251</v>
      </c>
      <c r="V18" s="677">
        <f t="shared" si="7"/>
        <v>0.144869276269637</v>
      </c>
      <c r="W18" s="644"/>
    </row>
    <row r="19" spans="1:23" ht="17.100000000000001" customHeight="1" thickTop="1" x14ac:dyDescent="0.2">
      <c r="A19" s="678">
        <f t="shared" si="3"/>
        <v>16</v>
      </c>
      <c r="B19" s="679">
        <f t="shared" ref="B19:K23" si="8">-PMT(B$3,$A19,$Z$4)/$Z$4</f>
        <v>7.2199576434370319E-2</v>
      </c>
      <c r="C19" s="680">
        <f t="shared" si="8"/>
        <v>7.5116629984225497E-2</v>
      </c>
      <c r="D19" s="680">
        <f t="shared" si="8"/>
        <v>7.809709765266537E-2</v>
      </c>
      <c r="E19" s="680">
        <f t="shared" si="8"/>
        <v>8.1140131936366711E-2</v>
      </c>
      <c r="F19" s="680">
        <f t="shared" si="8"/>
        <v>8.4244826956376834E-2</v>
      </c>
      <c r="G19" s="680">
        <f t="shared" si="8"/>
        <v>8.7410222645096805E-2</v>
      </c>
      <c r="H19" s="680">
        <f t="shared" si="8"/>
        <v>9.063530900842777E-2</v>
      </c>
      <c r="I19" s="680">
        <f t="shared" si="8"/>
        <v>9.3919030432906239E-2</v>
      </c>
      <c r="J19" s="680">
        <f t="shared" si="8"/>
        <v>9.7260290008921182E-2</v>
      </c>
      <c r="K19" s="680">
        <f t="shared" si="8"/>
        <v>0.1006579538426037</v>
      </c>
      <c r="L19" s="681">
        <f t="shared" ref="L19:V23" si="9">-PMT(L$3,$A19,$Z$4)/$Z$4</f>
        <v>0.1041108553306772</v>
      </c>
      <c r="M19" s="681">
        <f t="shared" si="9"/>
        <v>0.10761779937440935</v>
      </c>
      <c r="N19" s="681">
        <f t="shared" si="9"/>
        <v>0.11117756651078695</v>
      </c>
      <c r="O19" s="681">
        <f t="shared" si="9"/>
        <v>0.1147889169410983</v>
      </c>
      <c r="P19" s="680">
        <f t="shared" si="9"/>
        <v>0.11845059443922838</v>
      </c>
      <c r="Q19" s="680">
        <f t="shared" si="9"/>
        <v>0.12216133012411293</v>
      </c>
      <c r="R19" s="680">
        <f t="shared" si="9"/>
        <v>0.12591984608293319</v>
      </c>
      <c r="S19" s="681">
        <f t="shared" si="9"/>
        <v>0.12972485883373286</v>
      </c>
      <c r="T19" s="681">
        <f t="shared" si="9"/>
        <v>0.13357508261818668</v>
      </c>
      <c r="U19" s="681">
        <f t="shared" si="9"/>
        <v>0.13746923251721685</v>
      </c>
      <c r="V19" s="681">
        <f t="shared" si="9"/>
        <v>0.14140602738403035</v>
      </c>
      <c r="W19" s="644"/>
    </row>
    <row r="20" spans="1:23" ht="17.100000000000001" customHeight="1" x14ac:dyDescent="0.2">
      <c r="A20" s="654">
        <f t="shared" si="3"/>
        <v>17</v>
      </c>
      <c r="B20" s="658">
        <f t="shared" si="8"/>
        <v>6.8516226490477922E-2</v>
      </c>
      <c r="C20" s="659">
        <f t="shared" si="8"/>
        <v>7.1440392620470874E-2</v>
      </c>
      <c r="D20" s="659">
        <f t="shared" si="8"/>
        <v>7.4431855918015308E-2</v>
      </c>
      <c r="E20" s="659">
        <f t="shared" si="8"/>
        <v>7.7489664613827836E-2</v>
      </c>
      <c r="F20" s="659">
        <f t="shared" si="8"/>
        <v>8.0612796846442819E-2</v>
      </c>
      <c r="G20" s="659">
        <f t="shared" si="8"/>
        <v>8.3800165944599894E-2</v>
      </c>
      <c r="H20" s="659">
        <f t="shared" si="8"/>
        <v>8.7050625816108104E-2</v>
      </c>
      <c r="I20" s="659">
        <f t="shared" si="8"/>
        <v>9.0362976400104433E-2</v>
      </c>
      <c r="J20" s="659">
        <f t="shared" si="8"/>
        <v>9.3735969141467715E-2</v>
      </c>
      <c r="K20" s="659">
        <f t="shared" si="8"/>
        <v>9.7168312448374303E-2</v>
      </c>
      <c r="L20" s="660">
        <f t="shared" si="9"/>
        <v>0.1006586770965243</v>
      </c>
      <c r="M20" s="660">
        <f t="shared" si="9"/>
        <v>0.10420570154636746</v>
      </c>
      <c r="N20" s="660">
        <f t="shared" si="9"/>
        <v>0.10780799714265112</v>
      </c>
      <c r="O20" s="660">
        <f t="shared" si="9"/>
        <v>0.11146415316874231</v>
      </c>
      <c r="P20" s="659">
        <f t="shared" si="9"/>
        <v>0.11517274173138281</v>
      </c>
      <c r="Q20" s="659">
        <f t="shared" si="9"/>
        <v>0.1189323224547689</v>
      </c>
      <c r="R20" s="659">
        <f t="shared" si="9"/>
        <v>0.12274144696605681</v>
      </c>
      <c r="S20" s="660">
        <f t="shared" si="9"/>
        <v>0.1265986631575394</v>
      </c>
      <c r="T20" s="660">
        <f t="shared" si="9"/>
        <v>0.13050251921377964</v>
      </c>
      <c r="U20" s="660">
        <f t="shared" si="9"/>
        <v>0.1344515673948912</v>
      </c>
      <c r="V20" s="660">
        <f t="shared" si="9"/>
        <v>0.13844436756989992</v>
      </c>
      <c r="W20" s="644"/>
    </row>
    <row r="21" spans="1:23" ht="17.100000000000001" customHeight="1" x14ac:dyDescent="0.2">
      <c r="A21" s="654">
        <f t="shared" si="3"/>
        <v>18</v>
      </c>
      <c r="B21" s="658">
        <f t="shared" si="8"/>
        <v>6.5244924434175205E-2</v>
      </c>
      <c r="C21" s="659">
        <f t="shared" si="8"/>
        <v>6.8177195817468769E-2</v>
      </c>
      <c r="D21" s="659">
        <f t="shared" si="8"/>
        <v>7.11806258670689E-2</v>
      </c>
      <c r="E21" s="659">
        <f t="shared" si="8"/>
        <v>7.4254149567598973E-2</v>
      </c>
      <c r="F21" s="659">
        <f t="shared" si="8"/>
        <v>7.7396618818747195E-2</v>
      </c>
      <c r="G21" s="659">
        <f t="shared" si="8"/>
        <v>8.0606809024710013E-2</v>
      </c>
      <c r="H21" s="659">
        <f t="shared" si="8"/>
        <v>8.3883425828410976E-2</v>
      </c>
      <c r="I21" s="659">
        <f t="shared" si="8"/>
        <v>8.7225111930259405E-2</v>
      </c>
      <c r="J21" s="659">
        <f t="shared" si="8"/>
        <v>9.0630453933878821E-2</v>
      </c>
      <c r="K21" s="659">
        <f t="shared" si="8"/>
        <v>9.4097989164498005E-2</v>
      </c>
      <c r="L21" s="660">
        <f t="shared" si="9"/>
        <v>9.7626212409459248E-2</v>
      </c>
      <c r="M21" s="660">
        <f t="shared" si="9"/>
        <v>0.10121358253445505</v>
      </c>
      <c r="N21" s="660">
        <f t="shared" si="9"/>
        <v>0.10485852893355527</v>
      </c>
      <c r="O21" s="660">
        <f t="shared" si="9"/>
        <v>0.10855945777573356</v>
      </c>
      <c r="P21" s="659">
        <f t="shared" si="9"/>
        <v>0.11231475801535375</v>
      </c>
      <c r="Q21" s="659">
        <f t="shared" si="9"/>
        <v>0.11612280713884499</v>
      </c>
      <c r="R21" s="659">
        <f t="shared" si="9"/>
        <v>0.11998197662450769</v>
      </c>
      <c r="S21" s="660">
        <f t="shared" si="9"/>
        <v>0.12389063709697437</v>
      </c>
      <c r="T21" s="660">
        <f t="shared" si="9"/>
        <v>0.12784716316225192</v>
      </c>
      <c r="U21" s="660">
        <f t="shared" si="9"/>
        <v>0.13184993791343591</v>
      </c>
      <c r="V21" s="660">
        <f t="shared" si="9"/>
        <v>0.13589735710108289</v>
      </c>
      <c r="W21" s="644"/>
    </row>
    <row r="22" spans="1:23" ht="17.100000000000001" customHeight="1" x14ac:dyDescent="0.2">
      <c r="A22" s="654">
        <f t="shared" si="3"/>
        <v>19</v>
      </c>
      <c r="B22" s="658">
        <f t="shared" si="8"/>
        <v>6.2320607297928043E-2</v>
      </c>
      <c r="C22" s="659">
        <f t="shared" si="8"/>
        <v>6.5261815171042223E-2</v>
      </c>
      <c r="D22" s="659">
        <f t="shared" si="8"/>
        <v>6.8278020823249616E-2</v>
      </c>
      <c r="E22" s="659">
        <f t="shared" si="8"/>
        <v>7.1368036566957241E-2</v>
      </c>
      <c r="F22" s="659">
        <f t="shared" si="8"/>
        <v>7.4530577339744816E-2</v>
      </c>
      <c r="G22" s="659">
        <f t="shared" si="8"/>
        <v>7.7764268840858866E-2</v>
      </c>
      <c r="H22" s="659">
        <f t="shared" si="8"/>
        <v>8.1067655858011817E-2</v>
      </c>
      <c r="I22" s="659">
        <f t="shared" si="8"/>
        <v>8.4439210701828291E-2</v>
      </c>
      <c r="J22" s="659">
        <f t="shared" si="8"/>
        <v>8.7877341669103437E-2</v>
      </c>
      <c r="K22" s="659">
        <f t="shared" si="8"/>
        <v>9.1380401460775584E-2</v>
      </c>
      <c r="L22" s="660">
        <f t="shared" si="9"/>
        <v>9.4946695486004776E-2</v>
      </c>
      <c r="M22" s="660">
        <f t="shared" si="9"/>
        <v>9.8574489989825986E-2</v>
      </c>
      <c r="N22" s="660">
        <f t="shared" si="9"/>
        <v>0.10226201994834813</v>
      </c>
      <c r="O22" s="660">
        <f t="shared" si="9"/>
        <v>0.10600749668224428</v>
      </c>
      <c r="P22" s="659">
        <f t="shared" si="9"/>
        <v>0.10980911514617449</v>
      </c>
      <c r="Q22" s="659">
        <f t="shared" si="9"/>
        <v>0.11366506085867153</v>
      </c>
      <c r="R22" s="659">
        <f t="shared" si="9"/>
        <v>0.11757351644377857</v>
      </c>
      <c r="S22" s="660">
        <f t="shared" si="9"/>
        <v>0.12153266776225373</v>
      </c>
      <c r="T22" s="660">
        <f t="shared" si="9"/>
        <v>0.12554070961636565</v>
      </c>
      <c r="U22" s="660">
        <f t="shared" si="9"/>
        <v>0.12959585101811949</v>
      </c>
      <c r="V22" s="660">
        <f t="shared" si="9"/>
        <v>0.13369632001612777</v>
      </c>
      <c r="W22" s="644"/>
    </row>
    <row r="23" spans="1:23" ht="17.100000000000001" customHeight="1" thickBot="1" x14ac:dyDescent="0.25">
      <c r="A23" s="674">
        <f t="shared" si="3"/>
        <v>20</v>
      </c>
      <c r="B23" s="675">
        <f t="shared" si="8"/>
        <v>5.9691224560664211E-2</v>
      </c>
      <c r="C23" s="676">
        <f t="shared" si="8"/>
        <v>6.2642070767998229E-2</v>
      </c>
      <c r="D23" s="676">
        <f t="shared" si="8"/>
        <v>6.567173060606897E-2</v>
      </c>
      <c r="E23" s="676">
        <f t="shared" si="8"/>
        <v>6.8778883857226303E-2</v>
      </c>
      <c r="F23" s="676">
        <f t="shared" si="8"/>
        <v>7.1962097329442962E-2</v>
      </c>
      <c r="G23" s="676">
        <f t="shared" si="8"/>
        <v>7.5219834810246383E-2</v>
      </c>
      <c r="H23" s="676">
        <f t="shared" si="8"/>
        <v>7.8550467263651627E-2</v>
      </c>
      <c r="I23" s="676">
        <f t="shared" si="8"/>
        <v>8.1952283158553296E-2</v>
      </c>
      <c r="J23" s="676">
        <f t="shared" si="8"/>
        <v>8.5423498822483276E-2</v>
      </c>
      <c r="K23" s="676">
        <f t="shared" si="8"/>
        <v>8.8962268721446844E-2</v>
      </c>
      <c r="L23" s="677">
        <f t="shared" si="9"/>
        <v>9.2566695574456487E-2</v>
      </c>
      <c r="M23" s="677">
        <f t="shared" si="9"/>
        <v>9.6234840220136064E-2</v>
      </c>
      <c r="N23" s="677">
        <f t="shared" si="9"/>
        <v>9.9964731162113782E-2</v>
      </c>
      <c r="O23" s="677">
        <f t="shared" si="9"/>
        <v>0.10375437372961856</v>
      </c>
      <c r="P23" s="676">
        <f t="shared" si="9"/>
        <v>0.10760175879951764</v>
      </c>
      <c r="Q23" s="676">
        <f t="shared" si="9"/>
        <v>0.11150487103577859</v>
      </c>
      <c r="R23" s="676">
        <f t="shared" si="9"/>
        <v>0.11546169661182948</v>
      </c>
      <c r="S23" s="677">
        <f t="shared" si="9"/>
        <v>0.11947023039037176</v>
      </c>
      <c r="T23" s="677">
        <f t="shared" si="9"/>
        <v>0.12352848254374976</v>
      </c>
      <c r="U23" s="677">
        <f t="shared" si="9"/>
        <v>0.12763448460589757</v>
      </c>
      <c r="V23" s="677">
        <f t="shared" si="9"/>
        <v>0.13178629495409969</v>
      </c>
      <c r="W23" s="644"/>
    </row>
    <row r="24" spans="1:23" ht="17.100000000000001" customHeight="1" thickTop="1" x14ac:dyDescent="0.2">
      <c r="A24" s="678">
        <f t="shared" si="3"/>
        <v>21</v>
      </c>
      <c r="B24" s="679">
        <f t="shared" ref="B24:K28" si="10">-PMT(B$3,$A24,$Z$4)/$Z$4</f>
        <v>5.7314639946797898E-2</v>
      </c>
      <c r="C24" s="680">
        <f t="shared" si="10"/>
        <v>6.0275721357414866E-2</v>
      </c>
      <c r="D24" s="680">
        <f t="shared" si="10"/>
        <v>6.3319408087666854E-2</v>
      </c>
      <c r="E24" s="680">
        <f t="shared" si="10"/>
        <v>6.6444237115066959E-2</v>
      </c>
      <c r="F24" s="680">
        <f t="shared" si="10"/>
        <v>6.9648615529688665E-2</v>
      </c>
      <c r="G24" s="680">
        <f t="shared" si="10"/>
        <v>7.2930832608310958E-2</v>
      </c>
      <c r="H24" s="680">
        <f t="shared" si="10"/>
        <v>7.6289072190964397E-2</v>
      </c>
      <c r="I24" s="680">
        <f t="shared" si="10"/>
        <v>7.9721425211630392E-2</v>
      </c>
      <c r="J24" s="680">
        <f t="shared" si="10"/>
        <v>8.3225902242558741E-2</v>
      </c>
      <c r="K24" s="680">
        <f t="shared" si="10"/>
        <v>8.6800445921341465E-2</v>
      </c>
      <c r="L24" s="681">
        <f t="shared" ref="L24:V28" si="11">-PMT(L$3,$A24,$Z$4)/$Z$4</f>
        <v>9.0442943141129481E-2</v>
      </c>
      <c r="M24" s="681">
        <f t="shared" si="11"/>
        <v>9.4151236896803839E-2</v>
      </c>
      <c r="N24" s="681">
        <f t="shared" si="11"/>
        <v>9.7923137693132906E-2</v>
      </c>
      <c r="O24" s="681">
        <f t="shared" si="11"/>
        <v>0.10175643443459199</v>
      </c>
      <c r="P24" s="680">
        <f t="shared" si="11"/>
        <v>0.10564890473025709</v>
      </c>
      <c r="Q24" s="680">
        <f t="shared" si="11"/>
        <v>0.10959832456070885</v>
      </c>
      <c r="R24" s="680">
        <f t="shared" si="11"/>
        <v>0.11360247726693566</v>
      </c>
      <c r="S24" s="681">
        <f t="shared" si="11"/>
        <v>0.11765916183358806</v>
      </c>
      <c r="T24" s="681">
        <f t="shared" si="11"/>
        <v>0.12176620045044173</v>
      </c>
      <c r="U24" s="681">
        <f t="shared" si="11"/>
        <v>0.12592144534643865</v>
      </c>
      <c r="V24" s="681">
        <f t="shared" si="11"/>
        <v>0.13012278490011142</v>
      </c>
      <c r="W24" s="644"/>
    </row>
    <row r="25" spans="1:23" ht="17.100000000000001" customHeight="1" x14ac:dyDescent="0.2">
      <c r="A25" s="654">
        <f t="shared" si="3"/>
        <v>22</v>
      </c>
      <c r="B25" s="658">
        <f t="shared" si="10"/>
        <v>5.5156378189184341E-2</v>
      </c>
      <c r="C25" s="659">
        <f t="shared" si="10"/>
        <v>5.8128205566239516E-2</v>
      </c>
      <c r="D25" s="659">
        <f t="shared" si="10"/>
        <v>6.1186404870655457E-2</v>
      </c>
      <c r="E25" s="659">
        <f t="shared" si="10"/>
        <v>6.4329359598672087E-2</v>
      </c>
      <c r="F25" s="659">
        <f t="shared" si="10"/>
        <v>6.7555305137536867E-2</v>
      </c>
      <c r="G25" s="659">
        <f t="shared" si="10"/>
        <v>7.0862343296942215E-2</v>
      </c>
      <c r="H25" s="659">
        <f t="shared" si="10"/>
        <v>7.4248457208024476E-2</v>
      </c>
      <c r="I25" s="659">
        <f t="shared" si="10"/>
        <v>7.7711526395611588E-2</v>
      </c>
      <c r="J25" s="659">
        <f t="shared" si="10"/>
        <v>8.1249341840237979E-2</v>
      </c>
      <c r="K25" s="659">
        <f t="shared" si="10"/>
        <v>8.4859620860056439E-2</v>
      </c>
      <c r="L25" s="660">
        <f t="shared" si="11"/>
        <v>8.8540021658574858E-2</v>
      </c>
      <c r="M25" s="660">
        <f t="shared" si="11"/>
        <v>9.2288157401540186E-2</v>
      </c>
      <c r="N25" s="660">
        <f t="shared" si="11"/>
        <v>9.610160970470516E-2</v>
      </c>
      <c r="O25" s="660">
        <f t="shared" si="11"/>
        <v>9.9977941433102846E-2</v>
      </c>
      <c r="P25" s="659">
        <f t="shared" si="11"/>
        <v>0.10391470873132627</v>
      </c>
      <c r="Q25" s="659">
        <f t="shared" si="11"/>
        <v>0.10790947222273259</v>
      </c>
      <c r="R25" s="659">
        <f t="shared" si="11"/>
        <v>0.11195980733309364</v>
      </c>
      <c r="S25" s="660">
        <f t="shared" si="11"/>
        <v>0.11606331371070097</v>
      </c>
      <c r="T25" s="660">
        <f t="shared" si="11"/>
        <v>0.12021762373007246</v>
      </c>
      <c r="U25" s="660">
        <f t="shared" si="11"/>
        <v>0.12442041008003801</v>
      </c>
      <c r="V25" s="660">
        <f t="shared" si="11"/>
        <v>0.12866939244900469</v>
      </c>
      <c r="W25" s="644"/>
    </row>
    <row r="26" spans="1:23" ht="17.100000000000001" customHeight="1" x14ac:dyDescent="0.2">
      <c r="A26" s="654">
        <f t="shared" si="3"/>
        <v>23</v>
      </c>
      <c r="B26" s="658">
        <f t="shared" si="10"/>
        <v>5.3187959593068712E-2</v>
      </c>
      <c r="C26" s="659">
        <f t="shared" si="10"/>
        <v>5.6170972363101951E-2</v>
      </c>
      <c r="D26" s="659">
        <f t="shared" si="10"/>
        <v>5.9244097659036057E-2</v>
      </c>
      <c r="E26" s="659">
        <f t="shared" si="10"/>
        <v>6.2405554433520458E-2</v>
      </c>
      <c r="F26" s="659">
        <f t="shared" si="10"/>
        <v>6.5653394014247107E-2</v>
      </c>
      <c r="G26" s="659">
        <f t="shared" si="10"/>
        <v>6.8985517465877999E-2</v>
      </c>
      <c r="H26" s="659">
        <f t="shared" si="10"/>
        <v>7.2399693388942643E-2</v>
      </c>
      <c r="I26" s="659">
        <f t="shared" si="10"/>
        <v>7.5893575904241409E-2</v>
      </c>
      <c r="J26" s="659">
        <f t="shared" si="10"/>
        <v>7.9464722586390354E-2</v>
      </c>
      <c r="K26" s="659">
        <f t="shared" si="10"/>
        <v>8.3110612129088324E-2</v>
      </c>
      <c r="L26" s="660">
        <f t="shared" si="11"/>
        <v>8.6828661546607011E-2</v>
      </c>
      <c r="M26" s="660">
        <f t="shared" si="11"/>
        <v>9.0616242740024291E-2</v>
      </c>
      <c r="N26" s="660">
        <f t="shared" si="11"/>
        <v>9.4470698281992782E-2</v>
      </c>
      <c r="O26" s="660">
        <f t="shared" si="11"/>
        <v>9.8389356299574293E-2</v>
      </c>
      <c r="P26" s="659">
        <f t="shared" si="11"/>
        <v>0.10236954436017152</v>
      </c>
      <c r="Q26" s="659">
        <f t="shared" si="11"/>
        <v>0.1064086022902372</v>
      </c>
      <c r="R26" s="659">
        <f t="shared" si="11"/>
        <v>0.11050389387973815</v>
      </c>
      <c r="S26" s="660">
        <f t="shared" si="11"/>
        <v>0.11465281744689333</v>
      </c>
      <c r="T26" s="660">
        <f t="shared" si="11"/>
        <v>0.11885281525720477</v>
      </c>
      <c r="U26" s="660">
        <f t="shared" si="11"/>
        <v>0.1231013818080637</v>
      </c>
      <c r="V26" s="660">
        <f t="shared" si="11"/>
        <v>0.12739607100514097</v>
      </c>
      <c r="W26" s="644"/>
    </row>
    <row r="27" spans="1:23" ht="17.100000000000001" customHeight="1" x14ac:dyDescent="0.2">
      <c r="A27" s="654">
        <f t="shared" si="3"/>
        <v>24</v>
      </c>
      <c r="B27" s="658">
        <f t="shared" si="10"/>
        <v>5.1385650959072722E-2</v>
      </c>
      <c r="C27" s="659">
        <f t="shared" si="10"/>
        <v>5.4380228906278034E-2</v>
      </c>
      <c r="D27" s="659">
        <f t="shared" si="10"/>
        <v>5.7468633036701876E-2</v>
      </c>
      <c r="E27" s="659">
        <f t="shared" si="10"/>
        <v>6.0648906327458209E-2</v>
      </c>
      <c r="F27" s="659">
        <f t="shared" si="10"/>
        <v>6.3918903343605102E-2</v>
      </c>
      <c r="G27" s="659">
        <f t="shared" si="10"/>
        <v>6.7276310841576425E-2</v>
      </c>
      <c r="H27" s="659">
        <f t="shared" si="10"/>
        <v>7.0718668881054894E-2</v>
      </c>
      <c r="I27" s="659">
        <f t="shared" si="10"/>
        <v>7.4243392123686691E-2</v>
      </c>
      <c r="J27" s="659">
        <f t="shared" si="10"/>
        <v>7.7847791017906565E-2</v>
      </c>
      <c r="K27" s="659">
        <f t="shared" si="10"/>
        <v>8.1529092595237065E-2</v>
      </c>
      <c r="L27" s="660">
        <f t="shared" si="11"/>
        <v>8.5284460633474141E-2</v>
      </c>
      <c r="M27" s="660">
        <f t="shared" si="11"/>
        <v>8.9111014974900524E-2</v>
      </c>
      <c r="N27" s="660">
        <f t="shared" si="11"/>
        <v>9.3005849821865424E-2</v>
      </c>
      <c r="O27" s="660">
        <f t="shared" si="11"/>
        <v>9.6966050866611489E-2</v>
      </c>
      <c r="P27" s="659">
        <f t="shared" si="11"/>
        <v>0.10098871114613564</v>
      </c>
      <c r="Q27" s="659">
        <f t="shared" si="11"/>
        <v>0.10507094554529561</v>
      </c>
      <c r="R27" s="659">
        <f t="shared" si="11"/>
        <v>0.10920990390164843</v>
      </c>
      <c r="S27" s="660">
        <f t="shared" si="11"/>
        <v>0.11340278269311631</v>
      </c>
      <c r="T27" s="660">
        <f t="shared" si="11"/>
        <v>0.11764683531416506</v>
      </c>
      <c r="U27" s="660">
        <f t="shared" si="11"/>
        <v>0.12193938096754602</v>
      </c>
      <c r="V27" s="660">
        <f t="shared" si="11"/>
        <v>0.12627781221671106</v>
      </c>
      <c r="W27" s="644"/>
    </row>
    <row r="28" spans="1:23" ht="17.100000000000001" customHeight="1" thickBot="1" x14ac:dyDescent="0.25">
      <c r="A28" s="674">
        <f t="shared" si="3"/>
        <v>25</v>
      </c>
      <c r="B28" s="675">
        <f t="shared" si="10"/>
        <v>4.9729516284687997E-2</v>
      </c>
      <c r="C28" s="676">
        <f t="shared" si="10"/>
        <v>5.2735988908240251E-2</v>
      </c>
      <c r="D28" s="676">
        <f t="shared" si="10"/>
        <v>5.5839973499395269E-2</v>
      </c>
      <c r="E28" s="676">
        <f t="shared" si="10"/>
        <v>5.9039325274868756E-2</v>
      </c>
      <c r="F28" s="676">
        <f t="shared" si="10"/>
        <v>6.2331689013681142E-2</v>
      </c>
      <c r="G28" s="676">
        <f t="shared" si="10"/>
        <v>6.5714523352476198E-2</v>
      </c>
      <c r="H28" s="676">
        <f t="shared" si="10"/>
        <v>6.918512565987045E-2</v>
      </c>
      <c r="I28" s="676">
        <f t="shared" si="10"/>
        <v>7.2740657083030208E-2</v>
      </c>
      <c r="J28" s="676">
        <f t="shared" si="10"/>
        <v>7.6378167388263932E-2</v>
      </c>
      <c r="K28" s="676">
        <f t="shared" si="10"/>
        <v>8.009461925298271E-2</v>
      </c>
      <c r="L28" s="677">
        <f t="shared" si="11"/>
        <v>8.388691170708687E-2</v>
      </c>
      <c r="M28" s="677">
        <f t="shared" si="11"/>
        <v>8.7751902465868767E-2</v>
      </c>
      <c r="N28" s="677">
        <f t="shared" si="11"/>
        <v>9.168642894216214E-2</v>
      </c>
      <c r="O28" s="677">
        <f t="shared" si="11"/>
        <v>9.5687327771158653E-2</v>
      </c>
      <c r="P28" s="676">
        <f t="shared" si="11"/>
        <v>9.9751452725699449E-2</v>
      </c>
      <c r="Q28" s="676">
        <f t="shared" si="11"/>
        <v>0.10387569094180871</v>
      </c>
      <c r="R28" s="676">
        <f t="shared" si="11"/>
        <v>0.10805697741289437</v>
      </c>
      <c r="S28" s="677">
        <f t="shared" si="11"/>
        <v>0.11229230774575978</v>
      </c>
      <c r="T28" s="677">
        <f t="shared" si="11"/>
        <v>0.11657874920194521</v>
      </c>
      <c r="U28" s="677">
        <f t="shared" si="11"/>
        <v>0.12091345007375143</v>
      </c>
      <c r="V28" s="677">
        <f t="shared" si="11"/>
        <v>0.12529364746557051</v>
      </c>
      <c r="W28" s="644"/>
    </row>
    <row r="29" spans="1:23" ht="17.100000000000001" customHeight="1" thickTop="1" x14ac:dyDescent="0.2">
      <c r="A29" s="678">
        <f t="shared" si="3"/>
        <v>26</v>
      </c>
      <c r="B29" s="679">
        <f t="shared" ref="B29:K33" si="12">-PMT(B$3,$A29,$Z$4)/$Z$4</f>
        <v>4.8202686534678053E-2</v>
      </c>
      <c r="C29" s="680">
        <f t="shared" si="12"/>
        <v>5.1221340608481589E-2</v>
      </c>
      <c r="D29" s="680">
        <f t="shared" si="12"/>
        <v>5.4341163633412584E-2</v>
      </c>
      <c r="E29" s="680">
        <f t="shared" si="12"/>
        <v>5.7559810945151252E-2</v>
      </c>
      <c r="F29" s="680">
        <f t="shared" si="12"/>
        <v>6.0874704219485404E-2</v>
      </c>
      <c r="G29" s="680">
        <f t="shared" si="12"/>
        <v>6.4283059950660151E-2</v>
      </c>
      <c r="H29" s="680">
        <f t="shared" si="12"/>
        <v>6.7781918574659372E-2</v>
      </c>
      <c r="I29" s="680">
        <f t="shared" si="12"/>
        <v>7.1368173728092024E-2</v>
      </c>
      <c r="J29" s="680">
        <f t="shared" si="12"/>
        <v>7.5038601172179226E-2</v>
      </c>
      <c r="K29" s="680">
        <f t="shared" si="12"/>
        <v>7.8789886959303182E-2</v>
      </c>
      <c r="L29" s="681">
        <f t="shared" ref="L29:V33" si="13">-PMT(L$3,$A29,$Z$4)/$Z$4</f>
        <v>8.2618654474089004E-2</v>
      </c>
      <c r="M29" s="681">
        <f t="shared" si="13"/>
        <v>8.6521490039496718E-2</v>
      </c>
      <c r="N29" s="681">
        <f t="shared" si="13"/>
        <v>9.0494966838516724E-2</v>
      </c>
      <c r="O29" s="681">
        <f t="shared" si="13"/>
        <v>9.4535666961654316E-2</v>
      </c>
      <c r="P29" s="680">
        <f t="shared" si="13"/>
        <v>9.864020144764038E-2</v>
      </c>
      <c r="Q29" s="680">
        <f t="shared" si="13"/>
        <v>0.1028052282382477</v>
      </c>
      <c r="R29" s="680">
        <f t="shared" si="13"/>
        <v>0.10702746801662037</v>
      </c>
      <c r="S29" s="681">
        <f t="shared" si="13"/>
        <v>0.11130371794137955</v>
      </c>
      <c r="T29" s="681">
        <f t="shared" si="13"/>
        <v>0.11563086332552368</v>
      </c>
      <c r="U29" s="681">
        <f t="shared" si="13"/>
        <v>0.12000588733964954</v>
      </c>
      <c r="V29" s="681">
        <f t="shared" si="13"/>
        <v>0.12442587884337895</v>
      </c>
      <c r="W29" s="644"/>
    </row>
    <row r="30" spans="1:23" ht="17.100000000000001" customHeight="1" x14ac:dyDescent="0.2">
      <c r="A30" s="654">
        <f t="shared" si="3"/>
        <v>27</v>
      </c>
      <c r="B30" s="658">
        <f t="shared" si="12"/>
        <v>4.6790791684745703E-2</v>
      </c>
      <c r="C30" s="659">
        <f t="shared" si="12"/>
        <v>4.9821877419132986E-2</v>
      </c>
      <c r="D30" s="659">
        <f t="shared" si="12"/>
        <v>5.2957759365966549E-2</v>
      </c>
      <c r="E30" s="659">
        <f t="shared" si="12"/>
        <v>5.6195880541030641E-2</v>
      </c>
      <c r="F30" s="659">
        <f t="shared" si="12"/>
        <v>5.9533425932879414E-2</v>
      </c>
      <c r="G30" s="659">
        <f t="shared" si="12"/>
        <v>6.2967355697336774E-2</v>
      </c>
      <c r="H30" s="659">
        <f t="shared" si="12"/>
        <v>6.6494439053372364E-2</v>
      </c>
      <c r="I30" s="659">
        <f t="shared" si="12"/>
        <v>7.0111288248777742E-2</v>
      </c>
      <c r="J30" s="659">
        <f t="shared" si="12"/>
        <v>7.3814392016301411E-2</v>
      </c>
      <c r="K30" s="659">
        <f t="shared" si="12"/>
        <v>7.7600148004926317E-2</v>
      </c>
      <c r="L30" s="660">
        <f t="shared" si="13"/>
        <v>8.1464893743155839E-2</v>
      </c>
      <c r="M30" s="660">
        <f t="shared" si="13"/>
        <v>8.5404935767986523E-2</v>
      </c>
      <c r="N30" s="660">
        <f t="shared" si="13"/>
        <v>8.9416576631427075E-2</v>
      </c>
      <c r="O30" s="660">
        <f t="shared" si="13"/>
        <v>9.3496139573107193E-2</v>
      </c>
      <c r="P30" s="659">
        <f t="shared" si="13"/>
        <v>9.763999072031164E-2</v>
      </c>
      <c r="Q30" s="659">
        <f t="shared" si="13"/>
        <v>0.10184455874380509</v>
      </c>
      <c r="R30" s="659">
        <f t="shared" si="13"/>
        <v>0.10610635195772518</v>
      </c>
      <c r="S30" s="660">
        <f t="shared" si="13"/>
        <v>0.11042197290376016</v>
      </c>
      <c r="T30" s="660">
        <f t="shared" si="13"/>
        <v>0.11478813050338786</v>
      </c>
      <c r="U30" s="660">
        <f t="shared" si="13"/>
        <v>0.11920164989710748</v>
      </c>
      <c r="V30" s="660">
        <f t="shared" si="13"/>
        <v>0.12365948011664683</v>
      </c>
      <c r="W30" s="644"/>
    </row>
    <row r="31" spans="1:23" ht="17.100000000000001" customHeight="1" x14ac:dyDescent="0.2">
      <c r="A31" s="654">
        <f t="shared" si="3"/>
        <v>28</v>
      </c>
      <c r="B31" s="658">
        <f t="shared" si="12"/>
        <v>4.5481514470149254E-2</v>
      </c>
      <c r="C31" s="659">
        <f t="shared" si="12"/>
        <v>4.8525250575174421E-2</v>
      </c>
      <c r="D31" s="659">
        <f t="shared" si="12"/>
        <v>5.1677379519284632E-2</v>
      </c>
      <c r="E31" s="659">
        <f t="shared" si="12"/>
        <v>5.4935119259215973E-2</v>
      </c>
      <c r="F31" s="659">
        <f t="shared" si="12"/>
        <v>5.829540427285701E-2</v>
      </c>
      <c r="G31" s="659">
        <f t="shared" si="12"/>
        <v>6.175492404600666E-2</v>
      </c>
      <c r="H31" s="659">
        <f t="shared" si="12"/>
        <v>6.531016230167308E-2</v>
      </c>
      <c r="I31" s="659">
        <f t="shared" si="12"/>
        <v>6.8957436195816957E-2</v>
      </c>
      <c r="J31" s="659">
        <f t="shared" si="12"/>
        <v>7.2692934773082959E-2</v>
      </c>
      <c r="K31" s="659">
        <f t="shared" si="12"/>
        <v>7.6512756060662004E-2</v>
      </c>
      <c r="L31" s="660">
        <f t="shared" si="13"/>
        <v>8.0412942272976323E-2</v>
      </c>
      <c r="M31" s="660">
        <f t="shared" si="13"/>
        <v>8.4389512699567307E-2</v>
      </c>
      <c r="N31" s="660">
        <f t="shared" si="13"/>
        <v>8.8438493949003605E-2</v>
      </c>
      <c r="O31" s="660">
        <f t="shared" si="13"/>
        <v>9.2555947319027582E-2</v>
      </c>
      <c r="P31" s="659">
        <f t="shared" si="13"/>
        <v>9.6737993154437998E-2</v>
      </c>
      <c r="Q31" s="659">
        <f t="shared" si="13"/>
        <v>0.1009808321370291</v>
      </c>
      <c r="R31" s="659">
        <f t="shared" si="13"/>
        <v>0.10528076352467607</v>
      </c>
      <c r="S31" s="660">
        <f t="shared" si="13"/>
        <v>0.10963420041846271</v>
      </c>
      <c r="T31" s="660">
        <f t="shared" si="13"/>
        <v>0.11403768218728422</v>
      </c>
      <c r="U31" s="660">
        <f t="shared" si="13"/>
        <v>0.11848788421883005</v>
      </c>
      <c r="V31" s="660">
        <f t="shared" si="13"/>
        <v>0.12298162519485656</v>
      </c>
      <c r="W31" s="644"/>
    </row>
    <row r="32" spans="1:23" ht="17.100000000000001" customHeight="1" x14ac:dyDescent="0.2">
      <c r="A32" s="654">
        <f t="shared" si="3"/>
        <v>29</v>
      </c>
      <c r="B32" s="658">
        <f t="shared" si="12"/>
        <v>4.426423646221072E-2</v>
      </c>
      <c r="C32" s="659">
        <f t="shared" si="12"/>
        <v>4.7320814339853169E-2</v>
      </c>
      <c r="D32" s="659">
        <f t="shared" si="12"/>
        <v>5.0489350146844421E-2</v>
      </c>
      <c r="E32" s="659">
        <f t="shared" si="12"/>
        <v>5.3766823759711486E-2</v>
      </c>
      <c r="F32" s="659">
        <f t="shared" si="12"/>
        <v>5.7149905110516201E-2</v>
      </c>
      <c r="G32" s="659">
        <f t="shared" si="12"/>
        <v>6.0634998585768124E-2</v>
      </c>
      <c r="H32" s="659">
        <f t="shared" si="12"/>
        <v>6.421828818678782E-2</v>
      </c>
      <c r="I32" s="659">
        <f t="shared" si="12"/>
        <v>6.7895782505976415E-2</v>
      </c>
      <c r="J32" s="659">
        <f t="shared" si="12"/>
        <v>7.1663358665447777E-2</v>
      </c>
      <c r="K32" s="659">
        <f t="shared" si="12"/>
        <v>7.5516804475164401E-2</v>
      </c>
      <c r="L32" s="660">
        <f t="shared" si="13"/>
        <v>7.9451858190267538E-2</v>
      </c>
      <c r="M32" s="660">
        <f t="shared" si="13"/>
        <v>8.3464245375232921E-2</v>
      </c>
      <c r="N32" s="660">
        <f t="shared" si="13"/>
        <v>8.7549712509998837E-2</v>
      </c>
      <c r="O32" s="660">
        <f t="shared" si="13"/>
        <v>9.1704057095385746E-2</v>
      </c>
      <c r="P32" s="659">
        <f t="shared" si="13"/>
        <v>9.592315412805906E-2</v>
      </c>
      <c r="Q32" s="659">
        <f t="shared" si="13"/>
        <v>0.10020297891614299</v>
      </c>
      <c r="R32" s="659">
        <f t="shared" si="13"/>
        <v>0.10453962629356152</v>
      </c>
      <c r="S32" s="660">
        <f t="shared" si="13"/>
        <v>0.10892932636338379</v>
      </c>
      <c r="T32" s="660">
        <f t="shared" si="13"/>
        <v>0.11336845695780078</v>
      </c>
      <c r="U32" s="660">
        <f t="shared" si="13"/>
        <v>0.11785355304542446</v>
      </c>
      <c r="V32" s="660">
        <f t="shared" si="13"/>
        <v>0.12238131334642756</v>
      </c>
      <c r="W32" s="644"/>
    </row>
    <row r="33" spans="1:23" ht="17.100000000000001" customHeight="1" thickBot="1" x14ac:dyDescent="0.25">
      <c r="A33" s="674">
        <f t="shared" si="3"/>
        <v>30</v>
      </c>
      <c r="B33" s="675">
        <f t="shared" si="12"/>
        <v>4.3129754929540999E-2</v>
      </c>
      <c r="C33" s="676">
        <f t="shared" si="12"/>
        <v>4.6199342169092869E-2</v>
      </c>
      <c r="D33" s="676">
        <f t="shared" si="12"/>
        <v>4.9384420002573877E-2</v>
      </c>
      <c r="E33" s="676">
        <f t="shared" si="12"/>
        <v>5.2681716941736741E-2</v>
      </c>
      <c r="F33" s="676">
        <f t="shared" si="12"/>
        <v>5.6087624153891361E-2</v>
      </c>
      <c r="G33" s="676">
        <f t="shared" si="12"/>
        <v>5.9598246437227699E-2</v>
      </c>
      <c r="H33" s="676">
        <f t="shared" si="12"/>
        <v>6.3209453946024938E-2</v>
      </c>
      <c r="I33" s="676">
        <f t="shared" si="12"/>
        <v>6.6916933523089597E-2</v>
      </c>
      <c r="J33" s="676">
        <f t="shared" si="12"/>
        <v>7.0716238617214211E-2</v>
      </c>
      <c r="K33" s="676">
        <f t="shared" si="12"/>
        <v>7.4602836906873249E-2</v>
      </c>
      <c r="L33" s="677">
        <f t="shared" si="13"/>
        <v>7.8572154908608124E-2</v>
      </c>
      <c r="M33" s="677">
        <f t="shared" si="13"/>
        <v>8.2619619010995335E-2</v>
      </c>
      <c r="N33" s="677">
        <f t="shared" si="13"/>
        <v>8.6740692535152916E-2</v>
      </c>
      <c r="O33" s="677">
        <f t="shared" si="13"/>
        <v>9.093090857413709E-2</v>
      </c>
      <c r="P33" s="676">
        <f t="shared" si="13"/>
        <v>9.5185898501488203E-2</v>
      </c>
      <c r="Q33" s="676">
        <f t="shared" si="13"/>
        <v>9.9501416160253917E-2</v>
      </c>
      <c r="R33" s="676">
        <f t="shared" si="13"/>
        <v>0.10387335784609555</v>
      </c>
      <c r="S33" s="677">
        <f t="shared" si="13"/>
        <v>0.10829777828084687</v>
      </c>
      <c r="T33" s="677">
        <f t="shared" si="13"/>
        <v>0.11277090283645713</v>
      </c>
      <c r="U33" s="677">
        <f t="shared" si="13"/>
        <v>0.11728913631471627</v>
      </c>
      <c r="V33" s="677">
        <f t="shared" si="13"/>
        <v>0.12184906861721864</v>
      </c>
      <c r="W33" s="644"/>
    </row>
    <row r="34" spans="1:23" ht="17.100000000000001" customHeight="1" thickTop="1" x14ac:dyDescent="0.2">
      <c r="A34" s="678">
        <f t="shared" si="3"/>
        <v>31</v>
      </c>
      <c r="B34" s="679">
        <f t="shared" ref="B34:K38" si="14">-PMT(B$3,$A34,$Z$4)/$Z$4</f>
        <v>4.2070054500336039E-2</v>
      </c>
      <c r="C34" s="680">
        <f t="shared" si="14"/>
        <v>4.5152797811893915E-2</v>
      </c>
      <c r="D34" s="680">
        <f t="shared" si="14"/>
        <v>4.8354531080726543E-2</v>
      </c>
      <c r="E34" s="680">
        <f t="shared" si="14"/>
        <v>5.1671717924738833E-2</v>
      </c>
      <c r="F34" s="680">
        <f t="shared" si="14"/>
        <v>5.5100456371963695E-2</v>
      </c>
      <c r="G34" s="680">
        <f t="shared" si="14"/>
        <v>5.8636537121232984E-2</v>
      </c>
      <c r="H34" s="680">
        <f t="shared" si="14"/>
        <v>6.227550250114916E-2</v>
      </c>
      <c r="I34" s="680">
        <f t="shared" si="14"/>
        <v>6.6012704757138996E-2</v>
      </c>
      <c r="J34" s="680">
        <f t="shared" si="14"/>
        <v>6.9843362452672281E-2</v>
      </c>
      <c r="K34" s="680">
        <f t="shared" si="14"/>
        <v>7.37626139548542E-2</v>
      </c>
      <c r="L34" s="681">
        <f t="shared" ref="L34:V38" si="15">-PMT(L$3,$A34,$Z$4)/$Z$4</f>
        <v>7.7765567174359618E-2</v>
      </c>
      <c r="M34" s="681">
        <f t="shared" si="15"/>
        <v>8.1847344933800401E-2</v>
      </c>
      <c r="N34" s="681">
        <f t="shared" si="15"/>
        <v>8.6003125537331429E-2</v>
      </c>
      <c r="O34" s="681">
        <f t="shared" si="15"/>
        <v>9.022817829972056E-2</v>
      </c>
      <c r="P34" s="680">
        <f t="shared" si="15"/>
        <v>9.451789395937675E-2</v>
      </c>
      <c r="Q34" s="680">
        <f t="shared" si="15"/>
        <v>9.886781004312363E-2</v>
      </c>
      <c r="R34" s="680">
        <f t="shared" si="15"/>
        <v>0.10327363136884779</v>
      </c>
      <c r="S34" s="681">
        <f t="shared" si="15"/>
        <v>0.10773124596517751</v>
      </c>
      <c r="T34" s="681">
        <f t="shared" si="15"/>
        <v>0.11223673675598597</v>
      </c>
      <c r="U34" s="681">
        <f t="shared" si="15"/>
        <v>0.11678638940365324</v>
      </c>
      <c r="V34" s="681">
        <f t="shared" si="15"/>
        <v>0.12137669673120934</v>
      </c>
      <c r="W34" s="644"/>
    </row>
    <row r="35" spans="1:23" ht="17.100000000000001" customHeight="1" x14ac:dyDescent="0.2">
      <c r="A35" s="654">
        <f t="shared" si="3"/>
        <v>32</v>
      </c>
      <c r="B35" s="658">
        <f t="shared" si="14"/>
        <v>4.1078121638009432E-2</v>
      </c>
      <c r="C35" s="659">
        <f t="shared" si="14"/>
        <v>4.4174149329475311E-2</v>
      </c>
      <c r="D35" s="659">
        <f t="shared" si="14"/>
        <v>4.7392632179715045E-2</v>
      </c>
      <c r="E35" s="659">
        <f t="shared" si="14"/>
        <v>5.0729755158359056E-2</v>
      </c>
      <c r="F35" s="659">
        <f t="shared" si="14"/>
        <v>5.4181308652338285E-2</v>
      </c>
      <c r="G35" s="659">
        <f t="shared" si="14"/>
        <v>5.7742754765590577E-2</v>
      </c>
      <c r="H35" s="659">
        <f t="shared" si="14"/>
        <v>6.1409294214504563E-2</v>
      </c>
      <c r="I35" s="659">
        <f t="shared" si="14"/>
        <v>6.5175932188085414E-2</v>
      </c>
      <c r="J35" s="659">
        <f t="shared" si="14"/>
        <v>6.9037541742909422E-2</v>
      </c>
      <c r="K35" s="659">
        <f t="shared" si="14"/>
        <v>7.2988923537179257E-2</v>
      </c>
      <c r="L35" s="660">
        <f t="shared" si="15"/>
        <v>7.7024860959580901E-2</v>
      </c>
      <c r="M35" s="660">
        <f t="shared" si="15"/>
        <v>8.114016996258594E-2</v>
      </c>
      <c r="N35" s="660">
        <f t="shared" si="15"/>
        <v>8.5329743153938223E-2</v>
      </c>
      <c r="O35" s="660">
        <f t="shared" si="15"/>
        <v>8.9588587924569293E-2</v>
      </c>
      <c r="P35" s="659">
        <f t="shared" si="15"/>
        <v>9.3911858589163663E-2</v>
      </c>
      <c r="Q35" s="659">
        <f t="shared" si="15"/>
        <v>9.8294882682816734E-2</v>
      </c>
      <c r="R35" s="659">
        <f t="shared" si="15"/>
        <v>0.10273318169191116</v>
      </c>
      <c r="S35" s="660">
        <f t="shared" si="15"/>
        <v>0.10722248659973427</v>
      </c>
      <c r="T35" s="660">
        <f t="shared" si="15"/>
        <v>0.11175874869931146</v>
      </c>
      <c r="U35" s="660">
        <f t="shared" si="15"/>
        <v>0.11633814617040784</v>
      </c>
      <c r="V35" s="660">
        <f t="shared" si="15"/>
        <v>0.12095708693832308</v>
      </c>
      <c r="W35" s="644"/>
    </row>
    <row r="36" spans="1:23" ht="17.100000000000001" customHeight="1" x14ac:dyDescent="0.2">
      <c r="A36" s="654">
        <f t="shared" si="3"/>
        <v>33</v>
      </c>
      <c r="B36" s="658">
        <f t="shared" si="14"/>
        <v>4.0147792848544486E-2</v>
      </c>
      <c r="C36" s="659">
        <f t="shared" si="14"/>
        <v>4.3257216929181337E-2</v>
      </c>
      <c r="D36" s="659">
        <f t="shared" si="14"/>
        <v>4.649252636360135E-2</v>
      </c>
      <c r="E36" s="659">
        <f t="shared" si="14"/>
        <v>4.984961351276436E-2</v>
      </c>
      <c r="F36" s="659">
        <f t="shared" si="14"/>
        <v>5.3323946521745484E-2</v>
      </c>
      <c r="G36" s="659">
        <f t="shared" si="14"/>
        <v>5.6910644456712511E-2</v>
      </c>
      <c r="H36" s="659">
        <f t="shared" si="14"/>
        <v>6.0604552871659306E-2</v>
      </c>
      <c r="I36" s="659">
        <f t="shared" si="14"/>
        <v>6.4400317877110203E-2</v>
      </c>
      <c r="J36" s="659">
        <f t="shared" si="14"/>
        <v>6.8292457039534044E-2</v>
      </c>
      <c r="K36" s="659">
        <f t="shared" si="14"/>
        <v>7.2275425735618792E-2</v>
      </c>
      <c r="L36" s="660">
        <f t="shared" si="15"/>
        <v>7.6343677899036316E-2</v>
      </c>
      <c r="M36" s="660">
        <f t="shared" si="15"/>
        <v>8.0491720410208203E-2</v>
      </c>
      <c r="N36" s="660">
        <f t="shared" si="15"/>
        <v>8.4714160676353706E-2</v>
      </c>
      <c r="O36" s="660">
        <f t="shared" si="15"/>
        <v>8.9005747217921496E-2</v>
      </c>
      <c r="P36" s="659">
        <f t="shared" si="15"/>
        <v>9.3361403310348201E-2</v>
      </c>
      <c r="Q36" s="659">
        <f t="shared" si="15"/>
        <v>9.7776253922499848E-2</v>
      </c>
      <c r="R36" s="659">
        <f t="shared" si="15"/>
        <v>0.10224564634382539</v>
      </c>
      <c r="S36" s="660">
        <f t="shared" si="15"/>
        <v>0.10676516500241696</v>
      </c>
      <c r="T36" s="660">
        <f t="shared" si="15"/>
        <v>0.11133064104896312</v>
      </c>
      <c r="U36" s="660">
        <f t="shared" si="15"/>
        <v>0.11593815732139458</v>
      </c>
      <c r="V36" s="660">
        <f t="shared" si="15"/>
        <v>0.12058404931696846</v>
      </c>
      <c r="W36" s="644"/>
    </row>
    <row r="37" spans="1:23" ht="17.100000000000001" customHeight="1" x14ac:dyDescent="0.2">
      <c r="A37" s="654">
        <f t="shared" si="3"/>
        <v>34</v>
      </c>
      <c r="B37" s="658">
        <f t="shared" si="14"/>
        <v>3.9273629674799714E-2</v>
      </c>
      <c r="C37" s="659">
        <f t="shared" si="14"/>
        <v>4.2396547651287808E-2</v>
      </c>
      <c r="D37" s="659">
        <f t="shared" si="14"/>
        <v>4.5648745342307825E-2</v>
      </c>
      <c r="E37" s="659">
        <f t="shared" si="14"/>
        <v>4.902580835336319E-2</v>
      </c>
      <c r="F37" s="659">
        <f t="shared" si="14"/>
        <v>5.2522867916369738E-2</v>
      </c>
      <c r="G37" s="659">
        <f t="shared" si="14"/>
        <v>5.613468570620752E-2</v>
      </c>
      <c r="H37" s="659">
        <f t="shared" si="14"/>
        <v>5.9855738843641433E-2</v>
      </c>
      <c r="I37" s="659">
        <f t="shared" si="14"/>
        <v>6.3680302821446683E-2</v>
      </c>
      <c r="J37" s="659">
        <f t="shared" si="14"/>
        <v>6.7602530415165743E-2</v>
      </c>
      <c r="K37" s="659">
        <f t="shared" si="14"/>
        <v>7.1616525009339377E-2</v>
      </c>
      <c r="L37" s="660">
        <f t="shared" si="15"/>
        <v>7.5716407157515597E-2</v>
      </c>
      <c r="M37" s="660">
        <f t="shared" si="15"/>
        <v>7.9896373576258548E-2</v>
      </c>
      <c r="N37" s="660">
        <f t="shared" si="15"/>
        <v>8.4150748130600098E-2</v>
      </c>
      <c r="O37" s="660">
        <f t="shared" si="15"/>
        <v>8.8474024686776634E-2</v>
      </c>
      <c r="P37" s="659">
        <f t="shared" si="15"/>
        <v>9.2860901978615434E-2</v>
      </c>
      <c r="Q37" s="659">
        <f t="shared" si="15"/>
        <v>9.7306310852186051E-2</v>
      </c>
      <c r="R37" s="659">
        <f t="shared" si="15"/>
        <v>0.10180543441887641</v>
      </c>
      <c r="S37" s="660">
        <f t="shared" si="15"/>
        <v>0.10635372176256348</v>
      </c>
      <c r="T37" s="660">
        <f t="shared" si="15"/>
        <v>0.11094689591690503</v>
      </c>
      <c r="U37" s="660">
        <f t="shared" si="15"/>
        <v>0.11558095686023254</v>
      </c>
      <c r="V37" s="660">
        <f t="shared" si="15"/>
        <v>0.12025218027496314</v>
      </c>
      <c r="W37" s="644"/>
    </row>
    <row r="38" spans="1:23" ht="17.100000000000001" customHeight="1" x14ac:dyDescent="0.2">
      <c r="A38" s="655">
        <f t="shared" si="3"/>
        <v>35</v>
      </c>
      <c r="B38" s="661">
        <f t="shared" si="14"/>
        <v>3.8450815120376833E-2</v>
      </c>
      <c r="C38" s="662">
        <f t="shared" si="14"/>
        <v>4.1587311538126628E-2</v>
      </c>
      <c r="D38" s="662">
        <f t="shared" si="14"/>
        <v>4.4856445386798192E-2</v>
      </c>
      <c r="E38" s="662">
        <f t="shared" si="14"/>
        <v>4.8253481203006286E-2</v>
      </c>
      <c r="F38" s="662">
        <f t="shared" si="14"/>
        <v>5.1773198591979104E-2</v>
      </c>
      <c r="G38" s="662">
        <f t="shared" si="14"/>
        <v>5.5409987609289037E-2</v>
      </c>
      <c r="H38" s="662">
        <f t="shared" si="14"/>
        <v>5.9157943992568456E-2</v>
      </c>
      <c r="I38" s="662">
        <f t="shared" si="14"/>
        <v>6.3010961603585741E-2</v>
      </c>
      <c r="J38" s="662">
        <f t="shared" si="14"/>
        <v>6.696281984854148E-2</v>
      </c>
      <c r="K38" s="662">
        <f t="shared" si="14"/>
        <v>7.1007264302647741E-2</v>
      </c>
      <c r="L38" s="663">
        <f t="shared" si="15"/>
        <v>7.5138079239886954E-2</v>
      </c>
      <c r="M38" s="663">
        <f t="shared" si="15"/>
        <v>7.9349151230839118E-2</v>
      </c>
      <c r="N38" s="663">
        <f t="shared" si="15"/>
        <v>8.3634523397293214E-2</v>
      </c>
      <c r="O38" s="663">
        <f t="shared" si="15"/>
        <v>8.7988440285468233E-2</v>
      </c>
      <c r="P38" s="662">
        <f t="shared" si="15"/>
        <v>9.2405383630166982E-2</v>
      </c>
      <c r="Q38" s="662">
        <f t="shared" si="15"/>
        <v>9.6880099526132676E-2</v>
      </c>
      <c r="R38" s="662">
        <f t="shared" si="15"/>
        <v>0.10140761770125707</v>
      </c>
      <c r="S38" s="663">
        <f t="shared" si="15"/>
        <v>0.10598326370378544</v>
      </c>
      <c r="T38" s="663">
        <f t="shared" si="15"/>
        <v>0.1106026648794587</v>
      </c>
      <c r="U38" s="663">
        <f t="shared" si="15"/>
        <v>0.11526175103320496</v>
      </c>
      <c r="V38" s="663">
        <f t="shared" si="15"/>
        <v>0.11995675065259646</v>
      </c>
      <c r="W38" s="644"/>
    </row>
    <row r="39" spans="1:23" ht="18" customHeight="1" x14ac:dyDescent="0.2">
      <c r="A39" s="644"/>
      <c r="B39" s="644"/>
      <c r="C39" s="644"/>
      <c r="D39" s="644"/>
      <c r="E39" s="644"/>
      <c r="F39" s="644"/>
      <c r="G39" s="644"/>
      <c r="H39" s="644"/>
      <c r="I39" s="644"/>
      <c r="J39" s="644"/>
      <c r="K39" s="644"/>
      <c r="L39" s="644"/>
      <c r="M39" s="644"/>
      <c r="N39" s="644"/>
      <c r="O39" s="644"/>
      <c r="P39" s="644"/>
      <c r="Q39" s="644"/>
      <c r="R39" s="644"/>
      <c r="S39" s="644"/>
      <c r="T39" s="644"/>
      <c r="U39" s="644"/>
      <c r="V39" s="644"/>
      <c r="W39" s="644"/>
    </row>
    <row r="40" spans="1:23" ht="18" hidden="1" customHeight="1" x14ac:dyDescent="0.2">
      <c r="A40" s="645"/>
    </row>
    <row r="41" spans="1:23" ht="18" hidden="1" customHeight="1" x14ac:dyDescent="0.2">
      <c r="A41" s="645"/>
    </row>
    <row r="42" spans="1:23" ht="18" hidden="1" customHeight="1" x14ac:dyDescent="0.2">
      <c r="A42" s="645"/>
    </row>
    <row r="43" spans="1:23" ht="18" hidden="1" customHeight="1" x14ac:dyDescent="0.2">
      <c r="A43" s="645"/>
    </row>
    <row r="44" spans="1:23" ht="18" hidden="1" customHeight="1" x14ac:dyDescent="0.2">
      <c r="A44" s="645"/>
    </row>
    <row r="45" spans="1:23" ht="18" hidden="1" customHeight="1" x14ac:dyDescent="0.2">
      <c r="A45" s="645"/>
    </row>
    <row r="46" spans="1:23" ht="18" hidden="1" customHeight="1" x14ac:dyDescent="0.2">
      <c r="A46" s="645"/>
    </row>
    <row r="47" spans="1:23" ht="18" hidden="1" customHeight="1" x14ac:dyDescent="0.2">
      <c r="A47" s="645"/>
    </row>
    <row r="48" spans="1:23" ht="18" hidden="1" customHeight="1" x14ac:dyDescent="0.2">
      <c r="A48" s="645"/>
    </row>
    <row r="49" spans="1:1" ht="18" hidden="1" customHeight="1" x14ac:dyDescent="0.2">
      <c r="A49" s="645"/>
    </row>
    <row r="50" spans="1:1" ht="18" hidden="1" customHeight="1" x14ac:dyDescent="0.2">
      <c r="A50" s="645"/>
    </row>
    <row r="51" spans="1:1" ht="18" hidden="1" customHeight="1" x14ac:dyDescent="0.2">
      <c r="A51" s="645"/>
    </row>
    <row r="52" spans="1:1" ht="18" hidden="1" customHeight="1" x14ac:dyDescent="0.2">
      <c r="A52" s="645"/>
    </row>
    <row r="53" spans="1:1" ht="18" hidden="1" customHeight="1" x14ac:dyDescent="0.2">
      <c r="A53" s="645"/>
    </row>
    <row r="54" spans="1:1" ht="18" hidden="1" customHeight="1" x14ac:dyDescent="0.2">
      <c r="A54" s="645"/>
    </row>
    <row r="55" spans="1:1" ht="18" hidden="1" customHeight="1" x14ac:dyDescent="0.2">
      <c r="A55" s="645"/>
    </row>
    <row r="56" spans="1:1" ht="18" hidden="1" customHeight="1" x14ac:dyDescent="0.2">
      <c r="A56" s="645"/>
    </row>
    <row r="57" spans="1:1" ht="18" hidden="1" customHeight="1" x14ac:dyDescent="0.2">
      <c r="A57" s="645"/>
    </row>
    <row r="58" spans="1:1" ht="18" hidden="1" customHeight="1" x14ac:dyDescent="0.2">
      <c r="A58" s="645"/>
    </row>
    <row r="59" spans="1:1" ht="18" hidden="1" customHeight="1" x14ac:dyDescent="0.2">
      <c r="A59" s="645"/>
    </row>
    <row r="60" spans="1:1" ht="18" hidden="1" customHeight="1" x14ac:dyDescent="0.2">
      <c r="A60" s="645"/>
    </row>
    <row r="61" spans="1:1" ht="18" hidden="1" customHeight="1" x14ac:dyDescent="0.2">
      <c r="A61" s="645"/>
    </row>
    <row r="62" spans="1:1" ht="18" hidden="1" customHeight="1" x14ac:dyDescent="0.2">
      <c r="A62" s="645"/>
    </row>
    <row r="63" spans="1:1" ht="18" hidden="1" customHeight="1" x14ac:dyDescent="0.2">
      <c r="A63" s="645"/>
    </row>
    <row r="64" spans="1:1" ht="18" hidden="1" customHeight="1" x14ac:dyDescent="0.2">
      <c r="A64" s="645"/>
    </row>
    <row r="65" spans="1:1" ht="18" hidden="1" customHeight="1" x14ac:dyDescent="0.2">
      <c r="A65" s="645"/>
    </row>
    <row r="66" spans="1:1" ht="18" hidden="1" customHeight="1" x14ac:dyDescent="0.2">
      <c r="A66" s="645"/>
    </row>
    <row r="67" spans="1:1" ht="18" hidden="1" customHeight="1" x14ac:dyDescent="0.2">
      <c r="A67" s="645"/>
    </row>
  </sheetData>
  <sheetProtection sheet="1"/>
  <phoneticPr fontId="0" type="noConversion"/>
  <pageMargins left="0.59055118110236227" right="0.59055118110236227" top="0.98425196850393704" bottom="0.78740157480314965" header="0.39370078740157483" footer="0.39370078740157483"/>
  <pageSetup paperSize="9" orientation="portrait" blackAndWhite="1" horizontalDpi="4294967293" verticalDpi="300" r:id="rId1"/>
  <headerFooter>
    <oddHeader>&amp;L&amp;8&amp;G&amp;R&amp;G</oddHeader>
    <oddFooter>&amp;L&amp;"Arial Black,Standard"&amp;8Seite &amp;P - &amp;A
I-Net: &amp;IFF0000http://wh.twoday.net&amp;I000000, E-Mail: &amp;IFF0000wharasleben@aol.com</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AN539"/>
  <sheetViews>
    <sheetView showGridLines="0" showRowColHeaders="0" tabSelected="1" zoomScaleNormal="100" workbookViewId="0">
      <pane ySplit="2" topLeftCell="A3" activePane="bottomLeft" state="frozen"/>
      <selection activeCell="F14" sqref="F14"/>
      <selection pane="bottomLeft" activeCell="H5" sqref="H5"/>
    </sheetView>
  </sheetViews>
  <sheetFormatPr baseColWidth="10" defaultColWidth="0" defaultRowHeight="12.75" customHeight="1" zeroHeight="1" x14ac:dyDescent="0.2"/>
  <cols>
    <col min="1" max="1" width="20.7109375" customWidth="1"/>
    <col min="2" max="2" width="0.85546875" customWidth="1"/>
    <col min="3" max="4" width="3.7109375" customWidth="1"/>
    <col min="5" max="5" width="2.7109375" customWidth="1"/>
    <col min="6" max="6" width="20.7109375" customWidth="1"/>
    <col min="7" max="7" width="1.85546875" bestFit="1" customWidth="1"/>
    <col min="8" max="8" width="11.7109375" customWidth="1"/>
    <col min="9" max="9" width="1.85546875" bestFit="1" customWidth="1"/>
    <col min="10" max="10" width="0.85546875" customWidth="1"/>
    <col min="11" max="11" width="22.7109375" customWidth="1"/>
    <col min="12" max="12" width="1.85546875" bestFit="1" customWidth="1"/>
    <col min="13" max="13" width="11.7109375" customWidth="1"/>
    <col min="14" max="14" width="10.7109375" customWidth="1"/>
    <col min="15" max="15" width="4.7109375" customWidth="1"/>
    <col min="16" max="16" width="2.7109375" style="917" customWidth="1"/>
    <col min="17" max="17" width="4.7109375" customWidth="1"/>
    <col min="18" max="18" width="2.7109375" hidden="1" customWidth="1"/>
    <col min="19" max="23" width="10.7109375" hidden="1" customWidth="1"/>
    <col min="24" max="24" width="28.85546875" hidden="1" customWidth="1"/>
    <col min="25" max="25" width="12.7109375" hidden="1" customWidth="1"/>
    <col min="26" max="26" width="28.28515625" hidden="1" customWidth="1"/>
    <col min="27" max="30" width="18.7109375" hidden="1" customWidth="1"/>
    <col min="31" max="16384" width="11.42578125" hidden="1"/>
  </cols>
  <sheetData>
    <row r="1" spans="1:27" ht="24.95" customHeight="1" x14ac:dyDescent="0.25">
      <c r="A1" s="1160" t="s">
        <v>11</v>
      </c>
      <c r="B1" s="9"/>
      <c r="C1" s="832" t="s">
        <v>449</v>
      </c>
      <c r="D1" s="833"/>
      <c r="E1" s="833"/>
      <c r="F1" s="833"/>
      <c r="G1" s="833"/>
      <c r="H1" s="833"/>
      <c r="I1" s="833"/>
      <c r="J1" s="833"/>
      <c r="K1" s="833"/>
      <c r="L1" s="833"/>
      <c r="M1" s="834" t="s">
        <v>1</v>
      </c>
      <c r="N1" s="834" t="str">
        <f>Korrektur!L1</f>
        <v>x</v>
      </c>
      <c r="O1" s="1150" t="s">
        <v>721</v>
      </c>
      <c r="P1" s="1150"/>
      <c r="Q1" s="1150"/>
      <c r="R1" s="2"/>
      <c r="S1" s="2"/>
      <c r="T1" s="2"/>
      <c r="U1" s="2"/>
      <c r="V1" s="2"/>
      <c r="W1" s="2"/>
      <c r="X1" s="2"/>
      <c r="Y1" s="2"/>
      <c r="Z1" s="2"/>
      <c r="AA1" s="2"/>
    </row>
    <row r="2" spans="1:27" ht="30" customHeight="1" x14ac:dyDescent="0.2">
      <c r="A2" s="1161"/>
      <c r="B2" s="835"/>
      <c r="C2" s="2"/>
      <c r="D2" s="2"/>
      <c r="E2" s="2"/>
      <c r="F2" s="2"/>
      <c r="G2" s="2"/>
      <c r="H2" s="2"/>
      <c r="I2" s="2"/>
      <c r="J2" s="2"/>
      <c r="K2" s="2"/>
      <c r="L2" s="2"/>
      <c r="M2" s="2"/>
      <c r="N2" s="2"/>
      <c r="O2" s="836"/>
      <c r="P2" s="837"/>
      <c r="Q2" s="837"/>
      <c r="R2" s="2"/>
      <c r="S2" s="2"/>
      <c r="T2" s="2"/>
      <c r="U2" s="2"/>
      <c r="V2" s="2"/>
      <c r="W2" s="2"/>
      <c r="X2" s="2"/>
      <c r="Y2" s="2"/>
      <c r="Z2" s="2"/>
      <c r="AA2" s="2"/>
    </row>
    <row r="3" spans="1:27" x14ac:dyDescent="0.2">
      <c r="A3" s="838"/>
      <c r="B3" s="835"/>
      <c r="C3" s="779" t="s">
        <v>457</v>
      </c>
      <c r="D3" s="779" t="s">
        <v>458</v>
      </c>
      <c r="E3" s="779"/>
      <c r="F3" s="2"/>
      <c r="G3" s="2"/>
      <c r="H3" s="2"/>
      <c r="I3" s="2"/>
      <c r="J3" s="2"/>
      <c r="K3" s="2"/>
      <c r="L3" s="2"/>
      <c r="M3" s="2"/>
      <c r="N3" s="2"/>
      <c r="O3" s="836"/>
      <c r="P3" s="837"/>
      <c r="Q3" s="837"/>
      <c r="R3" s="2"/>
      <c r="S3" s="2"/>
      <c r="T3" s="2"/>
      <c r="U3" s="2"/>
      <c r="V3" s="2"/>
      <c r="W3" s="2"/>
      <c r="X3" s="2"/>
      <c r="Y3" s="2"/>
      <c r="Z3" s="2"/>
      <c r="AA3" s="2"/>
    </row>
    <row r="4" spans="1:27" x14ac:dyDescent="0.2">
      <c r="A4" s="838"/>
      <c r="B4" s="835"/>
      <c r="C4" s="2"/>
      <c r="D4" s="2" t="s">
        <v>459</v>
      </c>
      <c r="E4" s="2" t="s">
        <v>460</v>
      </c>
      <c r="F4" s="2"/>
      <c r="G4" s="2"/>
      <c r="H4" s="2"/>
      <c r="I4" s="2"/>
      <c r="J4" s="2"/>
      <c r="K4" s="2"/>
      <c r="L4" s="2"/>
      <c r="M4" s="2"/>
      <c r="N4" s="2"/>
      <c r="O4" s="836"/>
      <c r="P4" s="837"/>
      <c r="Q4" s="837"/>
      <c r="R4" s="2"/>
      <c r="S4" s="2"/>
      <c r="T4" s="2"/>
      <c r="U4" s="2"/>
      <c r="V4" s="2"/>
      <c r="W4" s="2"/>
      <c r="X4" s="2"/>
      <c r="Y4" s="2"/>
      <c r="Z4" s="2"/>
      <c r="AA4" s="2"/>
    </row>
    <row r="5" spans="1:27" ht="11.25" customHeight="1" x14ac:dyDescent="0.2">
      <c r="A5" s="838"/>
      <c r="B5" s="835"/>
      <c r="C5" s="839"/>
      <c r="D5" s="2"/>
      <c r="E5" s="2" t="s">
        <v>461</v>
      </c>
      <c r="F5" s="2"/>
      <c r="G5" s="2"/>
      <c r="H5" s="840"/>
      <c r="I5" s="841" t="s">
        <v>462</v>
      </c>
      <c r="J5" s="842"/>
      <c r="K5" s="1155" t="s">
        <v>623</v>
      </c>
      <c r="L5" s="1156"/>
      <c r="M5" s="1156"/>
      <c r="N5" s="2"/>
      <c r="O5" s="843" t="str">
        <f>IF(H5="","",IF(ROUND('[1]E-ErgInt'!H5,Korrektur!R1)=ROUND(H5,Korrektur!R1),Q5,0))</f>
        <v/>
      </c>
      <c r="P5" s="837" t="s">
        <v>463</v>
      </c>
      <c r="Q5" s="837">
        <v>1</v>
      </c>
      <c r="R5" s="2"/>
      <c r="S5" s="2"/>
      <c r="T5" s="2"/>
      <c r="U5" s="2"/>
      <c r="V5" s="2"/>
      <c r="W5" s="2"/>
      <c r="X5" s="2"/>
      <c r="Y5" s="2"/>
      <c r="Z5" s="2"/>
      <c r="AA5" s="2"/>
    </row>
    <row r="6" spans="1:27" ht="3.95" customHeight="1" x14ac:dyDescent="0.2">
      <c r="A6" s="838"/>
      <c r="B6" s="835"/>
      <c r="C6" s="2"/>
      <c r="D6" s="2"/>
      <c r="E6" s="2"/>
      <c r="F6" s="2"/>
      <c r="G6" s="2"/>
      <c r="H6" s="2"/>
      <c r="I6" s="844"/>
      <c r="J6" s="2"/>
      <c r="K6" s="1156"/>
      <c r="L6" s="1156"/>
      <c r="M6" s="1156"/>
      <c r="N6" s="2"/>
      <c r="O6" s="836"/>
      <c r="P6" s="837"/>
      <c r="Q6" s="837"/>
      <c r="R6" s="2"/>
      <c r="S6" s="2"/>
      <c r="T6" s="2"/>
      <c r="U6" s="2"/>
      <c r="V6" s="2"/>
      <c r="W6" s="2"/>
      <c r="X6" s="2"/>
      <c r="Y6" s="2"/>
      <c r="Z6" s="2"/>
      <c r="AA6" s="2"/>
    </row>
    <row r="7" spans="1:27" x14ac:dyDescent="0.2">
      <c r="A7" s="838"/>
      <c r="B7" s="835"/>
      <c r="C7" s="2"/>
      <c r="D7" s="2"/>
      <c r="E7" s="2" t="s">
        <v>464</v>
      </c>
      <c r="F7" s="2"/>
      <c r="G7" s="2"/>
      <c r="H7" s="840"/>
      <c r="I7" s="841" t="s">
        <v>462</v>
      </c>
      <c r="J7" s="2"/>
      <c r="K7" s="1156"/>
      <c r="L7" s="1156"/>
      <c r="M7" s="1156"/>
      <c r="N7" s="2"/>
      <c r="O7" s="843" t="str">
        <f>IF(H7="","",IF(ROUND('[1]E-ErgInt'!H7,Korrektur!R1)=ROUND(H7,Korrektur!R1),Q7,0))</f>
        <v/>
      </c>
      <c r="P7" s="837" t="s">
        <v>463</v>
      </c>
      <c r="Q7" s="837">
        <v>1</v>
      </c>
      <c r="R7" s="2"/>
      <c r="S7" s="2"/>
      <c r="T7" s="2"/>
      <c r="U7" s="2"/>
      <c r="V7" s="2"/>
      <c r="W7" s="2"/>
      <c r="X7" s="2"/>
      <c r="Y7" s="2"/>
      <c r="Z7" s="2"/>
      <c r="AA7" s="2"/>
    </row>
    <row r="8" spans="1:27" ht="3.95" customHeight="1" x14ac:dyDescent="0.2">
      <c r="A8" s="838"/>
      <c r="B8" s="835"/>
      <c r="C8" s="2"/>
      <c r="D8" s="2"/>
      <c r="E8" s="2"/>
      <c r="F8" s="2"/>
      <c r="G8" s="2"/>
      <c r="H8" s="2"/>
      <c r="I8" s="844"/>
      <c r="J8" s="2"/>
      <c r="K8" s="845"/>
      <c r="L8" s="845"/>
      <c r="M8" s="845"/>
      <c r="N8" s="2"/>
      <c r="O8" s="836"/>
      <c r="P8" s="837"/>
      <c r="Q8" s="837"/>
      <c r="R8" s="2"/>
      <c r="S8" s="2"/>
      <c r="T8" s="2"/>
      <c r="U8" s="2"/>
      <c r="V8" s="2"/>
      <c r="W8" s="2"/>
      <c r="X8" s="2"/>
      <c r="Y8" s="2"/>
      <c r="Z8" s="2"/>
      <c r="AA8" s="2"/>
    </row>
    <row r="9" spans="1:27" x14ac:dyDescent="0.2">
      <c r="A9" s="838"/>
      <c r="B9" s="835"/>
      <c r="C9" s="2"/>
      <c r="D9" s="2"/>
      <c r="E9" s="2" t="s">
        <v>465</v>
      </c>
      <c r="F9" s="2"/>
      <c r="G9" s="2"/>
      <c r="H9" s="840"/>
      <c r="I9" s="841" t="s">
        <v>462</v>
      </c>
      <c r="J9" s="2"/>
      <c r="K9" s="845"/>
      <c r="L9" s="845"/>
      <c r="M9" s="845"/>
      <c r="N9" s="2"/>
      <c r="O9" s="843" t="str">
        <f>IF(H9="","",IF(ROUND('[1]E-ErgInt'!H9,Korrektur!R1)=ROUND(H9,Korrektur!R1),Q9,0))</f>
        <v/>
      </c>
      <c r="P9" s="837" t="s">
        <v>463</v>
      </c>
      <c r="Q9" s="837">
        <v>1</v>
      </c>
      <c r="R9" s="2"/>
      <c r="S9" s="2"/>
      <c r="T9" s="2"/>
      <c r="U9" s="2"/>
      <c r="V9" s="2"/>
      <c r="W9" s="2"/>
      <c r="X9" s="2"/>
      <c r="Y9" s="2"/>
      <c r="Z9" s="2"/>
      <c r="AA9" s="2"/>
    </row>
    <row r="10" spans="1:27" ht="3.95" customHeight="1" x14ac:dyDescent="0.2">
      <c r="A10" s="838"/>
      <c r="B10" s="835"/>
      <c r="C10" s="2"/>
      <c r="D10" s="2"/>
      <c r="E10" s="2"/>
      <c r="F10" s="2"/>
      <c r="G10" s="2"/>
      <c r="H10" s="2"/>
      <c r="I10" s="844"/>
      <c r="J10" s="2"/>
      <c r="K10" s="845"/>
      <c r="L10" s="845"/>
      <c r="M10" s="845"/>
      <c r="N10" s="2"/>
      <c r="O10" s="836"/>
      <c r="P10" s="837"/>
      <c r="Q10" s="837"/>
      <c r="R10" s="2"/>
      <c r="S10" s="2"/>
      <c r="T10" s="2"/>
      <c r="U10" s="2"/>
      <c r="V10" s="2"/>
      <c r="W10" s="2"/>
      <c r="X10" s="2"/>
      <c r="Y10" s="2"/>
      <c r="Z10" s="2"/>
      <c r="AA10" s="2"/>
    </row>
    <row r="11" spans="1:27" x14ac:dyDescent="0.2">
      <c r="A11" s="838"/>
      <c r="B11" s="835"/>
      <c r="C11" s="2"/>
      <c r="D11" s="2"/>
      <c r="E11" s="2" t="s">
        <v>466</v>
      </c>
      <c r="F11" s="2"/>
      <c r="G11" s="2"/>
      <c r="H11" s="840"/>
      <c r="I11" s="841" t="s">
        <v>462</v>
      </c>
      <c r="J11" s="2"/>
      <c r="K11" s="845"/>
      <c r="L11" s="845"/>
      <c r="M11" s="845"/>
      <c r="N11" s="2"/>
      <c r="O11" s="843" t="str">
        <f>IF(H11="","",IF(ROUND('[1]E-ErgInt'!H11,Korrektur!R1)=ROUND(H11,Korrektur!R1),Q11,0))</f>
        <v/>
      </c>
      <c r="P11" s="837" t="s">
        <v>463</v>
      </c>
      <c r="Q11" s="837">
        <v>1</v>
      </c>
      <c r="R11" s="2"/>
      <c r="S11" s="2"/>
      <c r="T11" s="2"/>
      <c r="U11" s="2"/>
      <c r="V11" s="2"/>
      <c r="W11" s="2"/>
      <c r="X11" s="2"/>
      <c r="Y11" s="2"/>
      <c r="Z11" s="2"/>
      <c r="AA11" s="2"/>
    </row>
    <row r="12" spans="1:27" x14ac:dyDescent="0.2">
      <c r="A12" s="838"/>
      <c r="B12" s="835"/>
      <c r="C12" s="2"/>
      <c r="D12" s="2"/>
      <c r="E12" s="2"/>
      <c r="F12" s="2"/>
      <c r="G12" s="2"/>
      <c r="H12" s="2"/>
      <c r="I12" s="2"/>
      <c r="J12" s="2"/>
      <c r="K12" s="2"/>
      <c r="L12" s="2"/>
      <c r="M12" s="2"/>
      <c r="N12" s="2"/>
      <c r="O12" s="836"/>
      <c r="P12" s="837"/>
      <c r="Q12" s="837"/>
      <c r="R12" s="2"/>
      <c r="S12" s="2"/>
      <c r="T12" s="2"/>
      <c r="U12" s="2"/>
      <c r="V12" s="2"/>
      <c r="W12" s="2"/>
      <c r="X12" s="2"/>
      <c r="Y12" s="2"/>
      <c r="Z12" s="2"/>
      <c r="AA12" s="2"/>
    </row>
    <row r="13" spans="1:27" x14ac:dyDescent="0.2">
      <c r="A13" s="838"/>
      <c r="B13" s="835"/>
      <c r="C13" s="2"/>
      <c r="D13" s="2" t="s">
        <v>467</v>
      </c>
      <c r="E13" s="2" t="s">
        <v>468</v>
      </c>
      <c r="F13" s="2"/>
      <c r="G13" s="2"/>
      <c r="H13" s="2"/>
      <c r="I13" s="2"/>
      <c r="J13" s="2"/>
      <c r="K13" s="2"/>
      <c r="L13" s="2"/>
      <c r="M13" s="2"/>
      <c r="N13" s="2"/>
      <c r="O13" s="836"/>
      <c r="P13" s="837"/>
      <c r="Q13" s="837"/>
      <c r="R13" s="2"/>
      <c r="S13" s="2"/>
      <c r="T13" s="2"/>
      <c r="U13" s="3"/>
      <c r="V13" s="2"/>
      <c r="W13" s="2"/>
      <c r="X13" s="2"/>
      <c r="Y13" s="2"/>
      <c r="Z13" s="2"/>
      <c r="AA13" s="2"/>
    </row>
    <row r="14" spans="1:27" ht="12.75" customHeight="1" x14ac:dyDescent="0.2">
      <c r="A14" s="838"/>
      <c r="B14" s="835"/>
      <c r="C14" s="2"/>
      <c r="D14" s="2"/>
      <c r="E14" s="1151"/>
      <c r="F14" s="1152"/>
      <c r="G14" s="1152"/>
      <c r="H14" s="1152"/>
      <c r="I14" s="1152"/>
      <c r="J14" s="1152"/>
      <c r="K14" s="1152"/>
      <c r="L14" s="1152"/>
      <c r="M14" s="1153"/>
      <c r="N14" s="846"/>
      <c r="O14" s="843" t="str">
        <f>IF(E14="","",IF(U14=E14,Q14,0))</f>
        <v/>
      </c>
      <c r="P14" s="837" t="s">
        <v>463</v>
      </c>
      <c r="Q14" s="837">
        <v>1</v>
      </c>
      <c r="R14" s="2"/>
      <c r="S14" s="2"/>
      <c r="T14" s="847" t="s">
        <v>469</v>
      </c>
      <c r="U14" s="3" t="str">
        <f>IF('[1]E-ErgInt'!$E14="","",'[1]E-ErgInt'!$E14)</f>
        <v>Lebenshaltungekosten (19 200,00 €) &lt; Gesamteinkommen (35 622,77 €)</v>
      </c>
      <c r="V14" s="2"/>
      <c r="W14" s="2"/>
      <c r="X14" s="2"/>
      <c r="Y14" s="2"/>
      <c r="Z14" s="2"/>
      <c r="AA14" s="2"/>
    </row>
    <row r="15" spans="1:27" ht="11.25" customHeight="1" x14ac:dyDescent="0.2">
      <c r="A15" s="838"/>
      <c r="B15" s="835"/>
      <c r="C15" s="2"/>
      <c r="D15" s="2"/>
      <c r="E15" s="848" t="s">
        <v>624</v>
      </c>
      <c r="F15" s="439"/>
      <c r="G15" s="439"/>
      <c r="H15" s="439"/>
      <c r="I15" s="439"/>
      <c r="J15" s="439"/>
      <c r="K15" s="439"/>
      <c r="L15" s="439"/>
      <c r="M15" s="439"/>
      <c r="N15" s="846"/>
      <c r="O15" s="849"/>
      <c r="P15" s="837"/>
      <c r="Q15" s="2"/>
      <c r="R15" s="2"/>
      <c r="S15" s="2"/>
      <c r="T15" s="850" t="str">
        <f>IF(OR(H7="",H5=""),"Daten fehlen!","Lebenshaltungekosten ("&amp;FIXED(-H7,2)&amp;" €) &gt; Gesamteinkommen ("&amp;FIXED(H5,2)&amp;" €)")</f>
        <v>Daten fehlen!</v>
      </c>
      <c r="U15" s="3"/>
      <c r="V15" s="2"/>
      <c r="W15" s="2"/>
      <c r="X15" s="2"/>
      <c r="Y15" s="2"/>
      <c r="Z15" s="2"/>
      <c r="AA15" s="2"/>
    </row>
    <row r="16" spans="1:27" ht="12.75" customHeight="1" x14ac:dyDescent="0.2">
      <c r="A16" s="838"/>
      <c r="B16" s="835"/>
      <c r="C16" s="2"/>
      <c r="D16" s="2"/>
      <c r="E16" s="851"/>
      <c r="F16" s="1134" t="str">
        <f>IF(OR(H7="",H5=""),"Daten fehlen!","Die Lebenshaltungskosten können ohne große Anstrengungen bestritten werden. Auch der Kapitaldienst kann ohne Probleme bestritten werden. Es bleiben sogar noch finanzielle Reserven für künftige private oder betriebliche Investitionen.")</f>
        <v>Daten fehlen!</v>
      </c>
      <c r="G16" s="1134"/>
      <c r="H16" s="1134"/>
      <c r="I16" s="1134"/>
      <c r="J16" s="1134"/>
      <c r="K16" s="1134"/>
      <c r="L16" s="1134"/>
      <c r="M16" s="1134"/>
      <c r="N16" s="846"/>
      <c r="O16" s="843" t="str">
        <f>IF(AND(E16='[1]E-ErgInt'!E16,E19='[1]E-ErgInt'!E19,E21='[1]E-ErgInt'!E21),Q16,"")</f>
        <v/>
      </c>
      <c r="P16" s="837" t="s">
        <v>463</v>
      </c>
      <c r="Q16" s="837">
        <v>1</v>
      </c>
      <c r="R16" s="2"/>
      <c r="S16" s="2"/>
      <c r="T16" s="850" t="str">
        <f>IF(OR(H7="",H5=""),"Daten fehlen!","Lebenshaltungekosten ("&amp;FIXED(-H7,2)&amp;" €) = Gesamteinkommen ("&amp;FIXED(H5,2)&amp;" €)")</f>
        <v>Daten fehlen!</v>
      </c>
      <c r="U16" s="3"/>
      <c r="V16" s="2"/>
      <c r="W16" s="2"/>
      <c r="X16" s="2"/>
      <c r="Y16" s="2"/>
      <c r="Z16" s="2"/>
      <c r="AA16" s="2"/>
    </row>
    <row r="17" spans="1:27" ht="12.75" customHeight="1" x14ac:dyDescent="0.2">
      <c r="A17" s="838"/>
      <c r="B17" s="835"/>
      <c r="C17" s="2"/>
      <c r="D17" s="2"/>
      <c r="E17" s="853"/>
      <c r="F17" s="1134"/>
      <c r="G17" s="1134"/>
      <c r="H17" s="1134"/>
      <c r="I17" s="1134"/>
      <c r="J17" s="1134"/>
      <c r="K17" s="1134"/>
      <c r="L17" s="1134"/>
      <c r="M17" s="1134"/>
      <c r="N17" s="846"/>
      <c r="O17" s="837"/>
      <c r="P17" s="837"/>
      <c r="Q17" s="837"/>
      <c r="R17" s="2"/>
      <c r="S17" s="2"/>
      <c r="T17" s="850" t="str">
        <f>IF(OR(H7="",H5=""),"Daten fehlen!","Lebenshaltungekosten ("&amp;FIXED(-H7,2)&amp;" €) &lt; Gesamteinkommen ("&amp;FIXED(H5,2)&amp;" €)")</f>
        <v>Daten fehlen!</v>
      </c>
      <c r="U17" s="3"/>
      <c r="V17" s="854"/>
      <c r="W17" s="2"/>
      <c r="X17" s="2"/>
      <c r="Y17" s="2"/>
      <c r="Z17" s="2"/>
      <c r="AA17" s="2"/>
    </row>
    <row r="18" spans="1:27" ht="12.75" customHeight="1" x14ac:dyDescent="0.2">
      <c r="A18" s="838"/>
      <c r="B18" s="835"/>
      <c r="C18" s="2"/>
      <c r="D18" s="2"/>
      <c r="E18" s="853"/>
      <c r="F18" s="1134"/>
      <c r="G18" s="1134"/>
      <c r="H18" s="1134"/>
      <c r="I18" s="1134"/>
      <c r="J18" s="1134"/>
      <c r="K18" s="1134"/>
      <c r="L18" s="1134"/>
      <c r="M18" s="1134"/>
      <c r="N18" s="846"/>
      <c r="O18" s="837"/>
      <c r="P18" s="837"/>
      <c r="Q18" s="837"/>
      <c r="R18" s="2"/>
      <c r="S18" s="2"/>
      <c r="T18" s="854"/>
      <c r="U18" s="3"/>
      <c r="V18" s="854"/>
      <c r="W18" s="2"/>
      <c r="X18" s="2"/>
      <c r="Y18" s="2"/>
      <c r="Z18" s="2"/>
      <c r="AA18" s="2"/>
    </row>
    <row r="19" spans="1:27" ht="12.75" customHeight="1" x14ac:dyDescent="0.2">
      <c r="A19" s="838"/>
      <c r="B19" s="835"/>
      <c r="C19" s="2"/>
      <c r="D19" s="2"/>
      <c r="E19" s="851"/>
      <c r="F19" s="1134" t="str">
        <f>IF(OR(H7="",H5=""),"Daten fehlen!","Die Lebenshaltungskosten können zwar gerade noch bestritten werden. Aber für Kapitaldienst oder gar für Rücklagenbildung bleiben keine Reserven mehr. (ACHTUNG: Der Kapitaldinest ist dabei mit zu rechnen!!!)")</f>
        <v>Daten fehlen!</v>
      </c>
      <c r="G19" s="1134"/>
      <c r="H19" s="1134"/>
      <c r="I19" s="1134"/>
      <c r="J19" s="1134"/>
      <c r="K19" s="1134"/>
      <c r="L19" s="1134"/>
      <c r="M19" s="1134"/>
      <c r="N19" s="846"/>
      <c r="O19" s="837"/>
      <c r="P19" s="837"/>
      <c r="Q19" s="837"/>
      <c r="R19" s="2"/>
      <c r="S19" s="2"/>
      <c r="T19" s="2"/>
      <c r="U19" s="3"/>
      <c r="V19" s="2"/>
      <c r="W19" s="2"/>
      <c r="X19" s="2"/>
      <c r="Y19" s="2"/>
      <c r="Z19" s="2"/>
      <c r="AA19" s="2"/>
    </row>
    <row r="20" spans="1:27" ht="24" customHeight="1" x14ac:dyDescent="0.2">
      <c r="A20" s="838"/>
      <c r="B20" s="835"/>
      <c r="C20" s="2"/>
      <c r="D20" s="2"/>
      <c r="E20" s="853"/>
      <c r="F20" s="1134"/>
      <c r="G20" s="1134"/>
      <c r="H20" s="1134"/>
      <c r="I20" s="1134"/>
      <c r="J20" s="1134"/>
      <c r="K20" s="1134"/>
      <c r="L20" s="1134"/>
      <c r="M20" s="1134"/>
      <c r="N20" s="846"/>
      <c r="O20" s="837"/>
      <c r="P20" s="837"/>
      <c r="Q20" s="837"/>
      <c r="R20" s="2"/>
      <c r="S20" s="2"/>
      <c r="T20" s="847"/>
      <c r="U20" s="3"/>
      <c r="V20" s="847"/>
      <c r="W20" s="2"/>
      <c r="X20" s="2"/>
      <c r="Y20" s="2"/>
      <c r="Z20" s="2"/>
      <c r="AA20" s="2"/>
    </row>
    <row r="21" spans="1:27" ht="12.75" customHeight="1" x14ac:dyDescent="0.2">
      <c r="A21" s="838"/>
      <c r="B21" s="835"/>
      <c r="C21" s="2"/>
      <c r="D21" s="2"/>
      <c r="E21" s="851"/>
      <c r="F21" s="1154" t="str">
        <f>IF(OR(H7="",H5=""),"Daten fehlen!","Es können nicht einmal die Lebenshaltungskosten abgedeckt werden. Folglich wird die rechtzeitige Bezahlung des Kapitaldienstes problematisch werden. Das wiederum kann den Betrieb in Existenzgefahr bringen!")</f>
        <v>Daten fehlen!</v>
      </c>
      <c r="G21" s="1154"/>
      <c r="H21" s="1154"/>
      <c r="I21" s="1154"/>
      <c r="J21" s="1154"/>
      <c r="K21" s="1154"/>
      <c r="L21" s="1154"/>
      <c r="M21" s="1154"/>
      <c r="N21" s="846"/>
      <c r="O21" s="837"/>
      <c r="P21" s="837"/>
      <c r="Q21" s="837"/>
      <c r="R21" s="2"/>
      <c r="S21" s="2"/>
      <c r="T21" s="847"/>
      <c r="U21" s="3"/>
      <c r="V21" s="847"/>
      <c r="W21" s="2"/>
      <c r="X21" s="2"/>
      <c r="Y21" s="2"/>
      <c r="Z21" s="2"/>
      <c r="AA21" s="2"/>
    </row>
    <row r="22" spans="1:27" ht="12.75" customHeight="1" x14ac:dyDescent="0.2">
      <c r="A22" s="838"/>
      <c r="B22" s="835"/>
      <c r="C22" s="2"/>
      <c r="D22" s="2"/>
      <c r="E22" s="853"/>
      <c r="F22" s="1154"/>
      <c r="G22" s="1154"/>
      <c r="H22" s="1154"/>
      <c r="I22" s="1154"/>
      <c r="J22" s="1154"/>
      <c r="K22" s="1154"/>
      <c r="L22" s="1154"/>
      <c r="M22" s="1154"/>
      <c r="N22" s="846"/>
      <c r="O22" s="837"/>
      <c r="P22" s="837"/>
      <c r="Q22" s="837"/>
      <c r="R22" s="2"/>
      <c r="S22" s="2"/>
      <c r="T22" s="2"/>
      <c r="U22" s="3"/>
      <c r="V22" s="2"/>
      <c r="W22" s="2"/>
      <c r="X22" s="2"/>
      <c r="Y22" s="2"/>
      <c r="Z22" s="2"/>
      <c r="AA22" s="2"/>
    </row>
    <row r="23" spans="1:27" ht="12.75" customHeight="1" x14ac:dyDescent="0.2">
      <c r="A23" s="838"/>
      <c r="B23" s="835"/>
      <c r="C23" s="2"/>
      <c r="D23" s="2"/>
      <c r="E23" s="853"/>
      <c r="F23" s="1154"/>
      <c r="G23" s="1154"/>
      <c r="H23" s="1154"/>
      <c r="I23" s="1154"/>
      <c r="J23" s="1154"/>
      <c r="K23" s="1154"/>
      <c r="L23" s="1154"/>
      <c r="M23" s="1154"/>
      <c r="N23" s="846"/>
      <c r="O23" s="837"/>
      <c r="P23" s="837"/>
      <c r="Q23" s="837"/>
      <c r="R23" s="2"/>
      <c r="S23" s="2"/>
      <c r="T23" s="2"/>
      <c r="U23" s="3"/>
      <c r="V23" s="854"/>
      <c r="W23" s="2"/>
      <c r="X23" s="2"/>
      <c r="Y23" s="2"/>
      <c r="Z23" s="2"/>
      <c r="AA23" s="2"/>
    </row>
    <row r="24" spans="1:27" ht="12.75" customHeight="1" x14ac:dyDescent="0.2">
      <c r="A24" s="838"/>
      <c r="B24" s="835"/>
      <c r="C24" s="2"/>
      <c r="D24" s="2"/>
      <c r="E24" s="853"/>
      <c r="F24" s="855"/>
      <c r="G24" s="855"/>
      <c r="H24" s="855"/>
      <c r="I24" s="855"/>
      <c r="J24" s="855"/>
      <c r="K24" s="855"/>
      <c r="L24" s="855"/>
      <c r="M24" s="855"/>
      <c r="N24" s="846"/>
      <c r="O24" s="837"/>
      <c r="P24" s="837"/>
      <c r="Q24" s="837"/>
      <c r="R24" s="2"/>
      <c r="S24" s="2"/>
      <c r="T24" s="2"/>
      <c r="U24" s="3"/>
      <c r="V24" s="854"/>
      <c r="W24" s="2"/>
      <c r="X24" s="2"/>
      <c r="Y24" s="2"/>
      <c r="Z24" s="2"/>
      <c r="AA24" s="2"/>
    </row>
    <row r="25" spans="1:27" ht="12.75" customHeight="1" x14ac:dyDescent="0.2">
      <c r="A25" s="838"/>
      <c r="B25" s="835"/>
      <c r="C25" s="2"/>
      <c r="D25" s="2"/>
      <c r="E25" s="1157"/>
      <c r="F25" s="1158"/>
      <c r="G25" s="1158"/>
      <c r="H25" s="1158"/>
      <c r="I25" s="1158"/>
      <c r="J25" s="1158"/>
      <c r="K25" s="1158"/>
      <c r="L25" s="1158"/>
      <c r="M25" s="1159"/>
      <c r="N25" s="846"/>
      <c r="O25" s="843" t="str">
        <f>IF(E25="","",IF(U25=E25,Q25,0))</f>
        <v/>
      </c>
      <c r="P25" s="837" t="s">
        <v>463</v>
      </c>
      <c r="Q25" s="837">
        <v>1</v>
      </c>
      <c r="R25" s="2"/>
      <c r="S25" s="2"/>
      <c r="T25" s="847" t="s">
        <v>470</v>
      </c>
      <c r="U25" s="3" t="str">
        <f>IF('[1]E-ErgInt'!$E25="","",'[1]E-ErgInt'!$E25)</f>
        <v>Kapitaldienst (2 436,00 €) &lt; Kapitaldienstgrenze (17 394,97 €)</v>
      </c>
      <c r="V25" s="2"/>
      <c r="W25" s="2"/>
      <c r="X25" s="2"/>
      <c r="Y25" s="2"/>
      <c r="Z25" s="2"/>
      <c r="AA25" s="2"/>
    </row>
    <row r="26" spans="1:27" ht="12.75" customHeight="1" x14ac:dyDescent="0.2">
      <c r="A26" s="838"/>
      <c r="B26" s="835"/>
      <c r="C26" s="2"/>
      <c r="D26" s="2"/>
      <c r="E26" s="848" t="s">
        <v>624</v>
      </c>
      <c r="F26" s="439"/>
      <c r="G26" s="439"/>
      <c r="H26" s="439"/>
      <c r="I26" s="439"/>
      <c r="J26" s="439"/>
      <c r="K26" s="439"/>
      <c r="L26" s="439"/>
      <c r="M26" s="439"/>
      <c r="N26" s="846"/>
      <c r="O26" s="849"/>
      <c r="P26" s="837"/>
      <c r="Q26" s="2"/>
      <c r="R26" s="2"/>
      <c r="S26" s="2"/>
      <c r="T26" s="850" t="str">
        <f>IF(OR(H11="",H9=""),"Daten fehlen!","Kapitaldienst ("&amp;FIXED(-H11,2)&amp;" €) &lt; Kapitaldienstgrenze ("&amp;FIXED(H9,2)&amp;" €)")</f>
        <v>Daten fehlen!</v>
      </c>
      <c r="U26" s="3"/>
      <c r="V26" s="854"/>
      <c r="W26" s="2"/>
      <c r="X26" s="2"/>
      <c r="Y26" s="2"/>
      <c r="Z26" s="2"/>
      <c r="AA26" s="2"/>
    </row>
    <row r="27" spans="1:27" ht="12.75" customHeight="1" x14ac:dyDescent="0.2">
      <c r="A27" s="838"/>
      <c r="B27" s="835"/>
      <c r="C27" s="2"/>
      <c r="D27" s="2"/>
      <c r="E27" s="851"/>
      <c r="F27" s="1134" t="str">
        <f>IF(OR(H11="",H9=""),"Daten fehlen!","Der Vergleich dieser Werte bestätigt die oben getroffenen Aussagen. Der Kapitaldienst kann zwar abgeleistet werden. Für die Bildung von Rücklagen bzw. für eine privaten Vermögensbildung verbleiben jedoch keinerlei Reserven mehr.")</f>
        <v>Daten fehlen!</v>
      </c>
      <c r="G27" s="1134"/>
      <c r="H27" s="1134"/>
      <c r="I27" s="1134"/>
      <c r="J27" s="1134"/>
      <c r="K27" s="1134"/>
      <c r="L27" s="1134"/>
      <c r="M27" s="1134"/>
      <c r="N27" s="846"/>
      <c r="O27" s="843" t="str">
        <f>IF(AND(E27='[1]E-ErgInt'!E27,E30='[1]E-ErgInt'!E30,E33='[1]E-ErgInt'!E33),Q27,"")</f>
        <v/>
      </c>
      <c r="P27" s="837" t="s">
        <v>463</v>
      </c>
      <c r="Q27" s="837">
        <v>1</v>
      </c>
      <c r="R27" s="2"/>
      <c r="S27" s="2"/>
      <c r="T27" s="850" t="str">
        <f>IF(OR(H11="",H9=""),"Daten fehlen!","Kapitaldienst ("&amp;FIXED(-H11,2)&amp;" €) &gt; Kapitaldienstgrenze ("&amp;FIXED(H9,2)&amp;" €)")</f>
        <v>Daten fehlen!</v>
      </c>
      <c r="U27" s="3"/>
      <c r="V27" s="2"/>
      <c r="W27" s="2"/>
      <c r="X27" s="2"/>
      <c r="Y27" s="2"/>
      <c r="Z27" s="2"/>
      <c r="AA27" s="2"/>
    </row>
    <row r="28" spans="1:27" ht="12.75" customHeight="1" x14ac:dyDescent="0.2">
      <c r="A28" s="838"/>
      <c r="B28" s="835"/>
      <c r="C28" s="2"/>
      <c r="D28" s="2"/>
      <c r="E28" s="853"/>
      <c r="F28" s="1134"/>
      <c r="G28" s="1134"/>
      <c r="H28" s="1134"/>
      <c r="I28" s="1134"/>
      <c r="J28" s="1134"/>
      <c r="K28" s="1134"/>
      <c r="L28" s="1134"/>
      <c r="M28" s="1134"/>
      <c r="N28" s="846"/>
      <c r="O28" s="837"/>
      <c r="P28" s="837"/>
      <c r="Q28" s="837"/>
      <c r="R28" s="2"/>
      <c r="S28" s="2"/>
      <c r="T28" s="850" t="str">
        <f>IF(OR(H11="",H9=""),"Daten fehlen!","Kapitaldienst ("&amp;FIXED(-H11,2)&amp;" €) = Kapitaldienstgrenze ("&amp;FIXED(H9,2)&amp;" €)")</f>
        <v>Daten fehlen!</v>
      </c>
      <c r="U28" s="3"/>
      <c r="V28" s="2"/>
      <c r="W28" s="2"/>
      <c r="X28" s="2"/>
      <c r="Y28" s="2"/>
      <c r="Z28" s="2"/>
      <c r="AA28" s="2"/>
    </row>
    <row r="29" spans="1:27" ht="12.75" customHeight="1" x14ac:dyDescent="0.2">
      <c r="A29" s="838"/>
      <c r="B29" s="835"/>
      <c r="C29" s="2"/>
      <c r="D29" s="2"/>
      <c r="E29" s="853"/>
      <c r="F29" s="1134"/>
      <c r="G29" s="1134"/>
      <c r="H29" s="1134"/>
      <c r="I29" s="1134"/>
      <c r="J29" s="1134"/>
      <c r="K29" s="1134"/>
      <c r="L29" s="1134"/>
      <c r="M29" s="1134"/>
      <c r="N29" s="846"/>
      <c r="O29" s="837"/>
      <c r="P29" s="837"/>
      <c r="Q29" s="837"/>
      <c r="R29" s="2"/>
      <c r="S29" s="2"/>
      <c r="T29" s="2"/>
      <c r="U29" s="3"/>
      <c r="V29" s="854"/>
      <c r="W29" s="2"/>
      <c r="X29" s="2"/>
      <c r="Y29" s="2"/>
      <c r="Z29" s="2"/>
      <c r="AA29" s="2"/>
    </row>
    <row r="30" spans="1:27" ht="12.75" customHeight="1" x14ac:dyDescent="0.2">
      <c r="A30" s="838"/>
      <c r="B30" s="835"/>
      <c r="C30" s="2"/>
      <c r="D30" s="2"/>
      <c r="E30" s="851"/>
      <c r="F30" s="1134" t="str">
        <f>IF(OR(H11="",H9=""),"Daten fehlen!","Der Vergleich dieser Werte bestätigt die oben getroffenen Aussagen. Der Kapitaldienst kann ohne große Anstrengungen abgeleistet werden. Die verbleibenden Reserven können zur Bildung von Rücklagen und/oder zur privaten Vermögensbildung verwendet werden.")</f>
        <v>Daten fehlen!</v>
      </c>
      <c r="G30" s="1134"/>
      <c r="H30" s="1134"/>
      <c r="I30" s="1134"/>
      <c r="J30" s="1134"/>
      <c r="K30" s="1134"/>
      <c r="L30" s="1134"/>
      <c r="M30" s="1134"/>
      <c r="N30" s="846"/>
      <c r="O30" s="837"/>
      <c r="P30" s="837"/>
      <c r="Q30" s="837"/>
      <c r="R30" s="2"/>
      <c r="S30" s="2"/>
      <c r="T30" s="2"/>
      <c r="U30" s="3"/>
      <c r="V30" s="854"/>
      <c r="W30" s="2"/>
      <c r="X30" s="2"/>
      <c r="Y30" s="2"/>
      <c r="Z30" s="2"/>
      <c r="AA30" s="2"/>
    </row>
    <row r="31" spans="1:27" ht="12.75" customHeight="1" x14ac:dyDescent="0.2">
      <c r="A31" s="838"/>
      <c r="B31" s="835"/>
      <c r="C31" s="2"/>
      <c r="D31" s="2"/>
      <c r="E31" s="853"/>
      <c r="F31" s="1134"/>
      <c r="G31" s="1134"/>
      <c r="H31" s="1134"/>
      <c r="I31" s="1134"/>
      <c r="J31" s="1134"/>
      <c r="K31" s="1134"/>
      <c r="L31" s="1134"/>
      <c r="M31" s="1134"/>
      <c r="N31" s="846"/>
      <c r="O31" s="837"/>
      <c r="P31" s="837"/>
      <c r="Q31" s="837"/>
      <c r="R31" s="2"/>
      <c r="S31" s="2"/>
      <c r="T31" s="2"/>
      <c r="U31" s="3"/>
      <c r="V31" s="854"/>
      <c r="W31" s="2"/>
      <c r="X31" s="2"/>
      <c r="Y31" s="2"/>
      <c r="Z31" s="2"/>
      <c r="AA31" s="2"/>
    </row>
    <row r="32" spans="1:27" ht="12.75" customHeight="1" x14ac:dyDescent="0.2">
      <c r="A32" s="838"/>
      <c r="B32" s="835"/>
      <c r="C32" s="2"/>
      <c r="D32" s="2"/>
      <c r="E32" s="853"/>
      <c r="F32" s="1134"/>
      <c r="G32" s="1134"/>
      <c r="H32" s="1134"/>
      <c r="I32" s="1134"/>
      <c r="J32" s="1134"/>
      <c r="K32" s="1134"/>
      <c r="L32" s="1134"/>
      <c r="M32" s="1134"/>
      <c r="N32" s="846"/>
      <c r="O32" s="837"/>
      <c r="P32" s="837"/>
      <c r="Q32" s="837"/>
      <c r="R32" s="2"/>
      <c r="S32" s="2"/>
      <c r="T32" s="2"/>
      <c r="U32" s="3"/>
      <c r="V32" s="854"/>
      <c r="W32" s="2"/>
      <c r="X32" s="2"/>
      <c r="Y32" s="2"/>
      <c r="Z32" s="2"/>
      <c r="AA32" s="2"/>
    </row>
    <row r="33" spans="1:27" ht="12.75" customHeight="1" x14ac:dyDescent="0.2">
      <c r="A33" s="838"/>
      <c r="B33" s="835"/>
      <c r="C33" s="2"/>
      <c r="D33" s="2"/>
      <c r="E33" s="851"/>
      <c r="F33" s="1134" t="str">
        <f>IF(OR(H11="",H9=""),"Daten fehlen!","Der Vergleich dieser Werte bestätigt die oben getroffenen Aussagen. Weder Kapitaldienst noch Rücklagen- bzw. private Vermögensbildung sind möglich.")</f>
        <v>Daten fehlen!</v>
      </c>
      <c r="G33" s="1134"/>
      <c r="H33" s="1134"/>
      <c r="I33" s="1134"/>
      <c r="J33" s="1134"/>
      <c r="K33" s="1134"/>
      <c r="L33" s="1134"/>
      <c r="M33" s="1134"/>
      <c r="N33" s="846"/>
      <c r="O33" s="837"/>
      <c r="P33" s="837"/>
      <c r="Q33" s="837"/>
      <c r="R33" s="2"/>
      <c r="S33" s="2"/>
      <c r="T33" s="2"/>
      <c r="U33" s="3"/>
      <c r="V33" s="854"/>
      <c r="W33" s="2"/>
      <c r="X33" s="2"/>
      <c r="Y33" s="2"/>
      <c r="Z33" s="2"/>
      <c r="AA33" s="2"/>
    </row>
    <row r="34" spans="1:27" ht="12.75" customHeight="1" x14ac:dyDescent="0.2">
      <c r="A34" s="838"/>
      <c r="B34" s="835"/>
      <c r="C34" s="2"/>
      <c r="D34" s="2"/>
      <c r="E34" s="853"/>
      <c r="F34" s="1134"/>
      <c r="G34" s="1134"/>
      <c r="H34" s="1134"/>
      <c r="I34" s="1134"/>
      <c r="J34" s="1134"/>
      <c r="K34" s="1134"/>
      <c r="L34" s="1134"/>
      <c r="M34" s="1134"/>
      <c r="N34" s="846"/>
      <c r="O34" s="837"/>
      <c r="P34" s="837"/>
      <c r="Q34" s="837"/>
      <c r="R34" s="2"/>
      <c r="S34" s="2"/>
      <c r="T34" s="2"/>
      <c r="U34" s="3"/>
      <c r="V34" s="854"/>
      <c r="W34" s="2"/>
      <c r="X34" s="2"/>
      <c r="Y34" s="2"/>
      <c r="Z34" s="2"/>
      <c r="AA34" s="2"/>
    </row>
    <row r="35" spans="1:27" x14ac:dyDescent="0.2">
      <c r="A35" s="838"/>
      <c r="B35" s="835"/>
      <c r="C35" s="2"/>
      <c r="D35" s="2"/>
      <c r="E35" s="2"/>
      <c r="F35" s="2"/>
      <c r="G35" s="2"/>
      <c r="H35" s="2"/>
      <c r="I35" s="2"/>
      <c r="J35" s="2"/>
      <c r="K35" s="2"/>
      <c r="L35" s="2"/>
      <c r="M35" s="2"/>
      <c r="N35" s="2"/>
      <c r="O35" s="836"/>
      <c r="P35" s="837"/>
      <c r="Q35" s="837"/>
      <c r="R35" s="2"/>
      <c r="S35" s="2"/>
      <c r="T35" s="2"/>
      <c r="U35" s="2"/>
      <c r="V35" s="2"/>
      <c r="W35" s="2"/>
      <c r="X35" s="2"/>
      <c r="Y35" s="2"/>
      <c r="Z35" s="2"/>
      <c r="AA35" s="2"/>
    </row>
    <row r="36" spans="1:27" x14ac:dyDescent="0.2">
      <c r="A36" s="838"/>
      <c r="B36" s="835"/>
      <c r="C36" s="779" t="s">
        <v>471</v>
      </c>
      <c r="D36" s="856" t="s">
        <v>650</v>
      </c>
      <c r="E36" s="2"/>
      <c r="F36" s="2"/>
      <c r="G36" s="2"/>
      <c r="H36" s="2"/>
      <c r="I36" s="2"/>
      <c r="J36" s="2"/>
      <c r="K36" s="2"/>
      <c r="L36" s="2"/>
      <c r="M36" s="2"/>
      <c r="N36" s="2"/>
      <c r="O36" s="836"/>
      <c r="P36" s="837"/>
      <c r="Q36" s="837"/>
      <c r="R36" s="2"/>
      <c r="S36" s="2"/>
      <c r="T36" s="2"/>
      <c r="U36" s="2"/>
      <c r="V36" s="2"/>
      <c r="W36" s="2"/>
      <c r="X36" s="2"/>
      <c r="Y36" s="2"/>
      <c r="Z36" s="2"/>
      <c r="AA36" s="2"/>
    </row>
    <row r="37" spans="1:27" x14ac:dyDescent="0.2">
      <c r="A37" s="838"/>
      <c r="B37" s="835"/>
      <c r="C37" s="2"/>
      <c r="D37" s="2" t="s">
        <v>459</v>
      </c>
      <c r="E37" s="2" t="s">
        <v>472</v>
      </c>
      <c r="F37" s="2"/>
      <c r="G37" s="2"/>
      <c r="H37" s="2"/>
      <c r="I37" s="2"/>
      <c r="J37" s="2"/>
      <c r="K37" s="2"/>
      <c r="L37" s="2"/>
      <c r="M37" s="2"/>
      <c r="N37" s="2"/>
      <c r="O37" s="836"/>
      <c r="P37" s="837"/>
      <c r="Q37" s="837"/>
      <c r="R37" s="2"/>
      <c r="S37" s="2"/>
      <c r="T37" s="847" t="s">
        <v>12</v>
      </c>
      <c r="U37" s="2"/>
      <c r="V37" s="2"/>
      <c r="W37" s="2"/>
      <c r="X37" s="2"/>
      <c r="Y37" s="2"/>
      <c r="Z37" s="2"/>
      <c r="AA37" s="2"/>
    </row>
    <row r="38" spans="1:27" x14ac:dyDescent="0.2">
      <c r="A38" s="838"/>
      <c r="B38" s="835"/>
      <c r="C38" s="2"/>
      <c r="D38" s="2"/>
      <c r="E38" s="851"/>
      <c r="F38" s="2" t="s">
        <v>13</v>
      </c>
      <c r="G38" s="2"/>
      <c r="H38" s="2"/>
      <c r="I38" s="2"/>
      <c r="J38" s="2"/>
      <c r="K38" s="2"/>
      <c r="L38" s="2"/>
      <c r="M38" s="2"/>
      <c r="N38" s="2"/>
      <c r="O38" s="843" t="str">
        <f>IF(OR(AND(E38="",E40=""),AND(E38&lt;&gt;"",E40&lt;&gt;"",0)),"",IF(AND(E38='[1]E-ErgInt'!E38,E40='[1]E-ErgInt'!E40),Q38,0))</f>
        <v/>
      </c>
      <c r="P38" s="837" t="s">
        <v>463</v>
      </c>
      <c r="Q38" s="837">
        <v>1</v>
      </c>
      <c r="R38" s="2"/>
      <c r="S38" s="2"/>
      <c r="T38" s="850" t="s">
        <v>1</v>
      </c>
      <c r="U38" s="857"/>
      <c r="V38" s="2"/>
      <c r="W38" s="2"/>
      <c r="X38" s="2"/>
      <c r="Y38" s="2"/>
      <c r="Z38" s="2"/>
      <c r="AA38" s="2"/>
    </row>
    <row r="39" spans="1:27" ht="3.95" customHeight="1" x14ac:dyDescent="0.2">
      <c r="A39" s="838"/>
      <c r="B39" s="835"/>
      <c r="C39" s="2"/>
      <c r="D39" s="2"/>
      <c r="E39" s="2"/>
      <c r="F39" s="2"/>
      <c r="G39" s="2"/>
      <c r="H39" s="2"/>
      <c r="I39" s="2"/>
      <c r="J39" s="2"/>
      <c r="K39" s="2"/>
      <c r="L39" s="2"/>
      <c r="M39" s="2"/>
      <c r="N39" s="2"/>
      <c r="O39" s="836"/>
      <c r="P39" s="837"/>
      <c r="Q39" s="837"/>
      <c r="R39" s="2"/>
      <c r="S39" s="2"/>
      <c r="T39" s="854"/>
      <c r="U39" s="2"/>
      <c r="V39" s="2"/>
      <c r="W39" s="2"/>
      <c r="X39" s="2"/>
      <c r="Y39" s="2"/>
      <c r="Z39" s="2"/>
      <c r="AA39" s="2"/>
    </row>
    <row r="40" spans="1:27" x14ac:dyDescent="0.2">
      <c r="A40" s="838"/>
      <c r="B40" s="835"/>
      <c r="C40" s="2"/>
      <c r="D40" s="2"/>
      <c r="E40" s="851"/>
      <c r="F40" s="2" t="s">
        <v>14</v>
      </c>
      <c r="G40" s="2"/>
      <c r="H40" s="2"/>
      <c r="I40" s="2"/>
      <c r="J40" s="2"/>
      <c r="K40" s="2"/>
      <c r="L40" s="2"/>
      <c r="M40" s="2"/>
      <c r="N40" s="2"/>
      <c r="O40" s="836"/>
      <c r="P40" s="837"/>
      <c r="Q40" s="837"/>
      <c r="R40" s="2"/>
      <c r="S40" s="2"/>
      <c r="T40" s="854"/>
      <c r="U40" s="2"/>
      <c r="V40" s="2"/>
      <c r="W40" s="2"/>
      <c r="X40" s="2"/>
      <c r="Y40" s="2"/>
      <c r="Z40" s="2"/>
      <c r="AA40" s="2"/>
    </row>
    <row r="41" spans="1:27" ht="8.1" customHeight="1" x14ac:dyDescent="0.2">
      <c r="A41" s="838"/>
      <c r="B41" s="835"/>
      <c r="C41" s="2"/>
      <c r="D41" s="2"/>
      <c r="E41" s="2"/>
      <c r="F41" s="2"/>
      <c r="G41" s="2"/>
      <c r="H41" s="2"/>
      <c r="I41" s="2"/>
      <c r="J41" s="2"/>
      <c r="K41" s="2"/>
      <c r="L41" s="2"/>
      <c r="M41" s="2"/>
      <c r="N41" s="2"/>
      <c r="O41" s="836"/>
      <c r="P41" s="837"/>
      <c r="Q41" s="837"/>
      <c r="R41" s="2"/>
      <c r="S41" s="2"/>
      <c r="T41" s="2"/>
      <c r="U41" s="2"/>
      <c r="V41" s="2"/>
      <c r="W41" s="2"/>
      <c r="X41" s="2"/>
      <c r="Y41" s="2"/>
      <c r="Z41" s="2"/>
      <c r="AA41" s="2"/>
    </row>
    <row r="42" spans="1:27" x14ac:dyDescent="0.2">
      <c r="A42" s="838"/>
      <c r="B42" s="835"/>
      <c r="C42" s="2"/>
      <c r="D42" s="2"/>
      <c r="E42" s="2" t="s">
        <v>473</v>
      </c>
      <c r="F42" s="2"/>
      <c r="G42" s="2"/>
      <c r="H42" s="858"/>
      <c r="I42" s="841" t="s">
        <v>462</v>
      </c>
      <c r="J42" s="2"/>
      <c r="K42" s="859"/>
      <c r="L42" s="859"/>
      <c r="M42" s="2"/>
      <c r="N42" s="2"/>
      <c r="O42" s="843" t="str">
        <f>IF(H42="","",IF(ROUND('[1]E-ErgInt'!H42,Korrektur!R1)=ROUND(H42,Korrektur!R1),Q42,0))</f>
        <v/>
      </c>
      <c r="P42" s="837" t="s">
        <v>463</v>
      </c>
      <c r="Q42" s="837">
        <v>1</v>
      </c>
      <c r="R42" s="2"/>
      <c r="S42" s="2"/>
      <c r="T42" s="2"/>
      <c r="U42" s="2"/>
      <c r="V42" s="2"/>
      <c r="W42" s="2"/>
      <c r="X42" s="2"/>
      <c r="Y42" s="2"/>
      <c r="Z42" s="2"/>
      <c r="AA42" s="2"/>
    </row>
    <row r="43" spans="1:27" ht="3.95" customHeight="1" x14ac:dyDescent="0.2">
      <c r="A43" s="838"/>
      <c r="B43" s="835"/>
      <c r="C43" s="2"/>
      <c r="D43" s="2"/>
      <c r="E43" s="2"/>
      <c r="F43" s="2"/>
      <c r="G43" s="2"/>
      <c r="H43" s="2"/>
      <c r="I43" s="860"/>
      <c r="J43" s="2"/>
      <c r="K43" s="859"/>
      <c r="L43" s="859"/>
      <c r="M43" s="2"/>
      <c r="N43" s="2"/>
      <c r="O43" s="836"/>
      <c r="P43" s="837"/>
      <c r="Q43" s="837"/>
      <c r="R43" s="2"/>
      <c r="S43" s="2"/>
      <c r="T43" s="2"/>
      <c r="U43" s="2"/>
      <c r="V43" s="2"/>
      <c r="W43" s="2"/>
      <c r="X43" s="2"/>
      <c r="Y43" s="2"/>
      <c r="Z43" s="2"/>
      <c r="AA43" s="2"/>
    </row>
    <row r="44" spans="1:27" x14ac:dyDescent="0.2">
      <c r="A44" s="838"/>
      <c r="B44" s="835"/>
      <c r="C44" s="2"/>
      <c r="D44" s="2"/>
      <c r="E44" s="2" t="s">
        <v>474</v>
      </c>
      <c r="F44" s="2"/>
      <c r="G44" s="2"/>
      <c r="H44" s="858"/>
      <c r="I44" s="841" t="s">
        <v>462</v>
      </c>
      <c r="J44" s="2"/>
      <c r="K44" s="861" t="s">
        <v>475</v>
      </c>
      <c r="L44" s="859"/>
      <c r="M44" s="2"/>
      <c r="N44" s="2"/>
      <c r="O44" s="843" t="str">
        <f>IF(H44="","",IF(ROUND('[1]E-ErgInt'!H44,Korrektur!R1)=ROUND(H44,Korrektur!R1),Q44,0))</f>
        <v/>
      </c>
      <c r="P44" s="837" t="s">
        <v>463</v>
      </c>
      <c r="Q44" s="837">
        <v>1</v>
      </c>
      <c r="R44" s="2"/>
      <c r="S44" s="2"/>
      <c r="T44" s="2"/>
      <c r="U44" s="2"/>
      <c r="V44" s="2"/>
      <c r="W44" s="2"/>
      <c r="X44" s="2"/>
      <c r="Y44" s="2"/>
      <c r="Z44" s="2"/>
      <c r="AA44" s="2"/>
    </row>
    <row r="45" spans="1:27" ht="3.95" customHeight="1" x14ac:dyDescent="0.2">
      <c r="A45" s="838"/>
      <c r="B45" s="835"/>
      <c r="C45" s="2"/>
      <c r="D45" s="2"/>
      <c r="E45" s="2"/>
      <c r="F45" s="2"/>
      <c r="G45" s="2"/>
      <c r="H45" s="511"/>
      <c r="I45" s="2"/>
      <c r="J45" s="2"/>
      <c r="K45" s="859"/>
      <c r="L45" s="859"/>
      <c r="M45" s="2"/>
      <c r="N45" s="2"/>
      <c r="O45" s="836"/>
      <c r="P45" s="837"/>
      <c r="Q45" s="837"/>
      <c r="R45" s="2"/>
      <c r="S45" s="2"/>
      <c r="T45" s="2"/>
      <c r="U45" s="2"/>
      <c r="V45" s="2"/>
      <c r="W45" s="2"/>
      <c r="X45" s="2"/>
      <c r="Y45" s="2"/>
      <c r="Z45" s="2"/>
      <c r="AA45" s="2"/>
    </row>
    <row r="46" spans="1:27" x14ac:dyDescent="0.2">
      <c r="A46" s="838"/>
      <c r="B46" s="835"/>
      <c r="C46" s="2"/>
      <c r="D46" s="2"/>
      <c r="E46" s="862" t="s">
        <v>476</v>
      </c>
      <c r="F46" s="862"/>
      <c r="G46" s="863"/>
      <c r="H46" s="864"/>
      <c r="I46" s="2"/>
      <c r="J46" s="2"/>
      <c r="K46" s="859"/>
      <c r="L46" s="859"/>
      <c r="M46" s="2"/>
      <c r="N46" s="2"/>
      <c r="O46" s="843" t="str">
        <f>IF(H46="","",IF(ROUND('[1]E-ErgInt'!H46,Korrektur!R1)=ROUND(H46,Korrektur!R1),Q46,0))</f>
        <v/>
      </c>
      <c r="P46" s="837" t="s">
        <v>463</v>
      </c>
      <c r="Q46" s="837">
        <v>1</v>
      </c>
      <c r="R46" s="2"/>
      <c r="S46" s="2"/>
      <c r="T46" s="2"/>
      <c r="U46" s="2"/>
      <c r="V46" s="2"/>
      <c r="W46" s="2"/>
      <c r="X46" s="2"/>
      <c r="Y46" s="2"/>
      <c r="Z46" s="2"/>
      <c r="AA46" s="2"/>
    </row>
    <row r="47" spans="1:27" x14ac:dyDescent="0.2">
      <c r="A47" s="838"/>
      <c r="B47" s="835"/>
      <c r="C47" s="2"/>
      <c r="D47" s="2"/>
      <c r="E47" s="859"/>
      <c r="F47" s="859"/>
      <c r="G47" s="859"/>
      <c r="H47" s="859"/>
      <c r="I47" s="859"/>
      <c r="J47" s="859"/>
      <c r="K47" s="859"/>
      <c r="L47" s="859"/>
      <c r="M47" s="2"/>
      <c r="N47" s="2"/>
      <c r="O47" s="836"/>
      <c r="P47" s="837"/>
      <c r="Q47" s="837"/>
      <c r="R47" s="2"/>
      <c r="S47" s="2"/>
      <c r="T47" s="2"/>
      <c r="U47" s="2"/>
      <c r="V47" s="2"/>
      <c r="W47" s="2"/>
      <c r="X47" s="2"/>
      <c r="Y47" s="2"/>
      <c r="Z47" s="2"/>
      <c r="AA47" s="2"/>
    </row>
    <row r="48" spans="1:27" x14ac:dyDescent="0.2">
      <c r="A48" s="838"/>
      <c r="B48" s="835"/>
      <c r="C48" s="2"/>
      <c r="D48" s="2"/>
      <c r="E48" s="2" t="s">
        <v>477</v>
      </c>
      <c r="F48" s="2"/>
      <c r="G48" s="2"/>
      <c r="H48" s="2"/>
      <c r="I48" s="2"/>
      <c r="J48" s="2"/>
      <c r="K48" s="2"/>
      <c r="L48" s="2"/>
      <c r="M48" s="2"/>
      <c r="N48" s="2"/>
      <c r="O48" s="836"/>
      <c r="P48" s="837"/>
      <c r="Q48" s="837"/>
      <c r="R48" s="2"/>
      <c r="S48" s="2"/>
      <c r="T48" s="2"/>
      <c r="U48" s="2"/>
      <c r="V48" s="2"/>
      <c r="W48" s="2"/>
      <c r="X48" s="2"/>
      <c r="Y48" s="2"/>
      <c r="Z48" s="2"/>
      <c r="AA48" s="2"/>
    </row>
    <row r="49" spans="1:27" ht="12.75" customHeight="1" x14ac:dyDescent="0.2">
      <c r="A49" s="838"/>
      <c r="B49" s="835"/>
      <c r="C49" s="2"/>
      <c r="D49" s="2"/>
      <c r="E49" s="1135"/>
      <c r="F49" s="1136"/>
      <c r="G49" s="1136"/>
      <c r="H49" s="1136"/>
      <c r="I49" s="1136"/>
      <c r="J49" s="1136"/>
      <c r="K49" s="1136"/>
      <c r="L49" s="1136"/>
      <c r="M49" s="1137"/>
      <c r="N49" s="846"/>
      <c r="O49" s="843" t="str">
        <f>IF(E49="","",IF(U49=E49,Q49,0))</f>
        <v/>
      </c>
      <c r="P49" s="837" t="s">
        <v>463</v>
      </c>
      <c r="Q49" s="837">
        <v>1</v>
      </c>
      <c r="R49" s="2"/>
      <c r="S49" s="2"/>
      <c r="T49" s="847" t="s">
        <v>478</v>
      </c>
      <c r="U49" s="2" t="str">
        <f>IF('[1]E-ErgInt'!$E49="","",'[1]E-ErgInt'!$E49)</f>
        <v>Kapitalkosten (8 683,08 €) &gt; Leistung der Investition (2 141,61 €)</v>
      </c>
      <c r="V49" s="2"/>
      <c r="W49" s="2"/>
      <c r="X49" s="2"/>
      <c r="Y49" s="2"/>
      <c r="Z49" s="2"/>
      <c r="AA49" s="2"/>
    </row>
    <row r="50" spans="1:27" ht="12.75" customHeight="1" x14ac:dyDescent="0.2">
      <c r="A50" s="838"/>
      <c r="B50" s="835"/>
      <c r="C50" s="2"/>
      <c r="D50" s="2"/>
      <c r="E50" s="848" t="s">
        <v>624</v>
      </c>
      <c r="F50" s="439"/>
      <c r="G50" s="439"/>
      <c r="H50" s="439"/>
      <c r="I50" s="439"/>
      <c r="J50" s="439"/>
      <c r="K50" s="439"/>
      <c r="L50" s="439"/>
      <c r="M50" s="439"/>
      <c r="N50" s="846"/>
      <c r="O50" s="849"/>
      <c r="P50" s="837"/>
      <c r="Q50" s="2"/>
      <c r="R50" s="2"/>
      <c r="S50" s="2"/>
      <c r="T50" s="850" t="str">
        <f>IF(OR(H44="",H42=""),"Daten fehlen!","Kapitalkosten ("&amp;FIXED(-H44,2)&amp;" €) = Leistung der Investition ("&amp;FIXED(H42,2)&amp;" €)")</f>
        <v>Daten fehlen!</v>
      </c>
      <c r="U50" s="2"/>
      <c r="V50" s="2"/>
      <c r="W50" s="2"/>
      <c r="X50" s="2"/>
      <c r="Y50" s="2"/>
      <c r="Z50" s="2"/>
      <c r="AA50" s="2"/>
    </row>
    <row r="51" spans="1:27" ht="12.75" customHeight="1" x14ac:dyDescent="0.2">
      <c r="A51" s="838"/>
      <c r="B51" s="835"/>
      <c r="C51" s="2"/>
      <c r="D51" s="2"/>
      <c r="E51" s="851"/>
      <c r="F51" s="1134" t="str">
        <f>IF(OR(H44="",H42=""),"Daten fehlen!","Das Projekt ist nicht wirtschaftlich! Die Leistung der Investition ist zwar positiv. Sie kann aber die entstehenden Kosten nicht abdecken!")</f>
        <v>Daten fehlen!</v>
      </c>
      <c r="G51" s="1134"/>
      <c r="H51" s="1134"/>
      <c r="I51" s="1134"/>
      <c r="J51" s="1134"/>
      <c r="K51" s="1134"/>
      <c r="L51" s="1134"/>
      <c r="M51" s="1134"/>
      <c r="N51" s="846"/>
      <c r="O51" s="843" t="str">
        <f>IF(AND(E51='[1]E-ErgInt'!E51,E53='[1]E-ErgInt'!E53,E55='[1]E-ErgInt'!E55,E57='[1]E-ErgInt'!E57),Q51,"")</f>
        <v/>
      </c>
      <c r="P51" s="837" t="s">
        <v>463</v>
      </c>
      <c r="Q51" s="837">
        <v>1</v>
      </c>
      <c r="R51" s="2"/>
      <c r="S51" s="2"/>
      <c r="T51" s="850" t="str">
        <f>IF(OR(H44="",H42=""),"Daten fehlen!","Kapitalkosten ("&amp;FIXED(-H44,2)&amp;" €) &lt; Leistung der Investition ("&amp;FIXED(H42,2)&amp;" €)")</f>
        <v>Daten fehlen!</v>
      </c>
      <c r="U51" s="2"/>
      <c r="V51" s="2"/>
      <c r="W51" s="2"/>
      <c r="X51" s="2"/>
      <c r="Y51" s="2"/>
      <c r="Z51" s="2"/>
      <c r="AA51" s="2"/>
    </row>
    <row r="52" spans="1:27" ht="12.75" customHeight="1" x14ac:dyDescent="0.2">
      <c r="A52" s="838"/>
      <c r="B52" s="835"/>
      <c r="C52" s="2"/>
      <c r="D52" s="2"/>
      <c r="E52" s="853"/>
      <c r="F52" s="1134"/>
      <c r="G52" s="1134"/>
      <c r="H52" s="1134"/>
      <c r="I52" s="1134"/>
      <c r="J52" s="1134"/>
      <c r="K52" s="1134"/>
      <c r="L52" s="1134"/>
      <c r="M52" s="1134"/>
      <c r="N52" s="846"/>
      <c r="O52" s="836"/>
      <c r="P52" s="837"/>
      <c r="Q52" s="837"/>
      <c r="R52" s="2"/>
      <c r="S52" s="2"/>
      <c r="T52" s="850" t="str">
        <f>IF(OR(H44="",H42=""),"Daten fehlen!","Kapitalkosten ("&amp;FIXED(-H44,2)&amp;" €) &gt; Leistung der Investition ("&amp;FIXED(H42,2)&amp;" €)")</f>
        <v>Daten fehlen!</v>
      </c>
      <c r="U52" s="2"/>
      <c r="V52" s="2"/>
      <c r="W52" s="2"/>
      <c r="X52" s="2"/>
      <c r="Y52" s="2"/>
      <c r="Z52" s="2"/>
      <c r="AA52" s="2"/>
    </row>
    <row r="53" spans="1:27" ht="12.75" customHeight="1" x14ac:dyDescent="0.2">
      <c r="A53" s="838"/>
      <c r="B53" s="835"/>
      <c r="C53" s="2"/>
      <c r="D53" s="2"/>
      <c r="E53" s="851"/>
      <c r="F53" s="1134" t="str">
        <f>IF(OR(H44="",H42=""),"Daten fehlen!","Die Leistung der Investition ist gleich hoch wie ihre Kosten. Da die Kosten mit der Annuitätenmethode etwas überbewertet werden, kann das Projekt durchaus als wirtschaftlich eingestuft werden!")</f>
        <v>Daten fehlen!</v>
      </c>
      <c r="G53" s="1134"/>
      <c r="H53" s="1134"/>
      <c r="I53" s="1134"/>
      <c r="J53" s="1134"/>
      <c r="K53" s="1134"/>
      <c r="L53" s="1134"/>
      <c r="M53" s="1134"/>
      <c r="N53" s="846"/>
      <c r="O53" s="836"/>
      <c r="P53" s="837"/>
      <c r="Q53" s="837"/>
      <c r="R53" s="2"/>
      <c r="S53" s="2"/>
      <c r="T53" s="847"/>
      <c r="U53" s="2"/>
      <c r="V53" s="2"/>
      <c r="W53" s="2"/>
      <c r="X53" s="2"/>
      <c r="Y53" s="2"/>
      <c r="Z53" s="2"/>
      <c r="AA53" s="2"/>
    </row>
    <row r="54" spans="1:27" ht="12.75" customHeight="1" x14ac:dyDescent="0.2">
      <c r="A54" s="838"/>
      <c r="B54" s="835"/>
      <c r="C54" s="2"/>
      <c r="D54" s="2"/>
      <c r="E54" s="853"/>
      <c r="F54" s="1134"/>
      <c r="G54" s="1134"/>
      <c r="H54" s="1134"/>
      <c r="I54" s="1134"/>
      <c r="J54" s="1134"/>
      <c r="K54" s="1134"/>
      <c r="L54" s="1134"/>
      <c r="M54" s="1134"/>
      <c r="N54" s="846"/>
      <c r="O54" s="836"/>
      <c r="P54" s="837"/>
      <c r="Q54" s="837"/>
      <c r="R54" s="2"/>
      <c r="S54" s="2"/>
      <c r="T54" s="2"/>
      <c r="U54" s="2"/>
      <c r="V54" s="2"/>
      <c r="W54" s="2"/>
      <c r="X54" s="2"/>
      <c r="Y54" s="2"/>
      <c r="Z54" s="2"/>
      <c r="AA54" s="2"/>
    </row>
    <row r="55" spans="1:27" ht="12.75" customHeight="1" x14ac:dyDescent="0.2">
      <c r="A55" s="838"/>
      <c r="B55" s="835"/>
      <c r="C55" s="2"/>
      <c r="D55" s="2"/>
      <c r="E55" s="851"/>
      <c r="F55" s="1134" t="str">
        <f>IF(OR(H44="",H42=""),"Daten fehlen!","Das Projekt ist nicht wirtschaftlich! Die Leistung des Projektes ist negativ. Das Einkommen sinkt also nach Umsetzung des Projektes. An die Abdeckung der entstehenden Kosten ist gar nicht zu denken!")</f>
        <v>Daten fehlen!</v>
      </c>
      <c r="G55" s="1134"/>
      <c r="H55" s="1134"/>
      <c r="I55" s="1134"/>
      <c r="J55" s="1134"/>
      <c r="K55" s="1134"/>
      <c r="L55" s="1134"/>
      <c r="M55" s="1134"/>
      <c r="N55" s="846"/>
      <c r="O55" s="836"/>
      <c r="P55" s="837"/>
      <c r="Q55" s="837"/>
      <c r="R55" s="2"/>
      <c r="S55" s="2"/>
      <c r="T55" s="2"/>
      <c r="U55" s="2"/>
      <c r="V55" s="2"/>
      <c r="W55" s="2"/>
      <c r="X55" s="2"/>
      <c r="Y55" s="2"/>
      <c r="Z55" s="2"/>
      <c r="AA55" s="2"/>
    </row>
    <row r="56" spans="1:27" ht="12.75" customHeight="1" x14ac:dyDescent="0.2">
      <c r="A56" s="838"/>
      <c r="B56" s="835"/>
      <c r="C56" s="2"/>
      <c r="D56" s="2"/>
      <c r="E56" s="853"/>
      <c r="F56" s="1134"/>
      <c r="G56" s="1134"/>
      <c r="H56" s="1134"/>
      <c r="I56" s="1134"/>
      <c r="J56" s="1134"/>
      <c r="K56" s="1134"/>
      <c r="L56" s="1134"/>
      <c r="M56" s="1134"/>
      <c r="N56" s="846"/>
      <c r="O56" s="836"/>
      <c r="P56" s="837"/>
      <c r="Q56" s="837"/>
      <c r="R56" s="2"/>
      <c r="S56" s="2"/>
      <c r="T56" s="2"/>
      <c r="U56" s="2"/>
      <c r="V56" s="2"/>
      <c r="W56" s="2"/>
      <c r="X56" s="2"/>
      <c r="Y56" s="2"/>
      <c r="Z56" s="2"/>
      <c r="AA56" s="2"/>
    </row>
    <row r="57" spans="1:27" ht="12.75" customHeight="1" x14ac:dyDescent="0.2">
      <c r="A57" s="838"/>
      <c r="B57" s="835"/>
      <c r="C57" s="2"/>
      <c r="D57" s="2"/>
      <c r="E57" s="851"/>
      <c r="F57" s="1134" t="str">
        <f>IF(OR(H44="",H42=""),"Daten fehlen!","Das Projekt ist wirtschaftlich! Die Leistung der Investition ist deutlich höher als deren Kosten.")</f>
        <v>Daten fehlen!</v>
      </c>
      <c r="G57" s="1134"/>
      <c r="H57" s="1134"/>
      <c r="I57" s="1134"/>
      <c r="J57" s="1134"/>
      <c r="K57" s="1134"/>
      <c r="L57" s="1134"/>
      <c r="M57" s="1134"/>
      <c r="N57" s="846"/>
      <c r="O57" s="836"/>
      <c r="P57" s="837"/>
      <c r="Q57" s="837"/>
      <c r="R57" s="2"/>
      <c r="S57" s="2"/>
      <c r="T57" s="854"/>
      <c r="U57" s="2"/>
      <c r="V57" s="2"/>
      <c r="W57" s="2"/>
      <c r="X57" s="2"/>
      <c r="Y57" s="2"/>
      <c r="Z57" s="2"/>
      <c r="AA57" s="2"/>
    </row>
    <row r="58" spans="1:27" ht="12.75" customHeight="1" x14ac:dyDescent="0.2">
      <c r="A58" s="838"/>
      <c r="B58" s="835"/>
      <c r="C58" s="2"/>
      <c r="D58" s="853"/>
      <c r="E58" s="853"/>
      <c r="F58" s="853"/>
      <c r="G58" s="853"/>
      <c r="H58" s="853"/>
      <c r="I58" s="853"/>
      <c r="J58" s="853"/>
      <c r="K58" s="853"/>
      <c r="L58" s="853"/>
      <c r="M58" s="853"/>
      <c r="N58" s="853"/>
      <c r="O58" s="836"/>
      <c r="P58" s="837"/>
      <c r="Q58" s="837"/>
      <c r="R58" s="2"/>
      <c r="S58" s="2"/>
      <c r="T58" s="854"/>
      <c r="U58" s="2"/>
      <c r="V58" s="2"/>
      <c r="W58" s="2"/>
      <c r="X58" s="2"/>
      <c r="Y58" s="2"/>
      <c r="Z58" s="2"/>
      <c r="AA58" s="2"/>
    </row>
    <row r="59" spans="1:27" x14ac:dyDescent="0.2">
      <c r="A59" s="838"/>
      <c r="B59" s="835"/>
      <c r="C59" s="2"/>
      <c r="D59" s="2" t="s">
        <v>467</v>
      </c>
      <c r="E59" s="2" t="s">
        <v>479</v>
      </c>
      <c r="F59" s="2"/>
      <c r="G59" s="2"/>
      <c r="H59" s="2"/>
      <c r="I59" s="2"/>
      <c r="J59" s="2"/>
      <c r="K59" s="2"/>
      <c r="L59" s="2"/>
      <c r="M59" s="2"/>
      <c r="N59" s="2"/>
      <c r="O59" s="836"/>
      <c r="P59" s="837"/>
      <c r="Q59" s="837"/>
      <c r="R59" s="2"/>
      <c r="S59" s="2"/>
      <c r="T59" s="2"/>
      <c r="U59" s="2"/>
      <c r="V59" s="2"/>
      <c r="W59" s="2"/>
      <c r="X59" s="2"/>
      <c r="Y59" s="2"/>
      <c r="Z59" s="2"/>
      <c r="AA59" s="2"/>
    </row>
    <row r="60" spans="1:27" x14ac:dyDescent="0.2">
      <c r="A60" s="838"/>
      <c r="B60" s="835"/>
      <c r="C60" s="2"/>
      <c r="D60" s="2"/>
      <c r="E60" s="851"/>
      <c r="F60" s="2" t="s">
        <v>13</v>
      </c>
      <c r="G60" s="2"/>
      <c r="H60" s="2"/>
      <c r="I60" s="2"/>
      <c r="J60" s="2"/>
      <c r="K60" s="2"/>
      <c r="L60" s="2"/>
      <c r="M60" s="2"/>
      <c r="N60" s="2"/>
      <c r="O60" s="843" t="str">
        <f>IF(OR(AND(E60="",E62=""),AND(E60&lt;&gt;"",E62&lt;&gt;"",0)),"",IF(AND(E60='[1]E-ErgInt'!E60,E62='[1]E-ErgInt'!E62),Q60,0))</f>
        <v/>
      </c>
      <c r="P60" s="837" t="s">
        <v>463</v>
      </c>
      <c r="Q60" s="837">
        <v>1</v>
      </c>
      <c r="R60" s="2"/>
      <c r="S60" s="2"/>
      <c r="T60" s="2"/>
      <c r="U60" s="2"/>
      <c r="V60" s="2"/>
      <c r="W60" s="2"/>
      <c r="X60" s="2"/>
      <c r="Y60" s="2"/>
      <c r="Z60" s="2"/>
      <c r="AA60" s="2"/>
    </row>
    <row r="61" spans="1:27" ht="3.95" customHeight="1" x14ac:dyDescent="0.2">
      <c r="A61" s="838"/>
      <c r="B61" s="835"/>
      <c r="C61" s="2"/>
      <c r="D61" s="2"/>
      <c r="E61" s="2"/>
      <c r="F61" s="2"/>
      <c r="G61" s="2"/>
      <c r="H61" s="2"/>
      <c r="I61" s="2"/>
      <c r="J61" s="2"/>
      <c r="K61" s="2"/>
      <c r="L61" s="2"/>
      <c r="M61" s="2"/>
      <c r="N61" s="2"/>
      <c r="O61" s="836"/>
      <c r="P61" s="837"/>
      <c r="Q61" s="837"/>
      <c r="R61" s="2"/>
      <c r="S61" s="2"/>
      <c r="T61" s="2"/>
      <c r="U61" s="2"/>
      <c r="V61" s="2"/>
      <c r="W61" s="2"/>
      <c r="X61" s="2"/>
      <c r="Y61" s="2"/>
      <c r="Z61" s="2"/>
      <c r="AA61" s="2"/>
    </row>
    <row r="62" spans="1:27" x14ac:dyDescent="0.2">
      <c r="A62" s="838"/>
      <c r="B62" s="835"/>
      <c r="C62" s="2"/>
      <c r="D62" s="2"/>
      <c r="E62" s="851"/>
      <c r="F62" s="2" t="s">
        <v>14</v>
      </c>
      <c r="G62" s="2"/>
      <c r="H62" s="2"/>
      <c r="I62" s="2"/>
      <c r="J62" s="2"/>
      <c r="K62" s="2"/>
      <c r="L62" s="2"/>
      <c r="M62" s="2"/>
      <c r="N62" s="2"/>
      <c r="O62" s="849"/>
      <c r="P62" s="837"/>
      <c r="Q62" s="2"/>
      <c r="R62" s="2"/>
      <c r="S62" s="2"/>
      <c r="T62" s="2"/>
      <c r="U62" s="2"/>
      <c r="V62" s="2"/>
      <c r="W62" s="2"/>
      <c r="X62" s="2"/>
      <c r="Y62" s="2"/>
      <c r="Z62" s="2"/>
      <c r="AA62" s="2"/>
    </row>
    <row r="63" spans="1:27" ht="8.1" customHeight="1" x14ac:dyDescent="0.2">
      <c r="A63" s="838"/>
      <c r="B63" s="835"/>
      <c r="C63" s="2"/>
      <c r="D63" s="2"/>
      <c r="E63" s="2"/>
      <c r="F63" s="2"/>
      <c r="G63" s="2"/>
      <c r="H63" s="2"/>
      <c r="I63" s="2"/>
      <c r="J63" s="2"/>
      <c r="K63" s="2"/>
      <c r="L63" s="2"/>
      <c r="M63" s="2"/>
      <c r="N63" s="2"/>
      <c r="O63" s="836"/>
      <c r="P63" s="837"/>
      <c r="Q63" s="837"/>
      <c r="R63" s="2"/>
      <c r="S63" s="2"/>
      <c r="T63" s="2"/>
      <c r="U63" s="2"/>
      <c r="V63" s="2"/>
      <c r="W63" s="2"/>
      <c r="X63" s="2"/>
      <c r="Y63" s="2"/>
      <c r="Z63" s="2"/>
      <c r="AA63" s="2"/>
    </row>
    <row r="64" spans="1:27" x14ac:dyDescent="0.2">
      <c r="A64" s="838"/>
      <c r="B64" s="835"/>
      <c r="C64" s="2"/>
      <c r="D64" s="2"/>
      <c r="E64" s="2" t="s">
        <v>480</v>
      </c>
      <c r="F64" s="2"/>
      <c r="G64" s="2"/>
      <c r="H64" s="2"/>
      <c r="I64" s="2"/>
      <c r="J64" s="2"/>
      <c r="K64" s="858"/>
      <c r="L64" s="841" t="s">
        <v>462</v>
      </c>
      <c r="M64" s="2"/>
      <c r="N64" s="2"/>
      <c r="O64" s="843" t="str">
        <f>IF(K64="","",IF(ROUND('[1]E-ErgInt'!K64,Korrektur!R1)=ROUND(K64,Korrektur!R1),Q64,0))</f>
        <v/>
      </c>
      <c r="P64" s="837" t="s">
        <v>463</v>
      </c>
      <c r="Q64" s="837">
        <v>1</v>
      </c>
      <c r="R64" s="2"/>
      <c r="S64" s="2"/>
      <c r="T64" s="2"/>
      <c r="U64" s="2"/>
      <c r="V64" s="2"/>
      <c r="W64" s="2"/>
      <c r="X64" s="2"/>
      <c r="Y64" s="2"/>
      <c r="Z64" s="2"/>
      <c r="AA64" s="2"/>
    </row>
    <row r="65" spans="1:27" ht="3.95" customHeight="1" x14ac:dyDescent="0.2">
      <c r="A65" s="838"/>
      <c r="B65" s="835"/>
      <c r="C65" s="2"/>
      <c r="D65" s="2"/>
      <c r="E65" s="2"/>
      <c r="F65" s="2"/>
      <c r="G65" s="2"/>
      <c r="H65" s="2"/>
      <c r="I65" s="2"/>
      <c r="J65" s="2"/>
      <c r="K65" s="2"/>
      <c r="L65" s="2"/>
      <c r="M65" s="2"/>
      <c r="N65" s="2"/>
      <c r="O65" s="836"/>
      <c r="P65" s="837"/>
      <c r="Q65" s="837"/>
      <c r="R65" s="2"/>
      <c r="S65" s="2"/>
      <c r="T65" s="2"/>
      <c r="U65" s="2"/>
      <c r="V65" s="2"/>
      <c r="W65" s="2"/>
      <c r="X65" s="2"/>
      <c r="Y65" s="2"/>
      <c r="Z65" s="2"/>
      <c r="AA65" s="2"/>
    </row>
    <row r="66" spans="1:27" x14ac:dyDescent="0.2">
      <c r="A66" s="838"/>
      <c r="B66" s="835"/>
      <c r="C66" s="2"/>
      <c r="D66" s="2"/>
      <c r="E66" s="2" t="s">
        <v>481</v>
      </c>
      <c r="F66" s="2"/>
      <c r="G66" s="2"/>
      <c r="H66" s="2"/>
      <c r="I66" s="2"/>
      <c r="J66" s="2"/>
      <c r="K66" s="858"/>
      <c r="L66" s="841" t="s">
        <v>462</v>
      </c>
      <c r="M66" s="2"/>
      <c r="N66" s="2"/>
      <c r="O66" s="843" t="str">
        <f>IF(K66="","",IF(ROUND('[1]E-ErgInt'!K66,Korrektur!R1)=ROUND(K66,Korrektur!R1),Q66,0))</f>
        <v/>
      </c>
      <c r="P66" s="837" t="s">
        <v>463</v>
      </c>
      <c r="Q66" s="837">
        <v>1</v>
      </c>
      <c r="R66" s="2"/>
      <c r="S66" s="2"/>
      <c r="T66" s="2"/>
      <c r="U66" s="2"/>
      <c r="V66" s="2"/>
      <c r="W66" s="2"/>
      <c r="X66" s="2"/>
      <c r="Y66" s="2"/>
      <c r="Z66" s="2"/>
      <c r="AA66" s="2"/>
    </row>
    <row r="67" spans="1:27" ht="8.1" customHeight="1" x14ac:dyDescent="0.2">
      <c r="A67" s="838"/>
      <c r="B67" s="835"/>
      <c r="C67" s="2"/>
      <c r="D67" s="2"/>
      <c r="E67" s="2"/>
      <c r="F67" s="2"/>
      <c r="G67" s="2"/>
      <c r="H67" s="2"/>
      <c r="I67" s="2"/>
      <c r="J67" s="2"/>
      <c r="K67" s="2"/>
      <c r="L67" s="2"/>
      <c r="M67" s="2"/>
      <c r="N67" s="2"/>
      <c r="O67" s="836"/>
      <c r="P67" s="837"/>
      <c r="Q67" s="837"/>
      <c r="R67" s="2"/>
      <c r="S67" s="2"/>
      <c r="T67" s="2"/>
      <c r="U67" s="2"/>
      <c r="V67" s="2"/>
      <c r="W67" s="2"/>
      <c r="X67" s="2"/>
      <c r="Y67" s="2"/>
      <c r="Z67" s="2"/>
      <c r="AA67" s="2"/>
    </row>
    <row r="68" spans="1:27" x14ac:dyDescent="0.2">
      <c r="A68" s="838"/>
      <c r="B68" s="835"/>
      <c r="C68" s="2"/>
      <c r="D68" s="2"/>
      <c r="E68" s="2" t="s">
        <v>477</v>
      </c>
      <c r="F68" s="2"/>
      <c r="G68" s="2"/>
      <c r="H68" s="2"/>
      <c r="I68" s="2"/>
      <c r="J68" s="2"/>
      <c r="K68" s="2"/>
      <c r="L68" s="2"/>
      <c r="M68" s="2"/>
      <c r="N68" s="2"/>
      <c r="O68" s="836"/>
      <c r="P68" s="837"/>
      <c r="Q68" s="837"/>
      <c r="R68" s="2"/>
      <c r="S68" s="2"/>
      <c r="T68" s="2"/>
      <c r="U68" s="2"/>
      <c r="V68" s="2"/>
      <c r="W68" s="2"/>
      <c r="X68" s="2"/>
      <c r="Y68" s="2"/>
      <c r="Z68" s="2"/>
      <c r="AA68" s="2"/>
    </row>
    <row r="69" spans="1:27" ht="12.75" customHeight="1" x14ac:dyDescent="0.2">
      <c r="A69" s="838"/>
      <c r="B69" s="835"/>
      <c r="C69" s="2"/>
      <c r="D69" s="2"/>
      <c r="E69" s="1135"/>
      <c r="F69" s="1136"/>
      <c r="G69" s="1136"/>
      <c r="H69" s="1136"/>
      <c r="I69" s="1136"/>
      <c r="J69" s="1136"/>
      <c r="K69" s="1136"/>
      <c r="L69" s="1136"/>
      <c r="M69" s="1137"/>
      <c r="N69" s="846"/>
      <c r="O69" s="843" t="str">
        <f>IF(E69="","",IF(U69=E69,Q69,0))</f>
        <v/>
      </c>
      <c r="P69" s="837" t="s">
        <v>463</v>
      </c>
      <c r="Q69" s="837">
        <v>1</v>
      </c>
      <c r="R69" s="2"/>
      <c r="S69" s="2"/>
      <c r="T69" s="847" t="s">
        <v>482</v>
      </c>
      <c r="U69" s="2" t="str">
        <f>IF('[1]E-ErgInt'!$E69="","",'[1]E-ErgInt'!$E69)</f>
        <v>Kapitaldienst für die Investition (9 595,88 €) &lt; Kapitaldienstgrenze Planvariante (19 536,58 €)</v>
      </c>
      <c r="V69" s="2"/>
      <c r="W69" s="2"/>
      <c r="X69" s="2"/>
      <c r="Y69" s="2"/>
      <c r="Z69" s="2"/>
      <c r="AA69" s="2"/>
    </row>
    <row r="70" spans="1:27" ht="12.75" customHeight="1" x14ac:dyDescent="0.2">
      <c r="A70" s="838"/>
      <c r="B70" s="835"/>
      <c r="C70" s="2"/>
      <c r="D70" s="2"/>
      <c r="E70" s="848" t="s">
        <v>624</v>
      </c>
      <c r="F70" s="439"/>
      <c r="G70" s="439"/>
      <c r="H70" s="439"/>
      <c r="I70" s="439"/>
      <c r="J70" s="439"/>
      <c r="K70" s="439"/>
      <c r="L70" s="439"/>
      <c r="M70" s="439"/>
      <c r="N70" s="846"/>
      <c r="O70" s="849"/>
      <c r="P70" s="837"/>
      <c r="Q70" s="2"/>
      <c r="R70" s="2"/>
      <c r="S70" s="2"/>
      <c r="T70" s="850" t="str">
        <f>IF(OR(K66="",K64=""),"Daten fehlen!","Kapitaldienst für die Investition ("&amp;FIXED(-K66,2)&amp;" €) &gt; Kapitaldienstgrenze Planvariante ("&amp;FIXED(K64,2)&amp;" €)")</f>
        <v>Daten fehlen!</v>
      </c>
      <c r="U70" s="2"/>
      <c r="V70" s="2"/>
      <c r="W70" s="2"/>
      <c r="X70" s="2"/>
      <c r="Y70" s="2"/>
      <c r="Z70" s="2"/>
      <c r="AA70" s="2"/>
    </row>
    <row r="71" spans="1:27" ht="12.75" customHeight="1" x14ac:dyDescent="0.2">
      <c r="A71" s="838"/>
      <c r="B71" s="835"/>
      <c r="C71" s="2"/>
      <c r="D71" s="2"/>
      <c r="E71" s="851"/>
      <c r="F71" s="1154" t="str">
        <f>IF(OR(K66="",K64=""),"Daten fehlen!","Bei Umsetzung des geplanten Projektes würde sich der Betrieb finanziell übernehmen. Die Schulden können vermutlich nicht rechtzeitig zurückbezahlt werden! ACHTUNG: Existenzgefahr für den Betrieb!")</f>
        <v>Daten fehlen!</v>
      </c>
      <c r="G71" s="1154"/>
      <c r="H71" s="1154"/>
      <c r="I71" s="1154"/>
      <c r="J71" s="1154"/>
      <c r="K71" s="1154"/>
      <c r="L71" s="1154"/>
      <c r="M71" s="1154"/>
      <c r="N71" s="846"/>
      <c r="O71" s="843" t="str">
        <f>IF(AND(E71='[1]E-ErgInt'!E71,E73='[1]E-ErgInt'!E73,E76='[1]E-ErgInt'!E76),Q71,"")</f>
        <v/>
      </c>
      <c r="P71" s="837" t="s">
        <v>463</v>
      </c>
      <c r="Q71" s="837">
        <v>1</v>
      </c>
      <c r="R71" s="2"/>
      <c r="S71" s="2"/>
      <c r="T71" s="850" t="str">
        <f>IF(OR(K66="",K64=""),"Daten fehlen!","Kapitaldienst für die Investition ("&amp;FIXED(-K66,2)&amp;" €) = Kapitaldienstgrenze Planvariante ("&amp;FIXED(K64,2)&amp;" €)")</f>
        <v>Daten fehlen!</v>
      </c>
      <c r="U71" s="2"/>
      <c r="V71" s="2"/>
      <c r="W71" s="2"/>
      <c r="X71" s="2"/>
      <c r="Y71" s="2"/>
      <c r="Z71" s="2"/>
      <c r="AA71" s="2"/>
    </row>
    <row r="72" spans="1:27" ht="12.75" customHeight="1" x14ac:dyDescent="0.2">
      <c r="A72" s="838"/>
      <c r="B72" s="835"/>
      <c r="C72" s="2"/>
      <c r="D72" s="2"/>
      <c r="E72" s="853"/>
      <c r="F72" s="1154"/>
      <c r="G72" s="1154"/>
      <c r="H72" s="1154"/>
      <c r="I72" s="1154"/>
      <c r="J72" s="1154"/>
      <c r="K72" s="1154"/>
      <c r="L72" s="1154"/>
      <c r="M72" s="1154"/>
      <c r="N72" s="846"/>
      <c r="O72" s="836"/>
      <c r="P72" s="837"/>
      <c r="Q72" s="837"/>
      <c r="R72" s="2"/>
      <c r="S72" s="2"/>
      <c r="T72" s="850" t="str">
        <f>IF(OR(K66="",K64=""),"Daten fehlen!","Kapitaldienst für die Investition ("&amp;FIXED(-K66,2)&amp;" €) &lt; Kapitaldienstgrenze Planvariante ("&amp;FIXED(K64,2)&amp;" €)")</f>
        <v>Daten fehlen!</v>
      </c>
      <c r="U72" s="2"/>
      <c r="V72" s="2"/>
      <c r="W72" s="2"/>
      <c r="X72" s="2"/>
      <c r="Y72" s="2"/>
      <c r="Z72" s="2"/>
      <c r="AA72" s="2"/>
    </row>
    <row r="73" spans="1:27" ht="12.75" customHeight="1" x14ac:dyDescent="0.2">
      <c r="A73" s="838"/>
      <c r="B73" s="835"/>
      <c r="C73" s="2"/>
      <c r="D73" s="2"/>
      <c r="E73" s="851"/>
      <c r="F73" s="1134" t="str">
        <f>IF(OR(K66="",K64=""),"Daten fehlen!","Die Ausführung des Projektes kann gerade noch finanziert werden. Es verbleiben jedoch kein Spielraum für die Bildung betrieblicher Rücklagen oder für unerwartete Folge- bzw. Ersatzinvestitionen! Das Projekt reicht an die Grenzen der Belastbarkeit!")</f>
        <v>Daten fehlen!</v>
      </c>
      <c r="G73" s="1134"/>
      <c r="H73" s="1134"/>
      <c r="I73" s="1134"/>
      <c r="J73" s="1134"/>
      <c r="K73" s="1134"/>
      <c r="L73" s="1134"/>
      <c r="M73" s="1134"/>
      <c r="N73" s="846"/>
      <c r="O73" s="836"/>
      <c r="P73" s="837"/>
      <c r="Q73" s="837"/>
      <c r="R73" s="2"/>
      <c r="S73" s="2"/>
      <c r="T73" s="854"/>
      <c r="U73" s="2"/>
      <c r="V73" s="2"/>
      <c r="W73" s="2"/>
      <c r="X73" s="2"/>
      <c r="Y73" s="2"/>
      <c r="Z73" s="2"/>
      <c r="AA73" s="2"/>
    </row>
    <row r="74" spans="1:27" ht="12.75" customHeight="1" x14ac:dyDescent="0.2">
      <c r="A74" s="838"/>
      <c r="B74" s="835"/>
      <c r="C74" s="2"/>
      <c r="D74" s="2"/>
      <c r="E74" s="853"/>
      <c r="F74" s="1134"/>
      <c r="G74" s="1134"/>
      <c r="H74" s="1134"/>
      <c r="I74" s="1134"/>
      <c r="J74" s="1134"/>
      <c r="K74" s="1134"/>
      <c r="L74" s="1134"/>
      <c r="M74" s="1134"/>
      <c r="N74" s="846"/>
      <c r="O74" s="836"/>
      <c r="P74" s="837"/>
      <c r="Q74" s="837"/>
      <c r="R74" s="2"/>
      <c r="S74" s="2"/>
      <c r="T74" s="854"/>
      <c r="U74" s="2"/>
      <c r="V74" s="2"/>
      <c r="W74" s="2"/>
      <c r="X74" s="2"/>
      <c r="Y74" s="2"/>
      <c r="Z74" s="2"/>
      <c r="AA74" s="2"/>
    </row>
    <row r="75" spans="1:27" ht="12.75" customHeight="1" x14ac:dyDescent="0.2">
      <c r="A75" s="838"/>
      <c r="B75" s="835"/>
      <c r="C75" s="2"/>
      <c r="D75" s="2"/>
      <c r="E75" s="853"/>
      <c r="F75" s="1134"/>
      <c r="G75" s="1134"/>
      <c r="H75" s="1134"/>
      <c r="I75" s="1134"/>
      <c r="J75" s="1134"/>
      <c r="K75" s="1134"/>
      <c r="L75" s="1134"/>
      <c r="M75" s="1134"/>
      <c r="N75" s="846"/>
      <c r="O75" s="836"/>
      <c r="P75" s="837"/>
      <c r="Q75" s="837"/>
      <c r="R75" s="2"/>
      <c r="S75" s="2"/>
      <c r="T75" s="854"/>
      <c r="U75" s="2"/>
      <c r="V75" s="2"/>
      <c r="W75" s="2"/>
      <c r="X75" s="2"/>
      <c r="Y75" s="2"/>
      <c r="Z75" s="2"/>
      <c r="AA75" s="2"/>
    </row>
    <row r="76" spans="1:27" ht="12.75" customHeight="1" x14ac:dyDescent="0.2">
      <c r="A76" s="838"/>
      <c r="B76" s="835"/>
      <c r="C76" s="2"/>
      <c r="D76" s="2"/>
      <c r="E76" s="851"/>
      <c r="F76" s="1134" t="str">
        <f>IF(OR(K66="",K64=""),"Daten fehlen!","Die Umsetzung des Projektes kann als sinnvoll eingestuft werden. Der anfallende Kapitaldienst sollte ohne Schwierigkeiten zu leisten sein! Es verbleiben noch Reserven für Rücklagen- und private Vermögensbildung.")</f>
        <v>Daten fehlen!</v>
      </c>
      <c r="G76" s="1134"/>
      <c r="H76" s="1134"/>
      <c r="I76" s="1134"/>
      <c r="J76" s="1134"/>
      <c r="K76" s="1134"/>
      <c r="L76" s="1134"/>
      <c r="M76" s="1134"/>
      <c r="N76" s="846"/>
      <c r="O76" s="836"/>
      <c r="P76" s="837"/>
      <c r="Q76" s="837"/>
      <c r="R76" s="2"/>
      <c r="S76" s="2"/>
      <c r="T76" s="854"/>
      <c r="U76" s="2"/>
      <c r="V76" s="2"/>
      <c r="W76" s="2"/>
      <c r="X76" s="2"/>
      <c r="Y76" s="2"/>
      <c r="Z76" s="2"/>
      <c r="AA76" s="2"/>
    </row>
    <row r="77" spans="1:27" ht="12.75" customHeight="1" x14ac:dyDescent="0.2">
      <c r="A77" s="838"/>
      <c r="B77" s="835"/>
      <c r="C77" s="2"/>
      <c r="D77" s="2"/>
      <c r="E77" s="853"/>
      <c r="F77" s="1134"/>
      <c r="G77" s="1134"/>
      <c r="H77" s="1134"/>
      <c r="I77" s="1134"/>
      <c r="J77" s="1134"/>
      <c r="K77" s="1134"/>
      <c r="L77" s="1134"/>
      <c r="M77" s="1134"/>
      <c r="N77" s="846"/>
      <c r="O77" s="836"/>
      <c r="P77" s="837"/>
      <c r="Q77" s="837"/>
      <c r="R77" s="2"/>
      <c r="S77" s="2"/>
      <c r="T77" s="854"/>
      <c r="U77" s="2"/>
      <c r="V77" s="2"/>
      <c r="W77" s="2"/>
      <c r="X77" s="2"/>
      <c r="Y77" s="2"/>
      <c r="Z77" s="2"/>
      <c r="AA77" s="2"/>
    </row>
    <row r="78" spans="1:27" ht="12.75" customHeight="1" x14ac:dyDescent="0.2">
      <c r="A78" s="838"/>
      <c r="B78" s="835"/>
      <c r="C78" s="2"/>
      <c r="D78" s="2"/>
      <c r="E78" s="853"/>
      <c r="F78" s="1134"/>
      <c r="G78" s="1134"/>
      <c r="H78" s="1134"/>
      <c r="I78" s="1134"/>
      <c r="J78" s="1134"/>
      <c r="K78" s="1134"/>
      <c r="L78" s="1134"/>
      <c r="M78" s="1134"/>
      <c r="N78" s="846"/>
      <c r="O78" s="836"/>
      <c r="P78" s="837"/>
      <c r="Q78" s="837"/>
      <c r="R78" s="2"/>
      <c r="S78" s="2"/>
      <c r="T78" s="854"/>
      <c r="U78" s="2"/>
      <c r="V78" s="2"/>
      <c r="W78" s="2"/>
      <c r="X78" s="2"/>
      <c r="Y78" s="2"/>
      <c r="Z78" s="2"/>
      <c r="AA78" s="2"/>
    </row>
    <row r="79" spans="1:27" x14ac:dyDescent="0.2">
      <c r="A79" s="838"/>
      <c r="B79" s="835"/>
      <c r="C79" s="2"/>
      <c r="D79" s="2"/>
      <c r="E79" s="2"/>
      <c r="F79" s="2"/>
      <c r="G79" s="2"/>
      <c r="H79" s="2"/>
      <c r="I79" s="2"/>
      <c r="J79" s="2"/>
      <c r="K79" s="2"/>
      <c r="L79" s="2"/>
      <c r="M79" s="2"/>
      <c r="N79" s="2"/>
      <c r="O79" s="849"/>
      <c r="P79" s="837"/>
      <c r="Q79" s="2"/>
      <c r="R79" s="2"/>
      <c r="S79" s="2"/>
      <c r="T79" s="2"/>
      <c r="U79" s="2"/>
      <c r="V79" s="2"/>
      <c r="W79" s="2"/>
      <c r="X79" s="2"/>
      <c r="Y79" s="2"/>
      <c r="Z79" s="2"/>
      <c r="AA79" s="2"/>
    </row>
    <row r="80" spans="1:27" ht="48" customHeight="1" x14ac:dyDescent="0.2">
      <c r="A80" s="838"/>
      <c r="B80" s="835"/>
      <c r="C80" s="2"/>
      <c r="D80" s="860" t="s">
        <v>483</v>
      </c>
      <c r="E80" s="1163" t="s">
        <v>484</v>
      </c>
      <c r="F80" s="1163"/>
      <c r="G80" s="1163"/>
      <c r="H80" s="1163"/>
      <c r="I80" s="1163"/>
      <c r="J80" s="1163"/>
      <c r="K80" s="1163"/>
      <c r="L80" s="1163"/>
      <c r="M80" s="1163"/>
      <c r="N80" s="2"/>
      <c r="O80" s="836"/>
      <c r="P80" s="837"/>
      <c r="Q80" s="837"/>
      <c r="R80" s="2"/>
      <c r="S80" s="2"/>
      <c r="T80" s="2"/>
      <c r="U80" s="2"/>
      <c r="V80" s="2"/>
      <c r="W80" s="2"/>
      <c r="X80" s="2"/>
      <c r="Y80" s="2"/>
      <c r="Z80" s="2"/>
      <c r="AA80" s="2"/>
    </row>
    <row r="81" spans="1:27" x14ac:dyDescent="0.2">
      <c r="A81" s="838"/>
      <c r="B81" s="835"/>
      <c r="C81" s="2"/>
      <c r="D81" s="2"/>
      <c r="E81" s="851"/>
      <c r="F81" s="2" t="s">
        <v>13</v>
      </c>
      <c r="G81" s="2"/>
      <c r="H81" s="2"/>
      <c r="I81" s="2"/>
      <c r="J81" s="2"/>
      <c r="K81" s="2"/>
      <c r="L81" s="2"/>
      <c r="M81" s="865"/>
      <c r="N81" s="2"/>
      <c r="O81" s="843" t="str">
        <f>IF(OR(AND(E81="",E83=""),AND(E81&lt;&gt;"",E83&lt;&gt;"",0)),"",IF(AND(E81='[1]E-ErgInt'!E81,E83='[1]E-ErgInt'!E83),Q81,0))</f>
        <v/>
      </c>
      <c r="P81" s="837" t="s">
        <v>463</v>
      </c>
      <c r="Q81" s="837">
        <v>1</v>
      </c>
      <c r="R81" s="2"/>
      <c r="S81" s="2"/>
      <c r="T81" s="2"/>
      <c r="U81" s="2"/>
      <c r="V81" s="2"/>
      <c r="W81" s="2"/>
      <c r="X81" s="2"/>
      <c r="Y81" s="2"/>
      <c r="Z81" s="2"/>
      <c r="AA81" s="2"/>
    </row>
    <row r="82" spans="1:27" ht="3.95" customHeight="1" x14ac:dyDescent="0.2">
      <c r="A82" s="838"/>
      <c r="B82" s="835"/>
      <c r="C82" s="2"/>
      <c r="D82" s="2"/>
      <c r="E82" s="2"/>
      <c r="F82" s="2"/>
      <c r="G82" s="866"/>
      <c r="H82" s="2"/>
      <c r="I82" s="2"/>
      <c r="J82" s="2"/>
      <c r="K82" s="866"/>
      <c r="L82" s="2"/>
      <c r="M82" s="865"/>
      <c r="N82" s="2"/>
      <c r="O82" s="836"/>
      <c r="P82" s="837"/>
      <c r="Q82" s="837"/>
      <c r="R82" s="2"/>
      <c r="S82" s="2"/>
      <c r="T82" s="2"/>
      <c r="U82" s="2"/>
      <c r="V82" s="2"/>
      <c r="W82" s="2"/>
      <c r="X82" s="2"/>
      <c r="Y82" s="2"/>
      <c r="Z82" s="2"/>
      <c r="AA82" s="2"/>
    </row>
    <row r="83" spans="1:27" x14ac:dyDescent="0.2">
      <c r="A83" s="838"/>
      <c r="B83" s="835"/>
      <c r="C83" s="2"/>
      <c r="D83" s="2"/>
      <c r="E83" s="851"/>
      <c r="F83" s="2" t="s">
        <v>14</v>
      </c>
      <c r="G83" s="866"/>
      <c r="H83" s="867"/>
      <c r="I83" s="841" t="s">
        <v>462</v>
      </c>
      <c r="J83" s="2"/>
      <c r="K83" s="865" t="s">
        <v>485</v>
      </c>
      <c r="L83" s="2"/>
      <c r="M83" s="865"/>
      <c r="N83" s="2"/>
      <c r="O83" s="843" t="str">
        <f>IF(H83="","",IF(ROUND('[1]E-ErgInt'!H83,Korrektur!R1)=ROUND(H83,Korrektur!R1),Q83,0))</f>
        <v/>
      </c>
      <c r="P83" s="837" t="s">
        <v>463</v>
      </c>
      <c r="Q83" s="837">
        <v>1</v>
      </c>
      <c r="R83" s="2"/>
      <c r="S83" s="2"/>
      <c r="T83" s="2"/>
      <c r="U83" s="2"/>
      <c r="V83" s="2"/>
      <c r="W83" s="2"/>
      <c r="X83" s="2"/>
      <c r="Y83" s="2"/>
      <c r="Z83" s="2"/>
      <c r="AA83" s="2"/>
    </row>
    <row r="84" spans="1:27" ht="8.1" customHeight="1" x14ac:dyDescent="0.2">
      <c r="A84" s="838"/>
      <c r="B84" s="835"/>
      <c r="C84" s="2"/>
      <c r="D84" s="2"/>
      <c r="E84" s="2"/>
      <c r="F84" s="2"/>
      <c r="G84" s="2"/>
      <c r="H84" s="2"/>
      <c r="I84" s="2"/>
      <c r="J84" s="2"/>
      <c r="K84" s="2"/>
      <c r="L84" s="2"/>
      <c r="M84" s="2"/>
      <c r="N84" s="2"/>
      <c r="O84" s="849"/>
      <c r="P84" s="837"/>
      <c r="Q84" s="2"/>
      <c r="R84" s="2"/>
      <c r="S84" s="2"/>
      <c r="T84" s="2"/>
      <c r="U84" s="2"/>
      <c r="V84" s="2"/>
      <c r="W84" s="2"/>
      <c r="X84" s="2"/>
      <c r="Y84" s="2"/>
      <c r="Z84" s="2"/>
      <c r="AA84" s="2"/>
    </row>
    <row r="85" spans="1:27" x14ac:dyDescent="0.2">
      <c r="A85" s="838"/>
      <c r="B85" s="835"/>
      <c r="C85" s="2"/>
      <c r="D85" s="2"/>
      <c r="E85" s="868" t="s">
        <v>486</v>
      </c>
      <c r="F85" s="2"/>
      <c r="G85" s="2"/>
      <c r="H85" s="867"/>
      <c r="I85" s="842"/>
      <c r="J85" s="2"/>
      <c r="K85" s="2" t="s">
        <v>625</v>
      </c>
      <c r="L85" s="2"/>
      <c r="M85" s="2"/>
      <c r="N85" s="2"/>
      <c r="O85" s="843" t="str">
        <f>IF(H85="","",IF(ROUND('[1]E-ErgInt'!H85,Korrektur!R1)=ROUND(H85,Korrektur!R1),Q85,0))</f>
        <v/>
      </c>
      <c r="P85" s="837" t="s">
        <v>463</v>
      </c>
      <c r="Q85" s="837">
        <v>1</v>
      </c>
      <c r="R85" s="865"/>
      <c r="S85" s="2"/>
      <c r="T85" s="2"/>
      <c r="U85" s="2"/>
      <c r="V85" s="2"/>
      <c r="W85" s="2"/>
      <c r="X85" s="2"/>
      <c r="Y85" s="2"/>
      <c r="Z85" s="2"/>
      <c r="AA85" s="2"/>
    </row>
    <row r="86" spans="1:27" ht="3.95" customHeight="1" x14ac:dyDescent="0.2">
      <c r="A86" s="838"/>
      <c r="B86" s="835"/>
      <c r="C86" s="2"/>
      <c r="D86" s="2"/>
      <c r="E86" s="2"/>
      <c r="F86" s="2"/>
      <c r="G86" s="2"/>
      <c r="H86" s="2"/>
      <c r="I86" s="2"/>
      <c r="J86" s="2"/>
      <c r="K86" s="2"/>
      <c r="L86" s="2"/>
      <c r="M86" s="2"/>
      <c r="N86" s="2"/>
      <c r="O86" s="836"/>
      <c r="P86" s="869"/>
      <c r="Q86" s="2"/>
      <c r="R86" s="865"/>
      <c r="S86" s="2"/>
      <c r="T86" s="2"/>
      <c r="U86" s="2"/>
      <c r="V86" s="2"/>
      <c r="W86" s="2"/>
      <c r="X86" s="2"/>
      <c r="Y86" s="2"/>
      <c r="Z86" s="2"/>
      <c r="AA86" s="2"/>
    </row>
    <row r="87" spans="1:27" x14ac:dyDescent="0.2">
      <c r="A87" s="838"/>
      <c r="B87" s="835"/>
      <c r="C87" s="2"/>
      <c r="D87" s="2"/>
      <c r="E87" s="2" t="s">
        <v>487</v>
      </c>
      <c r="F87" s="2"/>
      <c r="G87" s="2"/>
      <c r="H87" s="867"/>
      <c r="I87" s="842"/>
      <c r="J87" s="2"/>
      <c r="K87" s="2" t="s">
        <v>626</v>
      </c>
      <c r="L87" s="2"/>
      <c r="M87" s="2"/>
      <c r="N87" s="2"/>
      <c r="O87" s="843" t="str">
        <f>IF(H87="","",IF(ROUND('[1]E-ErgInt'!H87,Korrektur!R1)=ROUND(H87,Korrektur!R1),Q87,0))</f>
        <v/>
      </c>
      <c r="P87" s="837" t="s">
        <v>463</v>
      </c>
      <c r="Q87" s="837">
        <v>1</v>
      </c>
      <c r="R87" s="865"/>
      <c r="S87" s="2"/>
      <c r="T87" s="2"/>
      <c r="U87" s="2"/>
      <c r="V87" s="2"/>
      <c r="W87" s="2"/>
      <c r="X87" s="2"/>
      <c r="Y87" s="2"/>
      <c r="Z87" s="2"/>
      <c r="AA87" s="2"/>
    </row>
    <row r="88" spans="1:27" ht="8.1" customHeight="1" x14ac:dyDescent="0.2">
      <c r="A88" s="838"/>
      <c r="B88" s="835"/>
      <c r="C88" s="2"/>
      <c r="D88" s="2"/>
      <c r="E88" s="2"/>
      <c r="F88" s="2"/>
      <c r="G88" s="2"/>
      <c r="H88" s="511"/>
      <c r="I88" s="2"/>
      <c r="J88" s="2"/>
      <c r="K88" s="2"/>
      <c r="L88" s="2"/>
      <c r="M88" s="2"/>
      <c r="N88" s="2"/>
      <c r="O88" s="836"/>
      <c r="P88" s="869"/>
      <c r="Q88" s="2"/>
      <c r="R88" s="865"/>
      <c r="S88" s="2"/>
      <c r="T88" s="2"/>
      <c r="U88" s="2"/>
      <c r="V88" s="2"/>
      <c r="W88" s="2"/>
      <c r="X88" s="2"/>
      <c r="Y88" s="2"/>
      <c r="Z88" s="2"/>
      <c r="AA88" s="2"/>
    </row>
    <row r="89" spans="1:27" x14ac:dyDescent="0.2">
      <c r="A89" s="838"/>
      <c r="B89" s="835"/>
      <c r="C89" s="2"/>
      <c r="D89" s="2"/>
      <c r="E89" s="2" t="s">
        <v>477</v>
      </c>
      <c r="F89" s="2"/>
      <c r="G89" s="2"/>
      <c r="H89" s="2"/>
      <c r="I89" s="2"/>
      <c r="J89" s="2"/>
      <c r="K89" s="2"/>
      <c r="L89" s="2"/>
      <c r="M89" s="2"/>
      <c r="N89" s="2"/>
      <c r="O89" s="836"/>
      <c r="P89" s="869"/>
      <c r="Q89" s="2"/>
      <c r="R89" s="865"/>
      <c r="S89" s="2"/>
      <c r="T89" s="2"/>
      <c r="U89" s="2"/>
      <c r="V89" s="2"/>
      <c r="W89" s="2"/>
      <c r="X89" s="2"/>
      <c r="Y89" s="2"/>
      <c r="Z89" s="2"/>
      <c r="AA89" s="2"/>
    </row>
    <row r="90" spans="1:27" ht="12.75" customHeight="1" x14ac:dyDescent="0.2">
      <c r="A90" s="838"/>
      <c r="B90" s="835"/>
      <c r="C90" s="2"/>
      <c r="D90" s="2"/>
      <c r="E90" s="1135"/>
      <c r="F90" s="1136"/>
      <c r="G90" s="1136"/>
      <c r="H90" s="1136"/>
      <c r="I90" s="1136"/>
      <c r="J90" s="1136"/>
      <c r="K90" s="1136"/>
      <c r="L90" s="1136"/>
      <c r="M90" s="1137"/>
      <c r="N90" s="2"/>
      <c r="O90" s="843" t="str">
        <f>IF(E90="","",IF('[1]E-ErgInt'!E90=E90,Q90,0))</f>
        <v/>
      </c>
      <c r="P90" s="837" t="s">
        <v>463</v>
      </c>
      <c r="Q90" s="837">
        <v>1</v>
      </c>
      <c r="R90" s="865"/>
      <c r="S90" s="2"/>
      <c r="T90" s="847" t="s">
        <v>488</v>
      </c>
      <c r="U90" s="2"/>
      <c r="V90" s="2"/>
      <c r="W90" s="2"/>
      <c r="X90" s="2"/>
      <c r="Y90" s="2"/>
      <c r="Z90" s="2"/>
      <c r="AA90" s="2"/>
    </row>
    <row r="91" spans="1:27" ht="12.75" customHeight="1" x14ac:dyDescent="0.2">
      <c r="A91" s="838"/>
      <c r="B91" s="835"/>
      <c r="C91" s="2"/>
      <c r="D91" s="2"/>
      <c r="E91" s="848" t="s">
        <v>624</v>
      </c>
      <c r="F91" s="439"/>
      <c r="G91" s="439"/>
      <c r="H91" s="439"/>
      <c r="I91" s="439"/>
      <c r="J91" s="439"/>
      <c r="K91" s="439"/>
      <c r="L91" s="439"/>
      <c r="M91" s="439"/>
      <c r="N91" s="2"/>
      <c r="O91" s="870"/>
      <c r="P91" s="837"/>
      <c r="Q91" s="837"/>
      <c r="R91" s="865"/>
      <c r="S91" s="2"/>
      <c r="T91" s="850" t="str">
        <f>IF(OR(H83="",H87=""),"Daten fehlen!","Künftiger AKh-Bedarf ("&amp;FIXED(H83,0)&amp;" AKh) = Künftige Ausstattung mit AKh ("&amp;FIXED(H87,0)&amp;" AKh)")</f>
        <v>Daten fehlen!</v>
      </c>
      <c r="U91" s="2"/>
      <c r="V91" s="2"/>
      <c r="W91" s="2"/>
      <c r="X91" s="2"/>
      <c r="Y91" s="2"/>
      <c r="Z91" s="2"/>
      <c r="AA91" s="2"/>
    </row>
    <row r="92" spans="1:27" ht="12.75" customHeight="1" x14ac:dyDescent="0.2">
      <c r="A92" s="838"/>
      <c r="B92" s="835"/>
      <c r="C92" s="2"/>
      <c r="D92" s="2"/>
      <c r="E92" s="851"/>
      <c r="F92" s="1134" t="str">
        <f>IF(OR(H83="",H87=""),"Daten fehlen!","Die Bewirtschaftung des Betriebes kann mit der künftigen AK-Ausstattung zwar gewährleistet werden. In Zeiten hoher Arbeitsspitzen kann es allerdings zu Engpässen kommen.")</f>
        <v>Daten fehlen!</v>
      </c>
      <c r="G92" s="1134"/>
      <c r="H92" s="1134"/>
      <c r="I92" s="1134"/>
      <c r="J92" s="1134"/>
      <c r="K92" s="1134"/>
      <c r="L92" s="1134"/>
      <c r="M92" s="1134"/>
      <c r="N92" s="2"/>
      <c r="O92" s="843" t="str">
        <f>IF(AND(E92='[1]E-ErgInt'!E92,E94='[1]E-ErgInt'!E94,E96='[1]E-ErgInt'!E96),Q92,"")</f>
        <v/>
      </c>
      <c r="P92" s="837" t="s">
        <v>463</v>
      </c>
      <c r="Q92" s="837">
        <v>1</v>
      </c>
      <c r="R92" s="865"/>
      <c r="S92" s="2"/>
      <c r="T92" s="850" t="str">
        <f>IF(OR(H83="",H87=""),"Daten fehlen!","Künftiger AKh-Bedarf ("&amp;FIXED(H83,0)&amp;" AKh) &lt; Künftige Ausstattung mit AKh ("&amp;FIXED(H87,0)&amp;" AKh)")</f>
        <v>Daten fehlen!</v>
      </c>
      <c r="U92" s="2"/>
      <c r="V92" s="2"/>
      <c r="W92" s="2"/>
      <c r="X92" s="2"/>
      <c r="Y92" s="2"/>
      <c r="Z92" s="2"/>
      <c r="AA92" s="2"/>
    </row>
    <row r="93" spans="1:27" ht="12.75" customHeight="1" x14ac:dyDescent="0.2">
      <c r="A93" s="838"/>
      <c r="B93" s="835"/>
      <c r="C93" s="2"/>
      <c r="D93" s="2"/>
      <c r="E93" s="853"/>
      <c r="F93" s="1134"/>
      <c r="G93" s="1134"/>
      <c r="H93" s="1134"/>
      <c r="I93" s="1134"/>
      <c r="J93" s="1134"/>
      <c r="K93" s="1134"/>
      <c r="L93" s="1134"/>
      <c r="M93" s="1134"/>
      <c r="N93" s="2"/>
      <c r="O93" s="870"/>
      <c r="P93" s="837"/>
      <c r="Q93" s="837"/>
      <c r="R93" s="865"/>
      <c r="S93" s="2"/>
      <c r="T93" s="850" t="str">
        <f>IF(OR(H83="",H87=""),"Daten fehlen!","Künftiger AKh-Bedarf ("&amp;FIXED(H83,0)&amp;" AKh) &gt; Künftige Ausstattung mit AKh ("&amp;FIXED(H87,0)&amp;" AKh)")</f>
        <v>Daten fehlen!</v>
      </c>
      <c r="U93" s="2"/>
      <c r="V93" s="2"/>
      <c r="W93" s="2"/>
      <c r="X93" s="2"/>
      <c r="Y93" s="2"/>
      <c r="Z93" s="2"/>
      <c r="AA93" s="2"/>
    </row>
    <row r="94" spans="1:27" ht="12.75" customHeight="1" x14ac:dyDescent="0.2">
      <c r="A94" s="838"/>
      <c r="B94" s="835"/>
      <c r="C94" s="2"/>
      <c r="D94" s="2"/>
      <c r="E94" s="851"/>
      <c r="F94" s="1134" t="str">
        <f>IF(OR(H83="",H87=""),"Daten fehlen!","Für die Bewirtschaftung des Betriebes werden künftig genügend Arbeitskräfte zur Verfügung stehen. Es sind sogar Reserven für Zeiten mit hohen Arbeitsspitzen vorhanden.")</f>
        <v>Daten fehlen!</v>
      </c>
      <c r="G94" s="1134"/>
      <c r="H94" s="1134"/>
      <c r="I94" s="1134"/>
      <c r="J94" s="1134"/>
      <c r="K94" s="1134"/>
      <c r="L94" s="1134"/>
      <c r="M94" s="1134"/>
      <c r="N94" s="2"/>
      <c r="O94" s="870"/>
      <c r="P94" s="837"/>
      <c r="Q94" s="837"/>
      <c r="R94" s="865"/>
      <c r="S94" s="2"/>
      <c r="T94" s="854"/>
      <c r="U94" s="2"/>
      <c r="V94" s="2"/>
      <c r="W94" s="2"/>
      <c r="X94" s="2"/>
      <c r="Y94" s="2"/>
      <c r="Z94" s="2"/>
      <c r="AA94" s="2"/>
    </row>
    <row r="95" spans="1:27" ht="12.75" customHeight="1" x14ac:dyDescent="0.2">
      <c r="A95" s="838"/>
      <c r="B95" s="835"/>
      <c r="C95" s="2"/>
      <c r="D95" s="2"/>
      <c r="E95" s="853"/>
      <c r="F95" s="1134"/>
      <c r="G95" s="1134"/>
      <c r="H95" s="1134"/>
      <c r="I95" s="1134"/>
      <c r="J95" s="1134"/>
      <c r="K95" s="1134"/>
      <c r="L95" s="1134"/>
      <c r="M95" s="1134"/>
      <c r="N95" s="2"/>
      <c r="O95" s="870"/>
      <c r="P95" s="837"/>
      <c r="Q95" s="837"/>
      <c r="R95" s="865"/>
      <c r="S95" s="2"/>
      <c r="T95" s="854"/>
      <c r="U95" s="2"/>
      <c r="V95" s="2"/>
      <c r="W95" s="2"/>
      <c r="X95" s="2"/>
      <c r="Y95" s="2"/>
      <c r="Z95" s="2"/>
      <c r="AA95" s="2"/>
    </row>
    <row r="96" spans="1:27" ht="12.75" customHeight="1" x14ac:dyDescent="0.2">
      <c r="A96" s="838"/>
      <c r="B96" s="835"/>
      <c r="C96" s="2"/>
      <c r="D96" s="2"/>
      <c r="E96" s="851"/>
      <c r="F96" s="1134" t="str">
        <f>IF(OR(H83="",H87=""),"Daten fehlen!","Das geplante Projekt erscheint aus arbeitswirtschaftlicher Sicht nicht sinnvoll. Der Betrieb wird mit den vorhandenen Arbeitskräften nicht zu bewirtschaften sein!")</f>
        <v>Daten fehlen!</v>
      </c>
      <c r="G96" s="1134"/>
      <c r="H96" s="1134"/>
      <c r="I96" s="1134"/>
      <c r="J96" s="1134"/>
      <c r="K96" s="1134"/>
      <c r="L96" s="1134"/>
      <c r="M96" s="1134"/>
      <c r="N96" s="2"/>
      <c r="O96" s="836"/>
      <c r="P96" s="869"/>
      <c r="Q96" s="2"/>
      <c r="R96" s="865"/>
      <c r="S96" s="2"/>
      <c r="T96" s="2"/>
      <c r="U96" s="2"/>
      <c r="V96" s="2"/>
      <c r="W96" s="2"/>
      <c r="X96" s="2"/>
      <c r="Y96" s="2"/>
      <c r="Z96" s="2"/>
      <c r="AA96" s="2"/>
    </row>
    <row r="97" spans="1:27" ht="12.75" customHeight="1" x14ac:dyDescent="0.2">
      <c r="A97" s="838"/>
      <c r="B97" s="835"/>
      <c r="C97" s="2"/>
      <c r="D97" s="2"/>
      <c r="E97" s="853"/>
      <c r="F97" s="1134"/>
      <c r="G97" s="1134"/>
      <c r="H97" s="1134"/>
      <c r="I97" s="1134"/>
      <c r="J97" s="1134"/>
      <c r="K97" s="1134"/>
      <c r="L97" s="1134"/>
      <c r="M97" s="1134"/>
      <c r="N97" s="2"/>
      <c r="O97" s="836"/>
      <c r="P97" s="869"/>
      <c r="Q97" s="2"/>
      <c r="R97" s="865"/>
      <c r="S97" s="2"/>
      <c r="T97" s="2"/>
      <c r="U97" s="2"/>
      <c r="V97" s="2"/>
      <c r="W97" s="2"/>
      <c r="X97" s="2"/>
      <c r="Y97" s="2"/>
      <c r="Z97" s="2"/>
      <c r="AA97" s="2"/>
    </row>
    <row r="98" spans="1:27" x14ac:dyDescent="0.2">
      <c r="A98" s="838"/>
      <c r="B98" s="835"/>
      <c r="C98" s="2"/>
      <c r="D98" s="2"/>
      <c r="E98" s="2"/>
      <c r="F98" s="2"/>
      <c r="G98" s="2"/>
      <c r="H98" s="2"/>
      <c r="I98" s="2"/>
      <c r="J98" s="2"/>
      <c r="K98" s="2"/>
      <c r="L98" s="2"/>
      <c r="M98" s="2"/>
      <c r="N98" s="2"/>
      <c r="O98" s="849"/>
      <c r="P98" s="837"/>
      <c r="Q98" s="2"/>
      <c r="R98" s="2"/>
      <c r="S98" s="2"/>
      <c r="T98" s="2"/>
      <c r="U98" s="2"/>
      <c r="V98" s="2"/>
      <c r="W98" s="2"/>
      <c r="X98" s="2"/>
      <c r="Y98" s="2"/>
      <c r="Z98" s="2"/>
      <c r="AA98" s="2"/>
    </row>
    <row r="99" spans="1:27" ht="24.95" customHeight="1" x14ac:dyDescent="0.2">
      <c r="A99" s="838"/>
      <c r="B99" s="835"/>
      <c r="C99" s="2"/>
      <c r="D99" s="860" t="s">
        <v>489</v>
      </c>
      <c r="E99" s="1138" t="s">
        <v>490</v>
      </c>
      <c r="F99" s="1138"/>
      <c r="G99" s="1138"/>
      <c r="H99" s="1138"/>
      <c r="I99" s="1138"/>
      <c r="J99" s="1138"/>
      <c r="K99" s="1138"/>
      <c r="L99" s="1138"/>
      <c r="M99" s="1138"/>
      <c r="N99" s="2"/>
      <c r="O99" s="836"/>
      <c r="P99" s="837"/>
      <c r="Q99" s="2"/>
      <c r="R99" s="865"/>
      <c r="S99" s="2"/>
      <c r="T99" s="2"/>
      <c r="U99" s="2"/>
      <c r="V99" s="2"/>
      <c r="W99" s="2"/>
      <c r="X99" s="2"/>
      <c r="Y99" s="2"/>
      <c r="Z99" s="2"/>
      <c r="AA99" s="2"/>
    </row>
    <row r="100" spans="1:27" x14ac:dyDescent="0.2">
      <c r="A100" s="838"/>
      <c r="B100" s="835"/>
      <c r="C100" s="2"/>
      <c r="D100" s="2"/>
      <c r="E100" s="851"/>
      <c r="F100" s="2" t="s">
        <v>491</v>
      </c>
      <c r="G100" s="2"/>
      <c r="H100" s="2"/>
      <c r="I100" s="2"/>
      <c r="J100" s="2"/>
      <c r="K100" s="2"/>
      <c r="L100" s="2"/>
      <c r="M100" s="2"/>
      <c r="N100" s="2"/>
      <c r="O100" s="843" t="str">
        <f>IF(OR(AND(E100="",E102=""),AND(E100&lt;&gt;"",E102&lt;&gt;"",0)),"",IF(AND(E100='[1]E-ErgInt'!E100,E102='[1]E-ErgInt'!E102),Q100,0))</f>
        <v/>
      </c>
      <c r="P100" s="837" t="s">
        <v>463</v>
      </c>
      <c r="Q100" s="837">
        <v>1</v>
      </c>
      <c r="R100" s="865"/>
      <c r="S100" s="2"/>
      <c r="T100" s="2"/>
      <c r="U100" s="2"/>
      <c r="V100" s="2"/>
      <c r="W100" s="2"/>
      <c r="X100" s="2"/>
      <c r="Y100" s="2"/>
      <c r="Z100" s="2"/>
      <c r="AA100" s="2"/>
    </row>
    <row r="101" spans="1:27" ht="3.95" customHeight="1" x14ac:dyDescent="0.2">
      <c r="A101" s="838"/>
      <c r="B101" s="835"/>
      <c r="C101" s="2"/>
      <c r="D101" s="2"/>
      <c r="E101" s="2"/>
      <c r="F101" s="2"/>
      <c r="G101" s="2"/>
      <c r="H101" s="2"/>
      <c r="I101" s="2"/>
      <c r="J101" s="2"/>
      <c r="K101" s="871"/>
      <c r="L101" s="2"/>
      <c r="M101" s="865"/>
      <c r="N101" s="2"/>
      <c r="O101" s="836"/>
      <c r="P101" s="837"/>
      <c r="Q101" s="837"/>
      <c r="R101" s="2"/>
      <c r="S101" s="2"/>
      <c r="T101" s="2"/>
      <c r="U101" s="2"/>
      <c r="V101" s="2"/>
      <c r="W101" s="2"/>
      <c r="X101" s="2"/>
      <c r="Y101" s="2"/>
      <c r="Z101" s="2"/>
      <c r="AA101" s="2"/>
    </row>
    <row r="102" spans="1:27" x14ac:dyDescent="0.2">
      <c r="A102" s="838"/>
      <c r="B102" s="835"/>
      <c r="C102" s="2"/>
      <c r="D102" s="2"/>
      <c r="E102" s="851"/>
      <c r="F102" s="2" t="s">
        <v>492</v>
      </c>
      <c r="G102" s="2"/>
      <c r="H102" s="2"/>
      <c r="I102" s="2"/>
      <c r="J102" s="2"/>
      <c r="K102" s="871"/>
      <c r="L102" s="2"/>
      <c r="M102" s="865"/>
      <c r="N102" s="2"/>
      <c r="O102" s="836"/>
      <c r="P102" s="837"/>
      <c r="Q102" s="837"/>
      <c r="R102" s="2"/>
      <c r="S102" s="2"/>
      <c r="T102" s="2"/>
      <c r="U102" s="2"/>
      <c r="V102" s="2"/>
      <c r="W102" s="2"/>
      <c r="X102" s="2"/>
      <c r="Y102" s="2"/>
      <c r="Z102" s="2"/>
      <c r="AA102" s="2"/>
    </row>
    <row r="103" spans="1:27" ht="8.1" customHeight="1" x14ac:dyDescent="0.2">
      <c r="A103" s="838"/>
      <c r="B103" s="835"/>
      <c r="C103" s="2"/>
      <c r="D103" s="2"/>
      <c r="E103" s="2"/>
      <c r="F103" s="2"/>
      <c r="G103" s="2"/>
      <c r="H103" s="2"/>
      <c r="I103" s="2"/>
      <c r="J103" s="2"/>
      <c r="K103" s="2"/>
      <c r="L103" s="2"/>
      <c r="M103" s="2"/>
      <c r="N103" s="2"/>
      <c r="O103" s="849"/>
      <c r="P103" s="837"/>
      <c r="Q103" s="2"/>
      <c r="R103" s="2"/>
      <c r="S103" s="2"/>
      <c r="T103" s="2"/>
      <c r="U103" s="2"/>
      <c r="V103" s="2"/>
      <c r="W103" s="2"/>
      <c r="X103" s="2"/>
      <c r="Y103" s="2"/>
      <c r="Z103" s="2"/>
      <c r="AA103" s="2"/>
    </row>
    <row r="104" spans="1:27" x14ac:dyDescent="0.2">
      <c r="A104" s="838"/>
      <c r="B104" s="835"/>
      <c r="C104" s="2"/>
      <c r="D104" s="2"/>
      <c r="E104" s="868" t="s">
        <v>493</v>
      </c>
      <c r="F104" s="2"/>
      <c r="G104" s="2"/>
      <c r="H104" s="872"/>
      <c r="I104" s="841" t="s">
        <v>462</v>
      </c>
      <c r="J104" s="2" t="s">
        <v>15</v>
      </c>
      <c r="K104" s="2"/>
      <c r="L104" s="2"/>
      <c r="M104" s="2"/>
      <c r="N104" s="2"/>
      <c r="O104" s="843" t="str">
        <f>IF(H104="","",IF(ROUND('[1]E-ErgInt'!H104,Korrektur!R1)=ROUND(H104,Korrektur!R1),Q104,0))</f>
        <v/>
      </c>
      <c r="P104" s="837" t="s">
        <v>463</v>
      </c>
      <c r="Q104" s="837">
        <v>1</v>
      </c>
      <c r="R104" s="865"/>
      <c r="S104" s="2"/>
      <c r="T104" s="2"/>
      <c r="U104" s="2"/>
      <c r="V104" s="2"/>
      <c r="W104" s="2"/>
      <c r="X104" s="2"/>
      <c r="Y104" s="2"/>
      <c r="Z104" s="2"/>
      <c r="AA104" s="2"/>
    </row>
    <row r="105" spans="1:27" ht="8.1" customHeight="1" x14ac:dyDescent="0.2">
      <c r="A105" s="838"/>
      <c r="B105" s="835"/>
      <c r="C105" s="2"/>
      <c r="D105" s="2"/>
      <c r="E105" s="2"/>
      <c r="F105" s="2"/>
      <c r="G105" s="2"/>
      <c r="H105" s="511"/>
      <c r="I105" s="2"/>
      <c r="J105" s="2"/>
      <c r="K105" s="2"/>
      <c r="L105" s="2"/>
      <c r="M105" s="2"/>
      <c r="N105" s="2"/>
      <c r="O105" s="836"/>
      <c r="P105" s="869"/>
      <c r="Q105" s="2"/>
      <c r="R105" s="865"/>
      <c r="S105" s="2"/>
      <c r="T105" s="2"/>
      <c r="U105" s="2"/>
      <c r="V105" s="2"/>
      <c r="W105" s="2"/>
      <c r="X105" s="2"/>
      <c r="Y105" s="2"/>
      <c r="Z105" s="2"/>
      <c r="AA105" s="2"/>
    </row>
    <row r="106" spans="1:27" x14ac:dyDescent="0.2">
      <c r="A106" s="838"/>
      <c r="B106" s="835"/>
      <c r="C106" s="2"/>
      <c r="D106" s="2"/>
      <c r="E106" s="2" t="s">
        <v>477</v>
      </c>
      <c r="F106" s="2"/>
      <c r="G106" s="2"/>
      <c r="H106" s="2"/>
      <c r="I106" s="2"/>
      <c r="J106" s="2"/>
      <c r="K106" s="871"/>
      <c r="L106" s="2"/>
      <c r="M106" s="865"/>
      <c r="N106" s="2"/>
      <c r="O106" s="836"/>
      <c r="P106" s="837"/>
      <c r="Q106" s="837"/>
      <c r="R106" s="2"/>
      <c r="S106" s="2"/>
      <c r="T106" s="847"/>
      <c r="U106" s="2"/>
      <c r="V106" s="2"/>
      <c r="W106" s="2"/>
      <c r="X106" s="2"/>
      <c r="Y106" s="2"/>
      <c r="Z106" s="2"/>
      <c r="AA106" s="2"/>
    </row>
    <row r="107" spans="1:27" ht="12.75" customHeight="1" x14ac:dyDescent="0.2">
      <c r="A107" s="838"/>
      <c r="B107" s="835"/>
      <c r="C107" s="2"/>
      <c r="D107" s="873"/>
      <c r="E107" s="1135"/>
      <c r="F107" s="1136"/>
      <c r="G107" s="1136"/>
      <c r="H107" s="1136"/>
      <c r="I107" s="1136"/>
      <c r="J107" s="1136"/>
      <c r="K107" s="1136"/>
      <c r="L107" s="1136"/>
      <c r="M107" s="1137"/>
      <c r="N107" s="2"/>
      <c r="O107" s="843" t="str">
        <f>IF(E107="","",IF('[1]E-ErgInt'!E107=E107,Q107,0))</f>
        <v/>
      </c>
      <c r="P107" s="837" t="s">
        <v>463</v>
      </c>
      <c r="Q107" s="837">
        <v>1</v>
      </c>
      <c r="R107" s="2"/>
      <c r="S107" s="2"/>
      <c r="T107" s="847" t="s">
        <v>493</v>
      </c>
      <c r="U107" s="2"/>
      <c r="V107" s="2"/>
      <c r="W107" s="2"/>
      <c r="X107" s="2"/>
      <c r="Y107" s="2"/>
      <c r="Z107" s="2"/>
      <c r="AA107" s="2"/>
    </row>
    <row r="108" spans="1:27" ht="12.75" customHeight="1" x14ac:dyDescent="0.2">
      <c r="A108" s="838"/>
      <c r="B108" s="835"/>
      <c r="C108" s="2"/>
      <c r="D108" s="873"/>
      <c r="E108" s="848" t="s">
        <v>624</v>
      </c>
      <c r="F108" s="439"/>
      <c r="G108" s="439"/>
      <c r="H108" s="439"/>
      <c r="I108" s="439"/>
      <c r="J108" s="439"/>
      <c r="K108" s="439"/>
      <c r="L108" s="439"/>
      <c r="M108" s="439"/>
      <c r="N108" s="2"/>
      <c r="O108" s="2"/>
      <c r="P108" s="837"/>
      <c r="Q108" s="837"/>
      <c r="R108" s="2"/>
      <c r="S108" s="2"/>
      <c r="T108" s="850" t="str">
        <f>IF(H104="","Daten fehlen!","Die Energiebilanz ("&amp;FIXED(H104,0)&amp;" MJ NEL) ist negativ!")</f>
        <v>Daten fehlen!</v>
      </c>
      <c r="U108" s="2"/>
      <c r="V108" s="2"/>
      <c r="W108" s="2"/>
      <c r="X108" s="2"/>
      <c r="Y108" s="2"/>
      <c r="Z108" s="2"/>
      <c r="AA108" s="2"/>
    </row>
    <row r="109" spans="1:27" ht="12.75" customHeight="1" x14ac:dyDescent="0.2">
      <c r="A109" s="838"/>
      <c r="B109" s="835"/>
      <c r="C109" s="2"/>
      <c r="D109" s="2"/>
      <c r="E109" s="851"/>
      <c r="F109" s="1134" t="str">
        <f>IF(H104="","Daten fehlen!","Du erzeugst zuwenig Energie aus deinem Grundfutter. Du musst entweder Grundfutter oder Kraftfutter zukaufen. (Energiemangel von mehr als "&amp;FIXED(V111,0)&amp;" MJ NEL)")</f>
        <v>Daten fehlen!</v>
      </c>
      <c r="G109" s="1134"/>
      <c r="H109" s="1134"/>
      <c r="I109" s="1134"/>
      <c r="J109" s="1134"/>
      <c r="K109" s="1134"/>
      <c r="L109" s="1134"/>
      <c r="M109" s="1134"/>
      <c r="N109" s="2"/>
      <c r="O109" s="843" t="str">
        <f>IF(AND(E109='[1]E-ErgInt'!E109,E111='[1]E-ErgInt'!E111,E113='[1]E-ErgInt'!E113,E115='[1]E-ErgInt'!E115,E117='[1]E-ErgInt'!E117),Q109,"")</f>
        <v/>
      </c>
      <c r="P109" s="837" t="s">
        <v>463</v>
      </c>
      <c r="Q109" s="837">
        <v>1</v>
      </c>
      <c r="R109" s="2"/>
      <c r="S109" s="2"/>
      <c r="T109" s="850" t="str">
        <f>IF(H104="","Daten fehlen!","Die Energiebilanz ("&amp;FIXED(H104,0)&amp;" MJ NEL) ist positiv!")</f>
        <v>Daten fehlen!</v>
      </c>
      <c r="U109" s="2"/>
      <c r="V109" s="2"/>
      <c r="W109" s="2"/>
      <c r="X109" s="2"/>
      <c r="Y109" s="2"/>
      <c r="Z109" s="2"/>
      <c r="AA109" s="2"/>
    </row>
    <row r="110" spans="1:27" ht="12.75" customHeight="1" x14ac:dyDescent="0.2">
      <c r="A110" s="838"/>
      <c r="B110" s="835"/>
      <c r="C110" s="2"/>
      <c r="D110" s="2"/>
      <c r="E110" s="853"/>
      <c r="F110" s="1134"/>
      <c r="G110" s="1134"/>
      <c r="H110" s="1134"/>
      <c r="I110" s="1134"/>
      <c r="J110" s="1134"/>
      <c r="K110" s="1134"/>
      <c r="L110" s="1134"/>
      <c r="M110" s="1134"/>
      <c r="N110" s="2"/>
      <c r="O110" s="836"/>
      <c r="P110" s="837"/>
      <c r="Q110" s="837"/>
      <c r="R110" s="2"/>
      <c r="S110" s="2"/>
      <c r="T110" s="850" t="str">
        <f>IF(H104="","Daten fehlen!","Die Energiebilanz ("&amp;FIXED(H104,0)&amp;" MJ NEL) ist ausgeglichen!")</f>
        <v>Daten fehlen!</v>
      </c>
      <c r="U110" s="2"/>
      <c r="V110" s="2"/>
      <c r="W110" s="2"/>
      <c r="X110" s="2"/>
      <c r="Y110" s="2"/>
      <c r="Z110" s="2"/>
      <c r="AA110" s="2"/>
    </row>
    <row r="111" spans="1:27" ht="12.75" customHeight="1" x14ac:dyDescent="0.2">
      <c r="A111" s="838"/>
      <c r="B111" s="835"/>
      <c r="C111" s="2"/>
      <c r="D111" s="2"/>
      <c r="E111" s="851"/>
      <c r="F111" s="1134" t="str">
        <f>IF(H104="","Daten fehlen!","Der Energiebedarf ist geringfügig höher als die erzeugte Energie. Das könnte aber vermutlich durch eine Intensivierung des Futterbaues ausgeglichen werden! (Energiemangel bis "&amp;FIXED(V114,0)&amp;" MJ NEL)")</f>
        <v>Daten fehlen!</v>
      </c>
      <c r="G111" s="1134"/>
      <c r="H111" s="1134"/>
      <c r="I111" s="1134"/>
      <c r="J111" s="1134"/>
      <c r="K111" s="1134"/>
      <c r="L111" s="1134"/>
      <c r="M111" s="1134"/>
      <c r="N111" s="2"/>
      <c r="O111" s="836"/>
      <c r="P111" s="837"/>
      <c r="Q111" s="837"/>
      <c r="R111" s="2"/>
      <c r="S111" s="2"/>
      <c r="T111" s="2" t="str">
        <f>IF('[1]E-ErgInt'!T111="","",'[1]E-ErgInt'!T111)</f>
        <v>1.</v>
      </c>
      <c r="U111" s="2" t="str">
        <f>IF('[1]E-ErgInt'!U111="","",'[1]E-ErgInt'!U111)</f>
        <v>Kleiner</v>
      </c>
      <c r="V111" s="2">
        <f>IF('[1]E-ErgInt'!V111="","",'[1]E-ErgInt'!V111)</f>
        <v>20000</v>
      </c>
      <c r="W111" s="2"/>
      <c r="X111" s="2"/>
      <c r="Y111" s="2"/>
      <c r="Z111" s="2"/>
      <c r="AA111" s="2"/>
    </row>
    <row r="112" spans="1:27" ht="12.75" customHeight="1" x14ac:dyDescent="0.2">
      <c r="A112" s="838"/>
      <c r="B112" s="835"/>
      <c r="C112" s="2"/>
      <c r="D112" s="2"/>
      <c r="E112" s="853"/>
      <c r="F112" s="1134"/>
      <c r="G112" s="1134"/>
      <c r="H112" s="1134"/>
      <c r="I112" s="1134"/>
      <c r="J112" s="1134"/>
      <c r="K112" s="1134"/>
      <c r="L112" s="1134"/>
      <c r="M112" s="1134"/>
      <c r="N112" s="2"/>
      <c r="O112" s="836"/>
      <c r="P112" s="837"/>
      <c r="Q112" s="837"/>
      <c r="R112" s="2"/>
      <c r="S112" s="2"/>
      <c r="T112" s="2" t="str">
        <f>IF('[1]E-ErgInt'!T112="","",'[1]E-ErgInt'!T112)</f>
        <v/>
      </c>
      <c r="U112" s="2" t="str">
        <f>IF('[1]E-ErgInt'!U112="","",'[1]E-ErgInt'!U112)</f>
        <v>Größer</v>
      </c>
      <c r="V112" s="2" t="str">
        <f>IF('[1]E-ErgInt'!V112="","",'[1]E-ErgInt'!V112)</f>
        <v/>
      </c>
      <c r="W112" s="2"/>
      <c r="X112" s="2"/>
      <c r="Y112" s="2"/>
      <c r="Z112" s="2"/>
      <c r="AA112" s="2"/>
    </row>
    <row r="113" spans="1:27" ht="12.75" customHeight="1" x14ac:dyDescent="0.2">
      <c r="A113" s="838"/>
      <c r="B113" s="835"/>
      <c r="C113" s="2"/>
      <c r="D113" s="2"/>
      <c r="E113" s="851"/>
      <c r="F113" s="1134" t="str">
        <f>IF(H104="","Daten fehlen!","Es wird ein Energieüberschuss erwirtschaftet. Du könntest Flächen anderwertig nutzen oder Grundfutter verkaufen! (Energieüberschuss von mehr als "&amp;FIXED(V116,0)&amp;" MJ NEL)")</f>
        <v>Daten fehlen!</v>
      </c>
      <c r="G113" s="1134"/>
      <c r="H113" s="1134"/>
      <c r="I113" s="1134"/>
      <c r="J113" s="1134"/>
      <c r="K113" s="1134"/>
      <c r="L113" s="1134"/>
      <c r="M113" s="1134"/>
      <c r="N113" s="2"/>
      <c r="O113" s="836"/>
      <c r="P113" s="837"/>
      <c r="Q113" s="837"/>
      <c r="R113" s="2"/>
      <c r="S113" s="2"/>
      <c r="T113" s="2" t="str">
        <f>IF('[1]E-ErgInt'!T113="","",'[1]E-ErgInt'!T113)</f>
        <v>2.</v>
      </c>
      <c r="U113" s="2" t="str">
        <f>IF('[1]E-ErgInt'!U113="","",'[1]E-ErgInt'!U113)</f>
        <v>Kleiner</v>
      </c>
      <c r="V113" s="2">
        <f>IF('[1]E-ErgInt'!V113="","",'[1]E-ErgInt'!V113)</f>
        <v>0</v>
      </c>
      <c r="W113" s="2"/>
      <c r="X113" s="2"/>
      <c r="Y113" s="2"/>
      <c r="Z113" s="2"/>
      <c r="AA113" s="2"/>
    </row>
    <row r="114" spans="1:27" ht="12.75" customHeight="1" x14ac:dyDescent="0.2">
      <c r="A114" s="838"/>
      <c r="B114" s="835"/>
      <c r="C114" s="2"/>
      <c r="D114" s="2"/>
      <c r="E114" s="853"/>
      <c r="F114" s="1134"/>
      <c r="G114" s="1134"/>
      <c r="H114" s="1134"/>
      <c r="I114" s="1134"/>
      <c r="J114" s="1134"/>
      <c r="K114" s="1134"/>
      <c r="L114" s="1134"/>
      <c r="M114" s="1134"/>
      <c r="N114" s="2"/>
      <c r="O114" s="836"/>
      <c r="P114" s="837"/>
      <c r="Q114" s="837"/>
      <c r="R114" s="2"/>
      <c r="S114" s="2"/>
      <c r="T114" s="2" t="str">
        <f>IF('[1]E-ErgInt'!T114="","",'[1]E-ErgInt'!T114)</f>
        <v/>
      </c>
      <c r="U114" s="2" t="str">
        <f>IF('[1]E-ErgInt'!U114="","",'[1]E-ErgInt'!U114)</f>
        <v>Größer</v>
      </c>
      <c r="V114" s="2">
        <f>IF('[1]E-ErgInt'!V114="","",'[1]E-ErgInt'!V114)</f>
        <v>20000</v>
      </c>
      <c r="W114" s="2"/>
      <c r="X114" s="2"/>
      <c r="Y114" s="2"/>
      <c r="Z114" s="2"/>
      <c r="AA114" s="2"/>
    </row>
    <row r="115" spans="1:27" ht="12.75" customHeight="1" x14ac:dyDescent="0.2">
      <c r="A115" s="838"/>
      <c r="B115" s="835"/>
      <c r="C115" s="2"/>
      <c r="D115" s="2"/>
      <c r="E115" s="851"/>
      <c r="F115" s="1134" t="str">
        <f>IF(H104="","Daten fehlen!","Das geringfügige Plus an Energie veschafft dir Reserven für Jahre mit schlechteren Wirtschaftsfuttererträgen. (Energieüberschuss bis "&amp;FIXED(V117,0)&amp;" MJ NEL)")</f>
        <v>Daten fehlen!</v>
      </c>
      <c r="G115" s="1134"/>
      <c r="H115" s="1134"/>
      <c r="I115" s="1134"/>
      <c r="J115" s="1134"/>
      <c r="K115" s="1134"/>
      <c r="L115" s="1134"/>
      <c r="M115" s="1134"/>
      <c r="N115" s="2"/>
      <c r="O115" s="836"/>
      <c r="P115" s="837"/>
      <c r="Q115" s="837"/>
      <c r="R115" s="2"/>
      <c r="S115" s="2"/>
      <c r="T115" s="2" t="str">
        <f>IF('[1]E-ErgInt'!T115="","",'[1]E-ErgInt'!T115)</f>
        <v>3.</v>
      </c>
      <c r="U115" s="2" t="str">
        <f>IF('[1]E-ErgInt'!U115="","",'[1]E-ErgInt'!U115)</f>
        <v>Kleiner</v>
      </c>
      <c r="V115" s="2" t="str">
        <f>IF('[1]E-ErgInt'!V115="","",'[1]E-ErgInt'!V115)</f>
        <v/>
      </c>
      <c r="W115" s="2"/>
      <c r="X115" s="2"/>
      <c r="Y115" s="2"/>
      <c r="Z115" s="2"/>
      <c r="AA115" s="2"/>
    </row>
    <row r="116" spans="1:27" ht="12.75" customHeight="1" x14ac:dyDescent="0.2">
      <c r="A116" s="838"/>
      <c r="B116" s="835"/>
      <c r="C116" s="2"/>
      <c r="D116" s="2"/>
      <c r="E116" s="853"/>
      <c r="F116" s="1134"/>
      <c r="G116" s="1134"/>
      <c r="H116" s="1134"/>
      <c r="I116" s="1134"/>
      <c r="J116" s="1134"/>
      <c r="K116" s="1134"/>
      <c r="L116" s="1134"/>
      <c r="M116" s="1134"/>
      <c r="N116" s="2"/>
      <c r="O116" s="836"/>
      <c r="P116" s="837"/>
      <c r="Q116" s="837"/>
      <c r="R116" s="2"/>
      <c r="S116" s="2"/>
      <c r="T116" s="2" t="str">
        <f>IF('[1]E-ErgInt'!T116="","",'[1]E-ErgInt'!T116)</f>
        <v/>
      </c>
      <c r="U116" s="2" t="str">
        <f>IF('[1]E-ErgInt'!U116="","",'[1]E-ErgInt'!U116)</f>
        <v>Größer</v>
      </c>
      <c r="V116" s="2">
        <f>IF('[1]E-ErgInt'!V116="","",'[1]E-ErgInt'!V116)</f>
        <v>24000</v>
      </c>
      <c r="W116" s="2"/>
      <c r="X116" s="2"/>
      <c r="Y116" s="2"/>
      <c r="Z116" s="2"/>
      <c r="AA116" s="2"/>
    </row>
    <row r="117" spans="1:27" ht="12.75" customHeight="1" x14ac:dyDescent="0.2">
      <c r="A117" s="838"/>
      <c r="B117" s="835"/>
      <c r="C117" s="2"/>
      <c r="D117" s="2"/>
      <c r="E117" s="851"/>
      <c r="F117" s="1134" t="str">
        <f>IF(H104="","Daten fehlen!","Du erzeugst gerade soviel Energie wie du benötigst. In ertragsschwachen Jahren könnte es allerdings knapp werden. Dann müsstest du etwas Futter zukaufen. (Energiebilanz ausgeglichen!)")</f>
        <v>Daten fehlen!</v>
      </c>
      <c r="G117" s="1134"/>
      <c r="H117" s="1134"/>
      <c r="I117" s="1134"/>
      <c r="J117" s="1134"/>
      <c r="K117" s="1134"/>
      <c r="L117" s="1134"/>
      <c r="M117" s="1134"/>
      <c r="N117" s="2"/>
      <c r="O117" s="836"/>
      <c r="P117" s="837"/>
      <c r="Q117" s="837"/>
      <c r="R117" s="2"/>
      <c r="S117" s="2"/>
      <c r="T117" s="2" t="str">
        <f>IF('[1]E-ErgInt'!T117="","",'[1]E-ErgInt'!T117)</f>
        <v>4.</v>
      </c>
      <c r="U117" s="2" t="str">
        <f>IF('[1]E-ErgInt'!U117="","",'[1]E-ErgInt'!U117)</f>
        <v>Kleiner</v>
      </c>
      <c r="V117" s="2">
        <f>IF('[1]E-ErgInt'!V117="","",'[1]E-ErgInt'!V117)</f>
        <v>24000</v>
      </c>
      <c r="W117" s="2"/>
      <c r="X117" s="2"/>
      <c r="Y117" s="2"/>
      <c r="Z117" s="2"/>
      <c r="AA117" s="2"/>
    </row>
    <row r="118" spans="1:27" ht="12.75" customHeight="1" x14ac:dyDescent="0.2">
      <c r="A118" s="838"/>
      <c r="B118" s="835"/>
      <c r="C118" s="2"/>
      <c r="D118" s="2"/>
      <c r="E118" s="853"/>
      <c r="F118" s="1134"/>
      <c r="G118" s="1134"/>
      <c r="H118" s="1134"/>
      <c r="I118" s="1134"/>
      <c r="J118" s="1134"/>
      <c r="K118" s="1134"/>
      <c r="L118" s="1134"/>
      <c r="M118" s="1134"/>
      <c r="N118" s="2"/>
      <c r="O118" s="836"/>
      <c r="P118" s="837"/>
      <c r="Q118" s="837"/>
      <c r="R118" s="2"/>
      <c r="S118" s="2"/>
      <c r="T118" s="2" t="str">
        <f>IF('[1]E-ErgInt'!T118="","",'[1]E-ErgInt'!T118)</f>
        <v/>
      </c>
      <c r="U118" s="2" t="str">
        <f>IF('[1]E-ErgInt'!U118="","",'[1]E-ErgInt'!U118)</f>
        <v>Größer</v>
      </c>
      <c r="V118" s="2">
        <f>IF('[1]E-ErgInt'!V118="","",'[1]E-ErgInt'!V118)</f>
        <v>0</v>
      </c>
      <c r="W118" s="2"/>
      <c r="X118" s="2"/>
      <c r="Y118" s="2"/>
      <c r="Z118" s="2"/>
      <c r="AA118" s="2"/>
    </row>
    <row r="119" spans="1:27" ht="12.75" customHeight="1" x14ac:dyDescent="0.2">
      <c r="A119" s="838"/>
      <c r="B119" s="835"/>
      <c r="C119" s="2"/>
      <c r="D119" s="2"/>
      <c r="E119" s="853"/>
      <c r="F119" s="852"/>
      <c r="G119" s="852"/>
      <c r="H119" s="852"/>
      <c r="I119" s="852"/>
      <c r="J119" s="852"/>
      <c r="K119" s="852"/>
      <c r="L119" s="852"/>
      <c r="M119" s="852"/>
      <c r="N119" s="2"/>
      <c r="O119" s="836"/>
      <c r="P119" s="837"/>
      <c r="Q119" s="837"/>
      <c r="R119" s="2"/>
      <c r="S119" s="2"/>
      <c r="T119" s="2" t="str">
        <f>IF('[1]E-ErgInt'!T119="","",'[1]E-ErgInt'!T119)</f>
        <v>5.</v>
      </c>
      <c r="U119" s="2" t="str">
        <f>IF('[1]E-ErgInt'!U119="","",'[1]E-ErgInt'!U119)</f>
        <v>Gleich</v>
      </c>
      <c r="V119" s="2">
        <f>IF('[1]E-ErgInt'!V119="","",'[1]E-ErgInt'!V119)</f>
        <v>0</v>
      </c>
      <c r="W119" s="2"/>
      <c r="X119" s="2"/>
      <c r="Y119" s="2"/>
      <c r="Z119" s="2"/>
      <c r="AA119" s="2"/>
    </row>
    <row r="120" spans="1:27" ht="45.95" customHeight="1" x14ac:dyDescent="0.2">
      <c r="A120" s="838"/>
      <c r="B120" s="835"/>
      <c r="C120" s="2"/>
      <c r="D120" s="860" t="s">
        <v>494</v>
      </c>
      <c r="E120" s="1138" t="str">
        <f>IF('[1]E-ErgInt'!$E$120:$M$120="","",'[1]E-ErgInt'!$E$120:$M$120)</f>
        <v>Ihr habt bereits begonnen einige der doppelt vorhandene Anlagen zu verkaufen. Die restlichen ungenutzten Anlagen vom Hof der Schwiegereltern wollt ihr auch noch verkaufen. Dadurch sollte es euch gelingen noch zusätzliches Eigenkapital in Höhe von schätzungsweise € 78 000,00 zu beschaffen.
Das würde sich im Ergebnis der Planungsrechnung wie folgt niedergeschlagen:</v>
      </c>
      <c r="F120" s="1138"/>
      <c r="G120" s="1138"/>
      <c r="H120" s="1138"/>
      <c r="I120" s="1138"/>
      <c r="J120" s="1138"/>
      <c r="K120" s="1138"/>
      <c r="L120" s="1138"/>
      <c r="M120" s="1138"/>
      <c r="N120" s="2"/>
      <c r="O120" s="836"/>
      <c r="P120" s="837"/>
      <c r="Q120" s="837"/>
      <c r="R120" s="2"/>
      <c r="S120" s="2"/>
      <c r="T120" s="874">
        <v>33300</v>
      </c>
      <c r="U120" s="2"/>
      <c r="V120" s="2"/>
      <c r="W120" s="2"/>
      <c r="X120" s="2"/>
      <c r="Y120" s="2"/>
      <c r="Z120" s="2"/>
      <c r="AA120" s="2"/>
    </row>
    <row r="121" spans="1:27" s="255" customFormat="1" ht="12.75" customHeight="1" x14ac:dyDescent="0.2">
      <c r="A121" s="875"/>
      <c r="B121" s="835"/>
      <c r="C121" s="503"/>
      <c r="D121" s="503"/>
      <c r="E121" s="876"/>
      <c r="F121" s="877"/>
      <c r="G121" s="877"/>
      <c r="H121" s="877"/>
      <c r="I121" s="877"/>
      <c r="J121" s="877"/>
      <c r="K121" s="877"/>
      <c r="L121" s="877"/>
      <c r="M121" s="877"/>
      <c r="N121" s="503"/>
      <c r="O121" s="836"/>
      <c r="P121" s="837"/>
      <c r="Q121" s="837"/>
      <c r="R121" s="503"/>
      <c r="S121" s="503"/>
      <c r="T121" s="878"/>
      <c r="U121" s="503"/>
      <c r="V121" s="503"/>
      <c r="W121" s="503"/>
      <c r="X121" s="503"/>
      <c r="Y121" s="503"/>
      <c r="Z121" s="503"/>
      <c r="AA121" s="503"/>
    </row>
    <row r="122" spans="1:27" s="255" customFormat="1" ht="12.75" customHeight="1" x14ac:dyDescent="0.2">
      <c r="A122" s="875"/>
      <c r="B122" s="835"/>
      <c r="C122" s="503"/>
      <c r="D122" s="503"/>
      <c r="E122" s="856" t="s">
        <v>495</v>
      </c>
      <c r="F122" s="877"/>
      <c r="G122" s="877"/>
      <c r="H122" s="877"/>
      <c r="I122" s="877"/>
      <c r="J122" s="877"/>
      <c r="K122" s="877"/>
      <c r="L122" s="877"/>
      <c r="M122" s="877"/>
      <c r="N122" s="503"/>
      <c r="O122" s="836"/>
      <c r="P122" s="837"/>
      <c r="Q122" s="837"/>
      <c r="R122" s="503"/>
      <c r="S122" s="503"/>
      <c r="T122" s="878"/>
      <c r="U122" s="503"/>
      <c r="V122" s="503"/>
      <c r="W122" s="503"/>
      <c r="X122" s="503"/>
      <c r="Y122" s="503"/>
      <c r="Z122" s="503"/>
      <c r="AA122" s="503"/>
    </row>
    <row r="123" spans="1:27" s="255" customFormat="1" ht="12.75" customHeight="1" x14ac:dyDescent="0.2">
      <c r="A123" s="875"/>
      <c r="B123" s="835"/>
      <c r="C123" s="503"/>
      <c r="D123" s="503"/>
      <c r="E123" s="503" t="s">
        <v>725</v>
      </c>
      <c r="F123" s="877"/>
      <c r="G123" s="877"/>
      <c r="H123" s="877"/>
      <c r="I123" s="877"/>
      <c r="J123" s="877"/>
      <c r="K123" s="877"/>
      <c r="L123" s="877"/>
      <c r="M123" s="879">
        <f>IF('[1]E-ErgInt'!$M123="","",'[1]E-ErgInt'!$M123)</f>
        <v>4086.2133533573997</v>
      </c>
      <c r="N123" s="503"/>
      <c r="O123" s="836"/>
      <c r="P123" s="837"/>
      <c r="Q123" s="837"/>
      <c r="R123" s="503"/>
      <c r="S123" s="503"/>
      <c r="T123" s="878"/>
      <c r="U123" s="503"/>
      <c r="V123" s="503"/>
      <c r="W123" s="503"/>
      <c r="X123" s="503"/>
      <c r="Y123" s="503"/>
      <c r="Z123" s="503"/>
      <c r="AA123" s="503"/>
    </row>
    <row r="124" spans="1:27" s="255" customFormat="1" ht="12.75" customHeight="1" x14ac:dyDescent="0.2">
      <c r="A124" s="875"/>
      <c r="B124" s="835"/>
      <c r="C124" s="503"/>
      <c r="D124" s="503"/>
      <c r="E124" s="413" t="s">
        <v>726</v>
      </c>
      <c r="F124" s="880"/>
      <c r="G124" s="880"/>
      <c r="H124" s="880"/>
      <c r="I124" s="880"/>
      <c r="J124" s="880"/>
      <c r="K124" s="880"/>
      <c r="L124" s="877"/>
      <c r="M124" s="879">
        <f>IF('[1]E-ErgInt'!$M124="","",'[1]E-ErgInt'!$M124)</f>
        <v>7966.6973805814732</v>
      </c>
      <c r="N124" s="503"/>
      <c r="O124" s="836"/>
      <c r="P124" s="837"/>
      <c r="Q124" s="837"/>
      <c r="R124" s="503"/>
      <c r="S124" s="503"/>
      <c r="T124" s="878"/>
      <c r="U124" s="503"/>
      <c r="V124" s="503"/>
      <c r="W124" s="503"/>
      <c r="X124" s="503"/>
      <c r="Y124" s="503"/>
      <c r="Z124" s="503"/>
      <c r="AA124" s="503"/>
    </row>
    <row r="125" spans="1:27" s="255" customFormat="1" ht="12.75" customHeight="1" x14ac:dyDescent="0.2">
      <c r="A125" s="875"/>
      <c r="B125" s="835"/>
      <c r="C125" s="503"/>
      <c r="D125" s="503"/>
      <c r="E125" s="881" t="s">
        <v>476</v>
      </c>
      <c r="F125" s="882"/>
      <c r="G125" s="882"/>
      <c r="H125" s="883"/>
      <c r="I125" s="882"/>
      <c r="J125" s="882"/>
      <c r="K125" s="882"/>
      <c r="L125" s="877"/>
      <c r="M125" s="884"/>
      <c r="N125" s="503"/>
      <c r="O125" s="843" t="str">
        <f>IF(M125="","",IF(ROUND('[1]E-ErgInt'!M125,Korrektur!R1)=ROUND(M125,Korrektur!R1),Q125,0))</f>
        <v/>
      </c>
      <c r="P125" s="837" t="s">
        <v>463</v>
      </c>
      <c r="Q125" s="837">
        <v>1</v>
      </c>
      <c r="R125" s="503"/>
      <c r="S125" s="503"/>
      <c r="T125" s="878"/>
      <c r="U125" s="503"/>
      <c r="V125" s="503"/>
      <c r="W125" s="503"/>
      <c r="X125" s="503"/>
      <c r="Y125" s="503"/>
      <c r="Z125" s="503"/>
      <c r="AA125" s="503"/>
    </row>
    <row r="126" spans="1:27" s="255" customFormat="1" ht="8.1" customHeight="1" x14ac:dyDescent="0.2">
      <c r="A126" s="875"/>
      <c r="B126" s="835"/>
      <c r="C126" s="503"/>
      <c r="D126" s="503"/>
      <c r="E126" s="876"/>
      <c r="F126" s="877"/>
      <c r="G126" s="877"/>
      <c r="H126" s="877"/>
      <c r="I126" s="877"/>
      <c r="J126" s="877"/>
      <c r="K126" s="877"/>
      <c r="L126" s="877"/>
      <c r="M126" s="877"/>
      <c r="N126" s="503"/>
      <c r="O126" s="836"/>
      <c r="P126" s="837"/>
      <c r="Q126" s="837"/>
      <c r="R126" s="503"/>
      <c r="S126" s="503"/>
      <c r="T126" s="878"/>
      <c r="U126" s="503"/>
      <c r="V126" s="503"/>
      <c r="W126" s="503"/>
      <c r="X126" s="503"/>
      <c r="Y126" s="503"/>
      <c r="Z126" s="503"/>
      <c r="AA126" s="503"/>
    </row>
    <row r="127" spans="1:27" s="255" customFormat="1" ht="12.75" customHeight="1" x14ac:dyDescent="0.2">
      <c r="A127" s="875"/>
      <c r="B127" s="835"/>
      <c r="C127" s="503"/>
      <c r="D127" s="503"/>
      <c r="E127" s="856" t="s">
        <v>496</v>
      </c>
      <c r="F127" s="877"/>
      <c r="G127" s="877"/>
      <c r="H127" s="877"/>
      <c r="I127" s="877"/>
      <c r="J127" s="877"/>
      <c r="K127" s="877"/>
      <c r="L127" s="877"/>
      <c r="M127" s="877"/>
      <c r="N127" s="503"/>
      <c r="O127" s="836"/>
      <c r="P127" s="837"/>
      <c r="Q127" s="837"/>
      <c r="R127" s="503"/>
      <c r="S127" s="503"/>
      <c r="T127" s="878"/>
      <c r="U127" s="503"/>
      <c r="V127" s="503"/>
      <c r="W127" s="503"/>
      <c r="X127" s="503"/>
      <c r="Y127" s="503"/>
      <c r="Z127" s="503"/>
      <c r="AA127" s="503"/>
    </row>
    <row r="128" spans="1:27" s="255" customFormat="1" ht="12.75" customHeight="1" x14ac:dyDescent="0.2">
      <c r="A128" s="875"/>
      <c r="B128" s="835"/>
      <c r="C128" s="503"/>
      <c r="D128" s="503"/>
      <c r="E128" s="851"/>
      <c r="F128" s="503" t="s">
        <v>13</v>
      </c>
      <c r="G128" s="877"/>
      <c r="H128" s="877"/>
      <c r="I128" s="877"/>
      <c r="J128" s="877"/>
      <c r="K128" s="877"/>
      <c r="L128" s="877"/>
      <c r="M128" s="877"/>
      <c r="N128" s="503"/>
      <c r="O128" s="843" t="str">
        <f>IF(OR(AND(E128="",E130=""),AND(E128&lt;&gt;"",E130&lt;&gt;"",0)),"",IF(AND(E128='[1]E-ErgInt'!E128,E130='[1]E-ErgInt'!E130),Q128,0))</f>
        <v/>
      </c>
      <c r="P128" s="837" t="s">
        <v>463</v>
      </c>
      <c r="Q128" s="837">
        <v>1</v>
      </c>
      <c r="R128" s="503"/>
      <c r="S128" s="503"/>
      <c r="T128" s="878"/>
      <c r="U128" s="503"/>
      <c r="V128" s="503"/>
      <c r="W128" s="503"/>
      <c r="X128" s="503"/>
      <c r="Y128" s="503"/>
      <c r="Z128" s="503"/>
      <c r="AA128" s="503"/>
    </row>
    <row r="129" spans="1:27" s="255" customFormat="1" ht="3.95" customHeight="1" x14ac:dyDescent="0.2">
      <c r="A129" s="875"/>
      <c r="B129" s="835"/>
      <c r="C129" s="503"/>
      <c r="D129" s="503"/>
      <c r="E129" s="503"/>
      <c r="F129" s="503"/>
      <c r="G129" s="877"/>
      <c r="H129" s="877"/>
      <c r="I129" s="877"/>
      <c r="J129" s="877"/>
      <c r="K129" s="877"/>
      <c r="L129" s="877"/>
      <c r="M129" s="877"/>
      <c r="N129" s="503"/>
      <c r="O129" s="836"/>
      <c r="P129" s="837"/>
      <c r="Q129" s="837"/>
      <c r="R129" s="503"/>
      <c r="S129" s="503"/>
      <c r="T129" s="878"/>
      <c r="U129" s="503"/>
      <c r="V129" s="503"/>
      <c r="W129" s="503"/>
      <c r="X129" s="503"/>
      <c r="Y129" s="503"/>
      <c r="Z129" s="503"/>
      <c r="AA129" s="503"/>
    </row>
    <row r="130" spans="1:27" s="255" customFormat="1" ht="12.75" customHeight="1" x14ac:dyDescent="0.2">
      <c r="A130" s="875"/>
      <c r="B130" s="835"/>
      <c r="C130" s="503"/>
      <c r="D130" s="503"/>
      <c r="E130" s="851"/>
      <c r="F130" s="503" t="s">
        <v>14</v>
      </c>
      <c r="G130" s="877"/>
      <c r="H130" s="877"/>
      <c r="I130" s="877"/>
      <c r="J130" s="877"/>
      <c r="K130" s="877"/>
      <c r="L130" s="877"/>
      <c r="M130" s="877"/>
      <c r="N130" s="503"/>
      <c r="O130" s="836"/>
      <c r="P130" s="837"/>
      <c r="Q130" s="837"/>
      <c r="R130" s="503"/>
      <c r="S130" s="503"/>
      <c r="T130" s="878"/>
      <c r="U130" s="503"/>
      <c r="V130" s="503"/>
      <c r="W130" s="503"/>
      <c r="X130" s="503"/>
      <c r="Y130" s="503"/>
      <c r="Z130" s="503"/>
      <c r="AA130" s="503"/>
    </row>
    <row r="131" spans="1:27" s="255" customFormat="1" ht="12.75" customHeight="1" x14ac:dyDescent="0.2">
      <c r="A131" s="875"/>
      <c r="B131" s="835"/>
      <c r="C131" s="503"/>
      <c r="D131" s="503"/>
      <c r="E131" s="876"/>
      <c r="F131" s="877"/>
      <c r="G131" s="877"/>
      <c r="H131" s="877"/>
      <c r="I131" s="877"/>
      <c r="J131" s="877"/>
      <c r="K131" s="877"/>
      <c r="L131" s="877"/>
      <c r="M131" s="877"/>
      <c r="N131" s="503"/>
      <c r="O131" s="836"/>
      <c r="P131" s="837"/>
      <c r="Q131" s="837"/>
      <c r="R131" s="503"/>
      <c r="S131" s="503"/>
      <c r="T131" s="878"/>
      <c r="U131" s="503"/>
      <c r="V131" s="503"/>
      <c r="W131" s="503"/>
      <c r="X131" s="503"/>
      <c r="Y131" s="503"/>
      <c r="Z131" s="503"/>
      <c r="AA131" s="503"/>
    </row>
    <row r="132" spans="1:27" s="255" customFormat="1" ht="12.75" customHeight="1" x14ac:dyDescent="0.2">
      <c r="A132" s="875"/>
      <c r="B132" s="835"/>
      <c r="C132" s="503"/>
      <c r="D132" s="503"/>
      <c r="E132" s="856" t="s">
        <v>497</v>
      </c>
      <c r="F132" s="877"/>
      <c r="G132" s="877"/>
      <c r="H132" s="877"/>
      <c r="I132" s="877"/>
      <c r="J132" s="877"/>
      <c r="K132" s="877"/>
      <c r="L132" s="877"/>
      <c r="M132" s="877"/>
      <c r="N132" s="503"/>
      <c r="O132" s="836"/>
      <c r="P132" s="837"/>
      <c r="Q132" s="837"/>
      <c r="R132" s="503"/>
      <c r="S132" s="503"/>
      <c r="T132" s="878"/>
      <c r="U132" s="503"/>
      <c r="V132" s="503"/>
      <c r="W132" s="503"/>
      <c r="X132" s="503"/>
      <c r="Y132" s="503"/>
      <c r="Z132" s="503"/>
      <c r="AA132" s="503"/>
    </row>
    <row r="133" spans="1:27" s="255" customFormat="1" ht="12.75" customHeight="1" x14ac:dyDescent="0.2">
      <c r="A133" s="875"/>
      <c r="B133" s="835"/>
      <c r="C133" s="503"/>
      <c r="D133" s="503"/>
      <c r="E133" s="503" t="s">
        <v>730</v>
      </c>
      <c r="F133" s="877"/>
      <c r="G133" s="877"/>
      <c r="H133" s="877"/>
      <c r="I133" s="877"/>
      <c r="J133" s="877"/>
      <c r="K133" s="877"/>
      <c r="L133" s="877"/>
      <c r="M133" s="879">
        <f>IF('[1]E-ErgInt'!$M133="","",'[1]E-ErgInt'!$M133)</f>
        <v>21481.186958008562</v>
      </c>
      <c r="N133" s="503"/>
      <c r="O133" s="836"/>
      <c r="P133" s="837"/>
      <c r="Q133" s="837"/>
      <c r="R133" s="503"/>
      <c r="S133" s="503"/>
      <c r="T133" s="878"/>
      <c r="U133" s="503"/>
      <c r="V133" s="503"/>
      <c r="W133" s="503"/>
      <c r="X133" s="503"/>
      <c r="Y133" s="503"/>
      <c r="Z133" s="503"/>
      <c r="AA133" s="503"/>
    </row>
    <row r="134" spans="1:27" s="255" customFormat="1" ht="12.75" customHeight="1" x14ac:dyDescent="0.2">
      <c r="A134" s="875"/>
      <c r="B134" s="835"/>
      <c r="C134" s="503"/>
      <c r="D134" s="503"/>
      <c r="E134" s="413" t="s">
        <v>731</v>
      </c>
      <c r="F134" s="877"/>
      <c r="G134" s="877"/>
      <c r="H134" s="877"/>
      <c r="I134" s="877"/>
      <c r="J134" s="877"/>
      <c r="K134" s="877"/>
      <c r="L134" s="877"/>
      <c r="M134" s="879">
        <f>IF('[1]E-ErgInt'!$M134="","",'[1]E-ErgInt'!$M134)</f>
        <v>2435.1388045373374</v>
      </c>
      <c r="N134" s="503"/>
      <c r="O134" s="836"/>
      <c r="P134" s="837"/>
      <c r="Q134" s="837"/>
      <c r="R134" s="503"/>
      <c r="T134" s="885" t="s">
        <v>498</v>
      </c>
      <c r="U134" s="503"/>
      <c r="V134" s="503"/>
      <c r="W134" s="503"/>
      <c r="X134" s="503"/>
      <c r="Y134" s="503"/>
      <c r="Z134" s="503"/>
      <c r="AA134" s="503"/>
    </row>
    <row r="135" spans="1:27" s="255" customFormat="1" ht="12.75" customHeight="1" x14ac:dyDescent="0.2">
      <c r="A135" s="875"/>
      <c r="B135" s="835"/>
      <c r="C135" s="503"/>
      <c r="D135" s="503"/>
      <c r="E135" s="1172"/>
      <c r="F135" s="1173"/>
      <c r="G135" s="1173"/>
      <c r="H135" s="1173"/>
      <c r="I135" s="1173"/>
      <c r="J135" s="1173"/>
      <c r="K135" s="1173"/>
      <c r="L135" s="1173"/>
      <c r="M135" s="1174"/>
      <c r="N135" s="503"/>
      <c r="O135" s="843" t="str">
        <f>IF(E135="","",IF('[1]E-ErgInt'!E135=E135,Q135,0))</f>
        <v/>
      </c>
      <c r="P135" s="837" t="s">
        <v>463</v>
      </c>
      <c r="Q135" s="837">
        <v>1</v>
      </c>
      <c r="R135" s="503"/>
      <c r="T135" s="886" t="s">
        <v>727</v>
      </c>
      <c r="U135" s="503"/>
      <c r="V135" s="503"/>
      <c r="W135" s="503"/>
      <c r="X135" s="503"/>
      <c r="Y135" s="503"/>
      <c r="Z135" s="503"/>
      <c r="AA135" s="503"/>
    </row>
    <row r="136" spans="1:27" s="255" customFormat="1" ht="8.1" customHeight="1" x14ac:dyDescent="0.2">
      <c r="A136" s="875"/>
      <c r="B136" s="835"/>
      <c r="C136" s="503"/>
      <c r="D136" s="503"/>
      <c r="E136" s="876"/>
      <c r="F136" s="877"/>
      <c r="G136" s="877"/>
      <c r="H136" s="877"/>
      <c r="I136" s="877"/>
      <c r="J136" s="877"/>
      <c r="K136" s="877"/>
      <c r="L136" s="877"/>
      <c r="M136" s="877"/>
      <c r="N136" s="503"/>
      <c r="O136" s="836"/>
      <c r="P136" s="837"/>
      <c r="Q136" s="837"/>
      <c r="R136" s="503"/>
      <c r="T136" s="886" t="s">
        <v>728</v>
      </c>
      <c r="U136" s="503"/>
      <c r="V136" s="503"/>
      <c r="W136" s="503"/>
      <c r="X136" s="503"/>
      <c r="Y136" s="503"/>
      <c r="Z136" s="503"/>
      <c r="AA136" s="503"/>
    </row>
    <row r="137" spans="1:27" s="255" customFormat="1" ht="12.75" customHeight="1" x14ac:dyDescent="0.2">
      <c r="A137" s="875"/>
      <c r="B137" s="835"/>
      <c r="C137" s="503"/>
      <c r="D137" s="503"/>
      <c r="E137" s="856" t="s">
        <v>499</v>
      </c>
      <c r="F137" s="877"/>
      <c r="G137" s="877"/>
      <c r="H137" s="877"/>
      <c r="I137" s="877"/>
      <c r="J137" s="877"/>
      <c r="K137" s="877"/>
      <c r="L137" s="877"/>
      <c r="M137" s="877"/>
      <c r="N137" s="503"/>
      <c r="O137" s="836"/>
      <c r="P137" s="837"/>
      <c r="Q137" s="837"/>
      <c r="R137" s="503"/>
      <c r="T137" s="886" t="s">
        <v>729</v>
      </c>
      <c r="U137" s="503"/>
      <c r="V137" s="503"/>
      <c r="W137" s="503"/>
      <c r="X137" s="503"/>
      <c r="Y137" s="503"/>
      <c r="Z137" s="503"/>
      <c r="AA137" s="503"/>
    </row>
    <row r="138" spans="1:27" s="255" customFormat="1" ht="12.75" customHeight="1" x14ac:dyDescent="0.2">
      <c r="A138" s="875"/>
      <c r="B138" s="835"/>
      <c r="C138" s="503"/>
      <c r="D138" s="503"/>
      <c r="E138" s="851"/>
      <c r="F138" s="503" t="s">
        <v>13</v>
      </c>
      <c r="G138" s="877"/>
      <c r="H138" s="877"/>
      <c r="I138" s="877"/>
      <c r="J138" s="877"/>
      <c r="K138" s="877"/>
      <c r="L138" s="877"/>
      <c r="M138" s="877"/>
      <c r="N138" s="503"/>
      <c r="O138" s="843" t="str">
        <f>IF(OR(AND(E138="",E140=""),AND(E138&lt;&gt;"",E140&lt;&gt;"",0)),"",IF(AND(E138='[1]E-ErgInt'!E138,E140='[1]E-ErgInt'!E140),Q138,0))</f>
        <v/>
      </c>
      <c r="P138" s="837" t="s">
        <v>463</v>
      </c>
      <c r="Q138" s="837">
        <v>1</v>
      </c>
      <c r="R138" s="503"/>
      <c r="S138" s="503"/>
      <c r="T138" s="878"/>
      <c r="U138" s="503"/>
      <c r="V138" s="503"/>
      <c r="W138" s="503"/>
      <c r="X138" s="503"/>
      <c r="Y138" s="503"/>
      <c r="Z138" s="503"/>
      <c r="AA138" s="503"/>
    </row>
    <row r="139" spans="1:27" s="255" customFormat="1" ht="3.95" customHeight="1" x14ac:dyDescent="0.2">
      <c r="A139" s="875"/>
      <c r="B139" s="835"/>
      <c r="C139" s="503"/>
      <c r="D139" s="503"/>
      <c r="E139" s="503"/>
      <c r="F139" s="503"/>
      <c r="G139" s="877"/>
      <c r="H139" s="877"/>
      <c r="I139" s="877"/>
      <c r="J139" s="877"/>
      <c r="K139" s="877"/>
      <c r="L139" s="877"/>
      <c r="M139" s="877"/>
      <c r="N139" s="503"/>
      <c r="O139" s="836"/>
      <c r="P139" s="837"/>
      <c r="Q139" s="837"/>
      <c r="R139" s="503"/>
      <c r="S139" s="503"/>
      <c r="T139" s="878"/>
      <c r="U139" s="503"/>
      <c r="V139" s="503"/>
      <c r="W139" s="503"/>
      <c r="X139" s="503"/>
      <c r="Y139" s="503"/>
      <c r="Z139" s="503"/>
      <c r="AA139" s="503"/>
    </row>
    <row r="140" spans="1:27" s="255" customFormat="1" ht="12.75" customHeight="1" x14ac:dyDescent="0.2">
      <c r="A140" s="875"/>
      <c r="B140" s="835"/>
      <c r="C140" s="503"/>
      <c r="D140" s="503"/>
      <c r="E140" s="851"/>
      <c r="F140" s="503" t="s">
        <v>14</v>
      </c>
      <c r="G140" s="877"/>
      <c r="H140" s="877"/>
      <c r="I140" s="877"/>
      <c r="J140" s="877"/>
      <c r="K140" s="877"/>
      <c r="L140" s="877"/>
      <c r="M140" s="877"/>
      <c r="N140" s="503"/>
      <c r="O140" s="836"/>
      <c r="P140" s="837"/>
      <c r="Q140" s="837"/>
      <c r="R140" s="503"/>
      <c r="S140" s="503"/>
      <c r="T140" s="878"/>
      <c r="U140" s="503"/>
      <c r="V140" s="503"/>
      <c r="W140" s="503"/>
      <c r="X140" s="503"/>
      <c r="Y140" s="503"/>
      <c r="Z140" s="503"/>
      <c r="AA140" s="503"/>
    </row>
    <row r="141" spans="1:27" s="255" customFormat="1" ht="12.75" customHeight="1" x14ac:dyDescent="0.2">
      <c r="A141" s="875"/>
      <c r="B141" s="835"/>
      <c r="C141" s="503"/>
      <c r="D141" s="503"/>
      <c r="E141" s="887"/>
      <c r="F141" s="503"/>
      <c r="G141" s="877"/>
      <c r="H141" s="877"/>
      <c r="I141" s="877"/>
      <c r="J141" s="877"/>
      <c r="K141" s="877"/>
      <c r="L141" s="877"/>
      <c r="M141" s="877"/>
      <c r="N141" s="503"/>
      <c r="O141" s="836"/>
      <c r="P141" s="837"/>
      <c r="Q141" s="837"/>
      <c r="R141" s="503"/>
      <c r="S141" s="503"/>
      <c r="T141" s="878"/>
      <c r="U141" s="503"/>
      <c r="V141" s="503"/>
      <c r="W141" s="503"/>
      <c r="X141" s="503"/>
      <c r="Y141" s="503"/>
      <c r="Z141" s="503"/>
      <c r="AA141" s="503"/>
    </row>
    <row r="142" spans="1:27" x14ac:dyDescent="0.2">
      <c r="A142" s="838"/>
      <c r="B142" s="835"/>
      <c r="C142" s="1082" t="s">
        <v>500</v>
      </c>
      <c r="D142" s="1083" t="s">
        <v>732</v>
      </c>
      <c r="E142" s="1084"/>
      <c r="F142" s="1084"/>
      <c r="G142" s="1084"/>
      <c r="H142" s="1084"/>
      <c r="I142" s="1084"/>
      <c r="J142" s="1084"/>
      <c r="K142" s="1084"/>
      <c r="L142" s="1084"/>
      <c r="M142" s="1084"/>
      <c r="N142" s="1084"/>
      <c r="O142" s="1085"/>
      <c r="P142" s="1085"/>
      <c r="Q142" s="1085"/>
      <c r="R142" s="2"/>
      <c r="S142" s="2"/>
      <c r="T142" s="2"/>
      <c r="U142" s="2"/>
      <c r="V142" s="2"/>
      <c r="W142" s="2"/>
      <c r="X142" s="2"/>
      <c r="Y142" s="2"/>
      <c r="Z142" s="2"/>
      <c r="AA142" s="2"/>
    </row>
    <row r="143" spans="1:27" ht="12.75" customHeight="1" x14ac:dyDescent="0.2">
      <c r="A143" s="838"/>
      <c r="B143" s="835"/>
      <c r="C143" s="1164" t="s">
        <v>651</v>
      </c>
      <c r="D143" s="2" t="s">
        <v>459</v>
      </c>
      <c r="E143" s="2" t="s">
        <v>472</v>
      </c>
      <c r="F143" s="2"/>
      <c r="G143" s="2"/>
      <c r="H143" s="2"/>
      <c r="I143" s="2"/>
      <c r="J143" s="2"/>
      <c r="K143" s="2"/>
      <c r="L143" s="2"/>
      <c r="M143" s="2"/>
      <c r="N143" s="2"/>
      <c r="O143" s="836"/>
      <c r="P143" s="837"/>
      <c r="Q143" s="837"/>
      <c r="R143" s="2"/>
      <c r="S143" s="2"/>
      <c r="T143" s="847" t="s">
        <v>12</v>
      </c>
      <c r="U143" s="2"/>
      <c r="V143" s="2"/>
      <c r="W143" s="2"/>
      <c r="X143" s="2"/>
      <c r="Y143" s="2"/>
      <c r="Z143" s="2"/>
      <c r="AA143" s="2"/>
    </row>
    <row r="144" spans="1:27" x14ac:dyDescent="0.2">
      <c r="A144" s="838"/>
      <c r="B144" s="835"/>
      <c r="C144" s="1164"/>
      <c r="D144" s="2"/>
      <c r="E144" s="851"/>
      <c r="F144" s="2" t="s">
        <v>13</v>
      </c>
      <c r="G144" s="2"/>
      <c r="H144" s="2"/>
      <c r="I144" s="2"/>
      <c r="J144" s="2"/>
      <c r="K144" s="2"/>
      <c r="L144" s="2"/>
      <c r="M144" s="2"/>
      <c r="N144" s="2"/>
      <c r="O144" s="843" t="str">
        <f>IF(OR(AND(E144="",E146=""),AND(E144&lt;&gt;"",E146&lt;&gt;"",0)),"",IF(AND(E144='[1]E-ErgInt'!E144,E146='[1]E-ErgInt'!E146),Q144,0))</f>
        <v/>
      </c>
      <c r="P144" s="837" t="s">
        <v>463</v>
      </c>
      <c r="Q144" s="837">
        <v>1</v>
      </c>
      <c r="R144" s="2"/>
      <c r="S144" s="2"/>
      <c r="T144" s="850" t="s">
        <v>1</v>
      </c>
      <c r="U144" s="857"/>
      <c r="V144" s="2"/>
      <c r="W144" s="2"/>
      <c r="X144" s="2"/>
      <c r="Y144" s="2"/>
      <c r="Z144" s="2"/>
      <c r="AA144" s="2"/>
    </row>
    <row r="145" spans="1:27" ht="3.95" customHeight="1" x14ac:dyDescent="0.2">
      <c r="A145" s="838"/>
      <c r="B145" s="835"/>
      <c r="C145" s="1164"/>
      <c r="D145" s="2"/>
      <c r="E145" s="2"/>
      <c r="F145" s="2"/>
      <c r="G145" s="2"/>
      <c r="H145" s="2"/>
      <c r="I145" s="2"/>
      <c r="J145" s="2"/>
      <c r="K145" s="2"/>
      <c r="L145" s="2"/>
      <c r="M145" s="2"/>
      <c r="N145" s="2"/>
      <c r="O145" s="836"/>
      <c r="P145" s="837"/>
      <c r="Q145" s="837"/>
      <c r="R145" s="2"/>
      <c r="S145" s="2"/>
      <c r="T145" s="854"/>
      <c r="U145" s="2"/>
      <c r="V145" s="2"/>
      <c r="W145" s="2"/>
      <c r="X145" s="2"/>
      <c r="Y145" s="2"/>
      <c r="Z145" s="2"/>
      <c r="AA145" s="2"/>
    </row>
    <row r="146" spans="1:27" x14ac:dyDescent="0.2">
      <c r="A146" s="838"/>
      <c r="B146" s="835"/>
      <c r="C146" s="1164"/>
      <c r="D146" s="2"/>
      <c r="E146" s="851"/>
      <c r="F146" s="2" t="s">
        <v>14</v>
      </c>
      <c r="G146" s="2"/>
      <c r="H146" s="2"/>
      <c r="I146" s="2"/>
      <c r="J146" s="2"/>
      <c r="K146" s="2"/>
      <c r="L146" s="2"/>
      <c r="M146" s="2"/>
      <c r="N146" s="2"/>
      <c r="O146" s="836"/>
      <c r="P146" s="837"/>
      <c r="Q146" s="837"/>
      <c r="R146" s="2"/>
      <c r="S146" s="2"/>
      <c r="T146" s="854"/>
      <c r="U146" s="2"/>
      <c r="V146" s="2"/>
      <c r="W146" s="2"/>
      <c r="X146" s="2"/>
      <c r="Y146" s="2"/>
      <c r="Z146" s="2"/>
      <c r="AA146" s="2"/>
    </row>
    <row r="147" spans="1:27" ht="8.1" customHeight="1" x14ac:dyDescent="0.2">
      <c r="A147" s="838"/>
      <c r="B147" s="835"/>
      <c r="C147" s="1164"/>
      <c r="D147" s="2"/>
      <c r="E147" s="2"/>
      <c r="F147" s="2"/>
      <c r="G147" s="2"/>
      <c r="H147" s="2"/>
      <c r="I147" s="2"/>
      <c r="J147" s="2"/>
      <c r="K147" s="2"/>
      <c r="L147" s="2"/>
      <c r="M147" s="2"/>
      <c r="N147" s="2"/>
      <c r="O147" s="836"/>
      <c r="P147" s="837"/>
      <c r="Q147" s="837"/>
      <c r="R147" s="2"/>
      <c r="S147" s="2"/>
      <c r="T147" s="2"/>
      <c r="U147" s="2"/>
      <c r="V147" s="2"/>
      <c r="W147" s="2"/>
      <c r="X147" s="2"/>
      <c r="Y147" s="2"/>
      <c r="Z147" s="2"/>
      <c r="AA147" s="2"/>
    </row>
    <row r="148" spans="1:27" x14ac:dyDescent="0.2">
      <c r="A148" s="838"/>
      <c r="B148" s="835"/>
      <c r="C148" s="1164"/>
      <c r="D148" s="2"/>
      <c r="E148" s="2" t="s">
        <v>473</v>
      </c>
      <c r="F148" s="2"/>
      <c r="G148" s="2"/>
      <c r="H148" s="858"/>
      <c r="I148" s="841" t="s">
        <v>462</v>
      </c>
      <c r="J148" s="2"/>
      <c r="K148" s="859"/>
      <c r="L148" s="859"/>
      <c r="M148" s="2"/>
      <c r="N148" s="2"/>
      <c r="O148" s="843" t="str">
        <f>IF(H148="","",IF(ROUND('[1]E-ErgInt'!H148,Korrektur!R1)=ROUND(H148,Korrektur!R1),Q148,0))</f>
        <v/>
      </c>
      <c r="P148" s="837" t="s">
        <v>463</v>
      </c>
      <c r="Q148" s="837">
        <v>1</v>
      </c>
      <c r="R148" s="2"/>
      <c r="S148" s="2"/>
      <c r="T148" s="2"/>
      <c r="U148" s="2"/>
      <c r="V148" s="2"/>
      <c r="W148" s="2"/>
      <c r="X148" s="2"/>
      <c r="Y148" s="2"/>
      <c r="Z148" s="2"/>
      <c r="AA148" s="2"/>
    </row>
    <row r="149" spans="1:27" ht="3.95" customHeight="1" x14ac:dyDescent="0.2">
      <c r="A149" s="838"/>
      <c r="B149" s="835"/>
      <c r="C149" s="1164"/>
      <c r="D149" s="2"/>
      <c r="E149" s="2"/>
      <c r="F149" s="2"/>
      <c r="G149" s="2"/>
      <c r="H149" s="2"/>
      <c r="I149" s="860"/>
      <c r="J149" s="2"/>
      <c r="K149" s="859"/>
      <c r="L149" s="859"/>
      <c r="M149" s="2"/>
      <c r="N149" s="2"/>
      <c r="O149" s="836"/>
      <c r="P149" s="837"/>
      <c r="Q149" s="837"/>
      <c r="R149" s="2"/>
      <c r="S149" s="2"/>
      <c r="T149" s="2"/>
      <c r="U149" s="2"/>
      <c r="V149" s="2"/>
      <c r="W149" s="2"/>
      <c r="X149" s="2"/>
      <c r="Y149" s="2"/>
      <c r="Z149" s="2"/>
      <c r="AA149" s="2"/>
    </row>
    <row r="150" spans="1:27" x14ac:dyDescent="0.2">
      <c r="A150" s="838"/>
      <c r="B150" s="835"/>
      <c r="C150" s="1164"/>
      <c r="D150" s="2"/>
      <c r="E150" s="2" t="s">
        <v>474</v>
      </c>
      <c r="F150" s="2"/>
      <c r="G150" s="2"/>
      <c r="H150" s="858"/>
      <c r="I150" s="841" t="s">
        <v>462</v>
      </c>
      <c r="J150" s="2"/>
      <c r="K150" s="861" t="s">
        <v>475</v>
      </c>
      <c r="L150" s="859"/>
      <c r="M150" s="2"/>
      <c r="N150" s="2"/>
      <c r="O150" s="843" t="str">
        <f>IF(H150="","",IF(ROUND('[1]E-ErgInt'!H150,Korrektur!R1)=ROUND(H150,Korrektur!R1),Q150,0))</f>
        <v/>
      </c>
      <c r="P150" s="837" t="s">
        <v>463</v>
      </c>
      <c r="Q150" s="837">
        <v>1</v>
      </c>
      <c r="R150" s="2"/>
      <c r="S150" s="2"/>
      <c r="T150" s="2"/>
      <c r="U150" s="2"/>
      <c r="V150" s="2"/>
      <c r="W150" s="2"/>
      <c r="X150" s="2"/>
      <c r="Y150" s="2"/>
      <c r="Z150" s="2"/>
      <c r="AA150" s="2"/>
    </row>
    <row r="151" spans="1:27" ht="3.95" customHeight="1" x14ac:dyDescent="0.2">
      <c r="A151" s="838"/>
      <c r="B151" s="835"/>
      <c r="C151" s="1164"/>
      <c r="D151" s="2"/>
      <c r="E151" s="2"/>
      <c r="F151" s="2"/>
      <c r="G151" s="2"/>
      <c r="H151" s="511"/>
      <c r="I151" s="2"/>
      <c r="J151" s="2"/>
      <c r="K151" s="859"/>
      <c r="L151" s="859"/>
      <c r="M151" s="2"/>
      <c r="N151" s="2"/>
      <c r="O151" s="836"/>
      <c r="P151" s="837"/>
      <c r="Q151" s="837"/>
      <c r="R151" s="2"/>
      <c r="S151" s="2"/>
      <c r="T151" s="2"/>
      <c r="U151" s="2"/>
      <c r="V151" s="2"/>
      <c r="W151" s="2"/>
      <c r="X151" s="2"/>
      <c r="Y151" s="2"/>
      <c r="Z151" s="2"/>
      <c r="AA151" s="2"/>
    </row>
    <row r="152" spans="1:27" x14ac:dyDescent="0.2">
      <c r="A152" s="838"/>
      <c r="B152" s="835"/>
      <c r="C152" s="1164"/>
      <c r="D152" s="2"/>
      <c r="E152" s="862" t="s">
        <v>476</v>
      </c>
      <c r="F152" s="862"/>
      <c r="G152" s="863"/>
      <c r="H152" s="864"/>
      <c r="I152" s="2"/>
      <c r="J152" s="2"/>
      <c r="K152" s="859"/>
      <c r="L152" s="859"/>
      <c r="M152" s="2"/>
      <c r="N152" s="2"/>
      <c r="O152" s="843" t="str">
        <f>IF(H152="","",IF(ROUND('[1]E-ErgInt'!H152,Korrektur!R1)=ROUND(H152,Korrektur!R1),Q152,0))</f>
        <v/>
      </c>
      <c r="P152" s="837" t="s">
        <v>463</v>
      </c>
      <c r="Q152" s="837">
        <v>1</v>
      </c>
      <c r="R152" s="2"/>
      <c r="S152" s="2"/>
      <c r="T152" s="2"/>
      <c r="U152" s="2"/>
      <c r="V152" s="2"/>
      <c r="W152" s="2"/>
      <c r="X152" s="2"/>
      <c r="Y152" s="2"/>
      <c r="Z152" s="2"/>
      <c r="AA152" s="2"/>
    </row>
    <row r="153" spans="1:27" x14ac:dyDescent="0.2">
      <c r="A153" s="838"/>
      <c r="B153" s="835"/>
      <c r="C153" s="1164"/>
      <c r="D153" s="2"/>
      <c r="E153" s="859"/>
      <c r="F153" s="859"/>
      <c r="G153" s="859"/>
      <c r="H153" s="859"/>
      <c r="I153" s="859"/>
      <c r="J153" s="859"/>
      <c r="K153" s="859"/>
      <c r="L153" s="859"/>
      <c r="M153" s="2"/>
      <c r="N153" s="2"/>
      <c r="O153" s="836"/>
      <c r="P153" s="837"/>
      <c r="Q153" s="837"/>
      <c r="R153" s="2"/>
      <c r="S153" s="2"/>
      <c r="T153" s="2"/>
      <c r="U153" s="2"/>
      <c r="V153" s="2"/>
      <c r="W153" s="2"/>
      <c r="X153" s="2"/>
      <c r="Y153" s="2"/>
      <c r="Z153" s="2"/>
      <c r="AA153" s="2"/>
    </row>
    <row r="154" spans="1:27" x14ac:dyDescent="0.2">
      <c r="A154" s="838"/>
      <c r="B154" s="835"/>
      <c r="C154" s="1164"/>
      <c r="D154" s="2"/>
      <c r="E154" s="2" t="s">
        <v>477</v>
      </c>
      <c r="F154" s="2"/>
      <c r="G154" s="2"/>
      <c r="H154" s="2"/>
      <c r="I154" s="2"/>
      <c r="J154" s="2"/>
      <c r="K154" s="2"/>
      <c r="L154" s="2"/>
      <c r="M154" s="2"/>
      <c r="N154" s="2"/>
      <c r="O154" s="836"/>
      <c r="P154" s="837"/>
      <c r="Q154" s="837"/>
      <c r="R154" s="2"/>
      <c r="S154" s="2"/>
      <c r="T154" s="2"/>
      <c r="U154" s="2"/>
      <c r="V154" s="2"/>
      <c r="W154" s="2"/>
      <c r="X154" s="2"/>
      <c r="Y154" s="2"/>
      <c r="Z154" s="2"/>
      <c r="AA154" s="2"/>
    </row>
    <row r="155" spans="1:27" ht="12.75" customHeight="1" x14ac:dyDescent="0.2">
      <c r="A155" s="838"/>
      <c r="B155" s="835"/>
      <c r="C155" s="1164"/>
      <c r="D155" s="2"/>
      <c r="E155" s="1135"/>
      <c r="F155" s="1136"/>
      <c r="G155" s="1136"/>
      <c r="H155" s="1136"/>
      <c r="I155" s="1136"/>
      <c r="J155" s="1136"/>
      <c r="K155" s="1136"/>
      <c r="L155" s="1136"/>
      <c r="M155" s="1137"/>
      <c r="N155" s="846"/>
      <c r="O155" s="843" t="str">
        <f>IF(E155="","",IF(U155=E155,Q155,0))</f>
        <v/>
      </c>
      <c r="P155" s="837" t="s">
        <v>463</v>
      </c>
      <c r="Q155" s="837">
        <v>1</v>
      </c>
      <c r="R155" s="2"/>
      <c r="S155" s="2"/>
      <c r="T155" s="847" t="s">
        <v>715</v>
      </c>
      <c r="U155" s="2" t="str">
        <f>IF('[1]E-ErgInt'!$E155="","",'[1]E-ErgInt'!$E155)</f>
        <v>Kapitalkosten (6 966,87 €) &lt; Leistung der Investition (7 937,58 €)</v>
      </c>
      <c r="V155" s="2"/>
      <c r="W155" s="2"/>
      <c r="X155" s="2"/>
      <c r="Y155" s="2"/>
      <c r="Z155" s="2"/>
      <c r="AA155" s="2"/>
    </row>
    <row r="156" spans="1:27" ht="12.75" customHeight="1" x14ac:dyDescent="0.2">
      <c r="A156" s="838"/>
      <c r="B156" s="835"/>
      <c r="C156" s="1164"/>
      <c r="D156" s="2"/>
      <c r="E156" s="848" t="s">
        <v>624</v>
      </c>
      <c r="F156" s="439"/>
      <c r="G156" s="439"/>
      <c r="H156" s="439"/>
      <c r="I156" s="439"/>
      <c r="J156" s="439"/>
      <c r="K156" s="439"/>
      <c r="L156" s="439"/>
      <c r="M156" s="439"/>
      <c r="N156" s="846"/>
      <c r="O156" s="849"/>
      <c r="P156" s="837"/>
      <c r="Q156" s="2"/>
      <c r="R156" s="2"/>
      <c r="S156" s="2"/>
      <c r="T156" s="850" t="str">
        <f>IF(OR(H150="",H148=""),"Daten fehlen!","Kapitalkosten ("&amp;FIXED(-H150,2)&amp;" €) = Leistung der Investition ("&amp;FIXED(H148,2)&amp;" €)")</f>
        <v>Daten fehlen!</v>
      </c>
      <c r="U156" s="2"/>
      <c r="V156" s="2"/>
      <c r="W156" s="2"/>
      <c r="X156" s="2"/>
      <c r="Y156" s="2"/>
      <c r="Z156" s="2"/>
      <c r="AA156" s="2"/>
    </row>
    <row r="157" spans="1:27" ht="12.75" customHeight="1" x14ac:dyDescent="0.2">
      <c r="A157" s="838"/>
      <c r="B157" s="835"/>
      <c r="C157" s="1164"/>
      <c r="D157" s="2"/>
      <c r="E157" s="851"/>
      <c r="F157" s="1134" t="str">
        <f>IF(OR(H150="",H148=""),"Daten fehlen!","Das Projekt ist nicht wirtschaftlich! Die Leistung der Investition ist zwar positiv. Sie kann aber die entstehenden Kosten nicht abdecken!")</f>
        <v>Daten fehlen!</v>
      </c>
      <c r="G157" s="1134"/>
      <c r="H157" s="1134"/>
      <c r="I157" s="1134"/>
      <c r="J157" s="1134"/>
      <c r="K157" s="1134"/>
      <c r="L157" s="1134"/>
      <c r="M157" s="1134"/>
      <c r="N157" s="846"/>
      <c r="O157" s="843" t="str">
        <f>IF(AND(E157='[1]E-ErgInt'!E157,E159='[1]E-ErgInt'!E159,E161='[1]E-ErgInt'!E161,E163='[1]E-ErgInt'!E163),Q157,"")</f>
        <v/>
      </c>
      <c r="P157" s="837" t="s">
        <v>463</v>
      </c>
      <c r="Q157" s="837">
        <v>1</v>
      </c>
      <c r="R157" s="2"/>
      <c r="S157" s="2"/>
      <c r="T157" s="850" t="str">
        <f>IF(OR(H150="",H148=""),"Daten fehlen!","Kapitalkosten ("&amp;FIXED(-H150,2)&amp;" €) &lt; Leistung der Investition ("&amp;FIXED(H148,2)&amp;" €)")</f>
        <v>Daten fehlen!</v>
      </c>
      <c r="U157" s="2"/>
      <c r="V157" s="2"/>
      <c r="W157" s="2"/>
      <c r="X157" s="2"/>
      <c r="Y157" s="2"/>
      <c r="Z157" s="2"/>
      <c r="AA157" s="2"/>
    </row>
    <row r="158" spans="1:27" ht="12.75" customHeight="1" x14ac:dyDescent="0.2">
      <c r="A158" s="838"/>
      <c r="B158" s="835"/>
      <c r="C158" s="1164"/>
      <c r="D158" s="2"/>
      <c r="E158" s="853"/>
      <c r="F158" s="1134"/>
      <c r="G158" s="1134"/>
      <c r="H158" s="1134"/>
      <c r="I158" s="1134"/>
      <c r="J158" s="1134"/>
      <c r="K158" s="1134"/>
      <c r="L158" s="1134"/>
      <c r="M158" s="1134"/>
      <c r="N158" s="846"/>
      <c r="O158" s="836"/>
      <c r="P158" s="837"/>
      <c r="Q158" s="837"/>
      <c r="R158" s="2"/>
      <c r="S158" s="2"/>
      <c r="T158" s="850" t="str">
        <f>IF(OR(H150="",H148=""),"Daten fehlen!","Kapitalkosten ("&amp;FIXED(-H150,2)&amp;" €) &gt; Leistung der Investition ("&amp;FIXED(H148,2)&amp;" €)")</f>
        <v>Daten fehlen!</v>
      </c>
      <c r="U158" s="2"/>
      <c r="V158" s="2"/>
      <c r="W158" s="2"/>
      <c r="X158" s="2"/>
      <c r="Y158" s="2"/>
      <c r="Z158" s="2"/>
      <c r="AA158" s="2"/>
    </row>
    <row r="159" spans="1:27" ht="12.75" customHeight="1" x14ac:dyDescent="0.2">
      <c r="A159" s="838"/>
      <c r="B159" s="835"/>
      <c r="C159" s="1164"/>
      <c r="D159" s="2"/>
      <c r="E159" s="851"/>
      <c r="F159" s="1134" t="str">
        <f>IF(OR(H150="",H148=""),"Daten fehlen!","Die Leistung der Investition ist gleich hoch wie ihre Kosten. Da die Kosten mit der Annuitätenmethode etwas überbewertet werden, kann das Projekt durchaus als wirtschaftlich eingestuft werden!")</f>
        <v>Daten fehlen!</v>
      </c>
      <c r="G159" s="1134"/>
      <c r="H159" s="1134"/>
      <c r="I159" s="1134"/>
      <c r="J159" s="1134"/>
      <c r="K159" s="1134"/>
      <c r="L159" s="1134"/>
      <c r="M159" s="1134"/>
      <c r="N159" s="846"/>
      <c r="O159" s="836"/>
      <c r="P159" s="837"/>
      <c r="Q159" s="837"/>
      <c r="R159" s="2"/>
      <c r="S159" s="2"/>
      <c r="T159" s="847"/>
      <c r="U159" s="2"/>
      <c r="V159" s="2"/>
      <c r="W159" s="2"/>
      <c r="X159" s="2"/>
      <c r="Y159" s="2"/>
      <c r="Z159" s="2"/>
      <c r="AA159" s="2"/>
    </row>
    <row r="160" spans="1:27" ht="12.75" customHeight="1" x14ac:dyDescent="0.2">
      <c r="A160" s="838"/>
      <c r="B160" s="835"/>
      <c r="C160" s="1164"/>
      <c r="D160" s="2"/>
      <c r="E160" s="853"/>
      <c r="F160" s="1134"/>
      <c r="G160" s="1134"/>
      <c r="H160" s="1134"/>
      <c r="I160" s="1134"/>
      <c r="J160" s="1134"/>
      <c r="K160" s="1134"/>
      <c r="L160" s="1134"/>
      <c r="M160" s="1134"/>
      <c r="N160" s="846"/>
      <c r="O160" s="836"/>
      <c r="P160" s="837"/>
      <c r="Q160" s="837"/>
      <c r="R160" s="2"/>
      <c r="S160" s="2"/>
      <c r="T160" s="2"/>
      <c r="U160" s="2"/>
      <c r="V160" s="2"/>
      <c r="W160" s="2"/>
      <c r="X160" s="2"/>
      <c r="Y160" s="2"/>
      <c r="Z160" s="2"/>
      <c r="AA160" s="2"/>
    </row>
    <row r="161" spans="1:27" ht="12.75" customHeight="1" x14ac:dyDescent="0.2">
      <c r="A161" s="838"/>
      <c r="B161" s="835"/>
      <c r="C161" s="1164"/>
      <c r="D161" s="2"/>
      <c r="E161" s="851"/>
      <c r="F161" s="1134" t="str">
        <f>IF(OR(H150="",H148=""),"Daten fehlen!","Das Projekt ist nicht wirtschaftlich! Die Leistung des Projektes ist negativ. Das Einkommen sinkt also nach Umsetzung des Projektes. An die Abdeckung der entstehenden Kosten ist gar nicht zu denken!")</f>
        <v>Daten fehlen!</v>
      </c>
      <c r="G161" s="1134"/>
      <c r="H161" s="1134"/>
      <c r="I161" s="1134"/>
      <c r="J161" s="1134"/>
      <c r="K161" s="1134"/>
      <c r="L161" s="1134"/>
      <c r="M161" s="1134"/>
      <c r="N161" s="846"/>
      <c r="O161" s="836"/>
      <c r="P161" s="837"/>
      <c r="Q161" s="837"/>
      <c r="R161" s="2"/>
      <c r="S161" s="2"/>
      <c r="T161" s="2"/>
      <c r="U161" s="2"/>
      <c r="V161" s="2"/>
      <c r="W161" s="2"/>
      <c r="X161" s="2"/>
      <c r="Y161" s="2"/>
      <c r="Z161" s="2"/>
      <c r="AA161" s="2"/>
    </row>
    <row r="162" spans="1:27" ht="12.75" customHeight="1" x14ac:dyDescent="0.2">
      <c r="A162" s="838"/>
      <c r="B162" s="835"/>
      <c r="C162" s="1164"/>
      <c r="D162" s="2"/>
      <c r="E162" s="853"/>
      <c r="F162" s="1134"/>
      <c r="G162" s="1134"/>
      <c r="H162" s="1134"/>
      <c r="I162" s="1134"/>
      <c r="J162" s="1134"/>
      <c r="K162" s="1134"/>
      <c r="L162" s="1134"/>
      <c r="M162" s="1134"/>
      <c r="N162" s="846"/>
      <c r="O162" s="836"/>
      <c r="P162" s="837"/>
      <c r="Q162" s="837"/>
      <c r="R162" s="2"/>
      <c r="S162" s="2"/>
      <c r="T162" s="2"/>
      <c r="U162" s="2"/>
      <c r="V162" s="2"/>
      <c r="W162" s="2"/>
      <c r="X162" s="2"/>
      <c r="Y162" s="2"/>
      <c r="Z162" s="2"/>
      <c r="AA162" s="2"/>
    </row>
    <row r="163" spans="1:27" ht="12.75" customHeight="1" x14ac:dyDescent="0.2">
      <c r="A163" s="838"/>
      <c r="B163" s="835"/>
      <c r="C163" s="1164"/>
      <c r="D163" s="2"/>
      <c r="E163" s="851"/>
      <c r="F163" s="1134" t="str">
        <f>IF(OR(H150="",H148=""),"Daten fehlen!","Das Projekt ist wirtschaftlich! Die Leistung der Investition ist deutlich höher als deren Kosten.")</f>
        <v>Daten fehlen!</v>
      </c>
      <c r="G163" s="1134"/>
      <c r="H163" s="1134"/>
      <c r="I163" s="1134"/>
      <c r="J163" s="1134"/>
      <c r="K163" s="1134"/>
      <c r="L163" s="1134"/>
      <c r="M163" s="1134"/>
      <c r="N163" s="846"/>
      <c r="O163" s="836"/>
      <c r="P163" s="837"/>
      <c r="Q163" s="837"/>
      <c r="R163" s="2"/>
      <c r="S163" s="2"/>
      <c r="T163" s="854"/>
      <c r="U163" s="2"/>
      <c r="V163" s="2"/>
      <c r="W163" s="2"/>
      <c r="X163" s="2"/>
      <c r="Y163" s="2"/>
      <c r="Z163" s="2"/>
      <c r="AA163" s="2"/>
    </row>
    <row r="164" spans="1:27" ht="12.75" customHeight="1" x14ac:dyDescent="0.2">
      <c r="A164" s="838"/>
      <c r="B164" s="835"/>
      <c r="C164" s="1164"/>
      <c r="D164" s="853"/>
      <c r="E164" s="853"/>
      <c r="F164" s="853"/>
      <c r="G164" s="853"/>
      <c r="H164" s="853"/>
      <c r="I164" s="853"/>
      <c r="J164" s="853"/>
      <c r="K164" s="853"/>
      <c r="L164" s="853"/>
      <c r="M164" s="853"/>
      <c r="N164" s="853"/>
      <c r="O164" s="836"/>
      <c r="P164" s="837"/>
      <c r="Q164" s="837"/>
      <c r="R164" s="2"/>
      <c r="S164" s="2"/>
      <c r="T164" s="854"/>
      <c r="U164" s="2"/>
      <c r="V164" s="2"/>
      <c r="W164" s="2"/>
      <c r="X164" s="2"/>
      <c r="Y164" s="2"/>
      <c r="Z164" s="2"/>
      <c r="AA164" s="2"/>
    </row>
    <row r="165" spans="1:27" x14ac:dyDescent="0.2">
      <c r="A165" s="838"/>
      <c r="B165" s="835"/>
      <c r="C165" s="1164"/>
      <c r="D165" s="2" t="s">
        <v>467</v>
      </c>
      <c r="E165" s="2" t="s">
        <v>479</v>
      </c>
      <c r="F165" s="2"/>
      <c r="G165" s="2"/>
      <c r="H165" s="2"/>
      <c r="I165" s="2"/>
      <c r="J165" s="2"/>
      <c r="K165" s="2"/>
      <c r="L165" s="2"/>
      <c r="M165" s="2"/>
      <c r="N165" s="2"/>
      <c r="O165" s="836"/>
      <c r="P165" s="837"/>
      <c r="Q165" s="837"/>
      <c r="R165" s="2"/>
      <c r="S165" s="2"/>
      <c r="T165" s="2"/>
      <c r="U165" s="2"/>
      <c r="V165" s="2"/>
      <c r="W165" s="2"/>
      <c r="X165" s="2"/>
      <c r="Y165" s="2"/>
      <c r="Z165" s="2"/>
      <c r="AA165" s="2"/>
    </row>
    <row r="166" spans="1:27" x14ac:dyDescent="0.2">
      <c r="A166" s="838"/>
      <c r="B166" s="835"/>
      <c r="C166" s="1164"/>
      <c r="D166" s="2"/>
      <c r="E166" s="851"/>
      <c r="F166" s="2" t="s">
        <v>13</v>
      </c>
      <c r="G166" s="2"/>
      <c r="H166" s="2"/>
      <c r="I166" s="2"/>
      <c r="J166" s="2"/>
      <c r="K166" s="2"/>
      <c r="L166" s="2"/>
      <c r="M166" s="2"/>
      <c r="N166" s="2"/>
      <c r="O166" s="843" t="str">
        <f>IF(OR(AND(E166="",E168=""),AND(E166&lt;&gt;"",E168&lt;&gt;"",0)),"",IF(AND(E166='[1]E-ErgInt'!E166,E168='[1]E-ErgInt'!E168),Q166,0))</f>
        <v/>
      </c>
      <c r="P166" s="837" t="s">
        <v>463</v>
      </c>
      <c r="Q166" s="837">
        <v>1</v>
      </c>
      <c r="R166" s="2"/>
      <c r="S166" s="2"/>
      <c r="T166" s="2"/>
      <c r="U166" s="2"/>
      <c r="V166" s="2"/>
      <c r="W166" s="2"/>
      <c r="X166" s="2"/>
      <c r="Y166" s="2"/>
      <c r="Z166" s="2"/>
      <c r="AA166" s="2"/>
    </row>
    <row r="167" spans="1:27" ht="3.95" customHeight="1" x14ac:dyDescent="0.2">
      <c r="A167" s="838"/>
      <c r="B167" s="835"/>
      <c r="C167" s="1164"/>
      <c r="D167" s="2"/>
      <c r="E167" s="2"/>
      <c r="F167" s="2"/>
      <c r="G167" s="2"/>
      <c r="H167" s="2"/>
      <c r="I167" s="2"/>
      <c r="J167" s="2"/>
      <c r="K167" s="2"/>
      <c r="L167" s="2"/>
      <c r="M167" s="2"/>
      <c r="N167" s="2"/>
      <c r="O167" s="836"/>
      <c r="P167" s="837"/>
      <c r="Q167" s="837"/>
      <c r="R167" s="2"/>
      <c r="S167" s="2"/>
      <c r="T167" s="2"/>
      <c r="U167" s="2"/>
      <c r="V167" s="2"/>
      <c r="W167" s="2"/>
      <c r="X167" s="2"/>
      <c r="Y167" s="2"/>
      <c r="Z167" s="2"/>
      <c r="AA167" s="2"/>
    </row>
    <row r="168" spans="1:27" x14ac:dyDescent="0.2">
      <c r="A168" s="838"/>
      <c r="B168" s="835"/>
      <c r="C168" s="1164"/>
      <c r="D168" s="2"/>
      <c r="E168" s="851"/>
      <c r="F168" s="2" t="s">
        <v>14</v>
      </c>
      <c r="G168" s="2"/>
      <c r="H168" s="2"/>
      <c r="I168" s="2"/>
      <c r="J168" s="2"/>
      <c r="K168" s="2"/>
      <c r="L168" s="2"/>
      <c r="M168" s="2"/>
      <c r="N168" s="2"/>
      <c r="O168" s="849"/>
      <c r="P168" s="837"/>
      <c r="Q168" s="2"/>
      <c r="R168" s="2"/>
      <c r="S168" s="2"/>
      <c r="T168" s="2"/>
      <c r="U168" s="2"/>
      <c r="V168" s="2"/>
      <c r="W168" s="2"/>
      <c r="X168" s="2"/>
      <c r="Y168" s="2"/>
      <c r="Z168" s="2"/>
      <c r="AA168" s="2"/>
    </row>
    <row r="169" spans="1:27" ht="8.1" customHeight="1" x14ac:dyDescent="0.2">
      <c r="A169" s="838"/>
      <c r="B169" s="835"/>
      <c r="C169" s="1164"/>
      <c r="D169" s="2"/>
      <c r="E169" s="2"/>
      <c r="F169" s="2"/>
      <c r="G169" s="2"/>
      <c r="H169" s="2"/>
      <c r="I169" s="2"/>
      <c r="J169" s="2"/>
      <c r="K169" s="2"/>
      <c r="L169" s="2"/>
      <c r="M169" s="2"/>
      <c r="N169" s="2"/>
      <c r="O169" s="836"/>
      <c r="P169" s="837"/>
      <c r="Q169" s="837"/>
      <c r="R169" s="2"/>
      <c r="S169" s="2"/>
      <c r="T169" s="2"/>
      <c r="U169" s="2"/>
      <c r="V169" s="2"/>
      <c r="W169" s="2"/>
      <c r="X169" s="2"/>
      <c r="Y169" s="2"/>
      <c r="Z169" s="2"/>
      <c r="AA169" s="2"/>
    </row>
    <row r="170" spans="1:27" x14ac:dyDescent="0.2">
      <c r="A170" s="838"/>
      <c r="B170" s="835"/>
      <c r="C170" s="1164"/>
      <c r="D170" s="2"/>
      <c r="E170" s="2" t="s">
        <v>480</v>
      </c>
      <c r="F170" s="2"/>
      <c r="G170" s="2"/>
      <c r="H170" s="2"/>
      <c r="I170" s="2"/>
      <c r="J170" s="2"/>
      <c r="K170" s="858"/>
      <c r="L170" s="841" t="s">
        <v>462</v>
      </c>
      <c r="M170" s="2"/>
      <c r="N170" s="2"/>
      <c r="O170" s="843" t="str">
        <f>IF(K170="","",IF(ROUND('[1]E-ErgInt'!K170,Korrektur!R1)=ROUND(K170,Korrektur!R1),Q170,0))</f>
        <v/>
      </c>
      <c r="P170" s="837" t="s">
        <v>463</v>
      </c>
      <c r="Q170" s="837">
        <v>1</v>
      </c>
      <c r="R170" s="2"/>
      <c r="S170" s="2"/>
      <c r="T170" s="2"/>
      <c r="U170" s="2"/>
      <c r="V170" s="2"/>
      <c r="W170" s="2"/>
      <c r="X170" s="2"/>
      <c r="Y170" s="2"/>
      <c r="Z170" s="2"/>
      <c r="AA170" s="2"/>
    </row>
    <row r="171" spans="1:27" ht="3.95" customHeight="1" x14ac:dyDescent="0.2">
      <c r="A171" s="838"/>
      <c r="B171" s="835"/>
      <c r="C171" s="1164"/>
      <c r="D171" s="2"/>
      <c r="E171" s="2"/>
      <c r="F171" s="2"/>
      <c r="G171" s="2"/>
      <c r="H171" s="2"/>
      <c r="I171" s="2"/>
      <c r="J171" s="2"/>
      <c r="K171" s="2"/>
      <c r="L171" s="2"/>
      <c r="M171" s="2"/>
      <c r="N171" s="2"/>
      <c r="O171" s="836"/>
      <c r="P171" s="837"/>
      <c r="Q171" s="837"/>
      <c r="R171" s="2"/>
      <c r="S171" s="2"/>
      <c r="T171" s="2"/>
      <c r="U171" s="2"/>
      <c r="V171" s="2"/>
      <c r="W171" s="2"/>
      <c r="X171" s="2"/>
      <c r="Y171" s="2"/>
      <c r="Z171" s="2"/>
      <c r="AA171" s="2"/>
    </row>
    <row r="172" spans="1:27" x14ac:dyDescent="0.2">
      <c r="A172" s="838"/>
      <c r="B172" s="835"/>
      <c r="C172" s="1164"/>
      <c r="D172" s="2"/>
      <c r="E172" s="2" t="s">
        <v>481</v>
      </c>
      <c r="F172" s="2"/>
      <c r="G172" s="2"/>
      <c r="H172" s="2"/>
      <c r="I172" s="2"/>
      <c r="J172" s="2"/>
      <c r="K172" s="858"/>
      <c r="L172" s="841" t="s">
        <v>462</v>
      </c>
      <c r="M172" s="2"/>
      <c r="N172" s="2"/>
      <c r="O172" s="843" t="str">
        <f>IF(K172="","",IF(ROUND('[1]E-ErgInt'!K172,Korrektur!R1)=ROUND(K172,Korrektur!R1),Q172,0))</f>
        <v/>
      </c>
      <c r="P172" s="837" t="s">
        <v>463</v>
      </c>
      <c r="Q172" s="837">
        <v>1</v>
      </c>
      <c r="R172" s="2"/>
      <c r="S172" s="2"/>
      <c r="T172" s="2"/>
      <c r="U172" s="2"/>
      <c r="V172" s="2"/>
      <c r="W172" s="2"/>
      <c r="X172" s="2"/>
      <c r="Y172" s="2"/>
      <c r="Z172" s="2"/>
      <c r="AA172" s="2"/>
    </row>
    <row r="173" spans="1:27" ht="8.1" customHeight="1" x14ac:dyDescent="0.2">
      <c r="A173" s="838"/>
      <c r="B173" s="835"/>
      <c r="C173" s="1164"/>
      <c r="D173" s="2"/>
      <c r="E173" s="2"/>
      <c r="F173" s="2"/>
      <c r="G173" s="2"/>
      <c r="H173" s="2"/>
      <c r="I173" s="2"/>
      <c r="J173" s="2"/>
      <c r="K173" s="2"/>
      <c r="L173" s="2"/>
      <c r="M173" s="2"/>
      <c r="N173" s="2"/>
      <c r="O173" s="836"/>
      <c r="P173" s="837"/>
      <c r="Q173" s="837"/>
      <c r="R173" s="2"/>
      <c r="S173" s="2"/>
      <c r="T173" s="2"/>
      <c r="U173" s="2"/>
      <c r="V173" s="2"/>
      <c r="W173" s="2"/>
      <c r="X173" s="2"/>
      <c r="Y173" s="2"/>
      <c r="Z173" s="2"/>
      <c r="AA173" s="2"/>
    </row>
    <row r="174" spans="1:27" x14ac:dyDescent="0.2">
      <c r="A174" s="838"/>
      <c r="B174" s="835"/>
      <c r="C174" s="1164"/>
      <c r="D174" s="2"/>
      <c r="E174" s="2" t="s">
        <v>477</v>
      </c>
      <c r="F174" s="2"/>
      <c r="G174" s="2"/>
      <c r="H174" s="2"/>
      <c r="I174" s="2"/>
      <c r="J174" s="2"/>
      <c r="K174" s="2"/>
      <c r="L174" s="2"/>
      <c r="M174" s="2"/>
      <c r="N174" s="2"/>
      <c r="O174" s="836"/>
      <c r="P174" s="837"/>
      <c r="Q174" s="837"/>
      <c r="R174" s="2"/>
      <c r="S174" s="2"/>
      <c r="T174" s="2"/>
      <c r="U174" s="2"/>
      <c r="V174" s="2"/>
      <c r="W174" s="2"/>
      <c r="X174" s="2"/>
      <c r="Y174" s="2"/>
      <c r="Z174" s="2"/>
      <c r="AA174" s="2"/>
    </row>
    <row r="175" spans="1:27" ht="12.75" customHeight="1" x14ac:dyDescent="0.2">
      <c r="A175" s="838"/>
      <c r="B175" s="835"/>
      <c r="C175" s="1164"/>
      <c r="D175" s="2"/>
      <c r="E175" s="1135"/>
      <c r="F175" s="1136"/>
      <c r="G175" s="1136"/>
      <c r="H175" s="1136"/>
      <c r="I175" s="1136"/>
      <c r="J175" s="1136"/>
      <c r="K175" s="1136"/>
      <c r="L175" s="1136"/>
      <c r="M175" s="1137"/>
      <c r="N175" s="846"/>
      <c r="O175" s="843" t="str">
        <f>IF(E175="","",IF(U175=E175,Q175,0))</f>
        <v/>
      </c>
      <c r="P175" s="837" t="s">
        <v>463</v>
      </c>
      <c r="Q175" s="837">
        <v>1</v>
      </c>
      <c r="R175" s="2"/>
      <c r="S175" s="2"/>
      <c r="T175" s="847" t="s">
        <v>716</v>
      </c>
      <c r="U175" s="2" t="str">
        <f>IF('[1]E-ErgInt'!$E175="","",'[1]E-ErgInt'!$E175)</f>
        <v>Kapitaldienst für die Investition (7 597,86 €) &lt; Kapitaldienstgrenze Planvariante (25 332,56 €)</v>
      </c>
      <c r="V175" s="2"/>
      <c r="W175" s="2"/>
      <c r="X175" s="2"/>
      <c r="Y175" s="2"/>
      <c r="Z175" s="2"/>
      <c r="AA175" s="2"/>
    </row>
    <row r="176" spans="1:27" ht="12.75" customHeight="1" x14ac:dyDescent="0.2">
      <c r="A176" s="838"/>
      <c r="B176" s="835"/>
      <c r="C176" s="1164"/>
      <c r="D176" s="2"/>
      <c r="E176" s="848" t="s">
        <v>624</v>
      </c>
      <c r="F176" s="439"/>
      <c r="G176" s="439"/>
      <c r="H176" s="439"/>
      <c r="I176" s="439"/>
      <c r="J176" s="439"/>
      <c r="K176" s="439"/>
      <c r="L176" s="439"/>
      <c r="M176" s="439"/>
      <c r="N176" s="846"/>
      <c r="O176" s="849"/>
      <c r="P176" s="837"/>
      <c r="Q176" s="2"/>
      <c r="R176" s="2"/>
      <c r="S176" s="2"/>
      <c r="T176" s="850" t="str">
        <f>IF(OR(K172="",K170=""),"Daten fehlen!","Kapitaldienst für die Investition ("&amp;FIXED(-K172,2)&amp;" €) &gt; Kapitaldienstgrenze Planvariante ("&amp;FIXED(K170,2)&amp;" €)")</f>
        <v>Daten fehlen!</v>
      </c>
      <c r="U176" s="2"/>
      <c r="V176" s="2"/>
      <c r="W176" s="2"/>
      <c r="X176" s="2"/>
      <c r="Y176" s="2"/>
      <c r="Z176" s="2"/>
      <c r="AA176" s="2"/>
    </row>
    <row r="177" spans="1:27" ht="12.75" customHeight="1" x14ac:dyDescent="0.2">
      <c r="A177" s="838"/>
      <c r="B177" s="835"/>
      <c r="C177" s="1164"/>
      <c r="D177" s="2"/>
      <c r="E177" s="851"/>
      <c r="F177" s="1154" t="str">
        <f>IF(OR(K172="",K170=""),"Daten fehlen!","Bei Umsetzung des geplanten Projektes würde sich der Betrieb finanziell übernehmen. Die Schulden können vermutlich nicht rechtzeitig zurückbezahlt werden! ACHTUNG: Existenzgefahr für den Betrieb!")</f>
        <v>Daten fehlen!</v>
      </c>
      <c r="G177" s="1154"/>
      <c r="H177" s="1154"/>
      <c r="I177" s="1154"/>
      <c r="J177" s="1154"/>
      <c r="K177" s="1154"/>
      <c r="L177" s="1154"/>
      <c r="M177" s="1154"/>
      <c r="N177" s="846"/>
      <c r="O177" s="843" t="str">
        <f>IF(AND(E177='[1]E-ErgInt'!E177,E179='[1]E-ErgInt'!E179,E182='[1]E-ErgInt'!E182),Q177,"")</f>
        <v/>
      </c>
      <c r="P177" s="837" t="s">
        <v>463</v>
      </c>
      <c r="Q177" s="837">
        <v>1</v>
      </c>
      <c r="R177" s="2"/>
      <c r="S177" s="2"/>
      <c r="T177" s="850" t="str">
        <f>IF(OR(K172="",K170=""),"Daten fehlen!","Kapitaldienst für die Investition ("&amp;FIXED(-K172,2)&amp;" €) = Kapitaldienstgrenze Planvariante ("&amp;FIXED(K170,2)&amp;" €)")</f>
        <v>Daten fehlen!</v>
      </c>
      <c r="U177" s="2"/>
      <c r="V177" s="2"/>
      <c r="W177" s="2"/>
      <c r="X177" s="2"/>
      <c r="Y177" s="2"/>
      <c r="Z177" s="2"/>
      <c r="AA177" s="2"/>
    </row>
    <row r="178" spans="1:27" ht="12.75" customHeight="1" x14ac:dyDescent="0.2">
      <c r="A178" s="838"/>
      <c r="B178" s="835"/>
      <c r="C178" s="1164"/>
      <c r="D178" s="2"/>
      <c r="E178" s="853"/>
      <c r="F178" s="1154"/>
      <c r="G178" s="1154"/>
      <c r="H178" s="1154"/>
      <c r="I178" s="1154"/>
      <c r="J178" s="1154"/>
      <c r="K178" s="1154"/>
      <c r="L178" s="1154"/>
      <c r="M178" s="1154"/>
      <c r="N178" s="846"/>
      <c r="O178" s="836"/>
      <c r="P178" s="837"/>
      <c r="Q178" s="837"/>
      <c r="R178" s="2"/>
      <c r="S178" s="2"/>
      <c r="T178" s="850" t="str">
        <f>IF(OR(K172="",K170=""),"Daten fehlen!","Kapitaldienst für die Investition ("&amp;FIXED(-K172,2)&amp;" €) &lt; Kapitaldienstgrenze Planvariante ("&amp;FIXED(K170,2)&amp;" €)")</f>
        <v>Daten fehlen!</v>
      </c>
      <c r="U178" s="2"/>
      <c r="V178" s="2"/>
      <c r="W178" s="2"/>
      <c r="X178" s="2"/>
      <c r="Y178" s="2"/>
      <c r="Z178" s="2"/>
      <c r="AA178" s="2"/>
    </row>
    <row r="179" spans="1:27" ht="12.75" customHeight="1" x14ac:dyDescent="0.2">
      <c r="A179" s="838"/>
      <c r="B179" s="835"/>
      <c r="C179" s="1164"/>
      <c r="D179" s="2"/>
      <c r="E179" s="851"/>
      <c r="F179" s="1134" t="str">
        <f>IF(OR(K172="",K170=""),"Daten fehlen!","Die Ausführung des Projektes kann gerade noch finanziert werden. Es verbleiben jedoch kein Spielraum für die Bildung betrieblicher Rücklagen oder für unerwartete Folge- bzw. Ersatzinvestitionen! Das Projekt reicht an die Grenzen der Belastbarkeit!")</f>
        <v>Daten fehlen!</v>
      </c>
      <c r="G179" s="1134"/>
      <c r="H179" s="1134"/>
      <c r="I179" s="1134"/>
      <c r="J179" s="1134"/>
      <c r="K179" s="1134"/>
      <c r="L179" s="1134"/>
      <c r="M179" s="1134"/>
      <c r="N179" s="846"/>
      <c r="O179" s="836"/>
      <c r="P179" s="837"/>
      <c r="Q179" s="837"/>
      <c r="R179" s="2"/>
      <c r="S179" s="2"/>
      <c r="T179" s="854"/>
      <c r="U179" s="2"/>
      <c r="V179" s="2"/>
      <c r="W179" s="2"/>
      <c r="X179" s="2"/>
      <c r="Y179" s="2"/>
      <c r="Z179" s="2"/>
      <c r="AA179" s="2"/>
    </row>
    <row r="180" spans="1:27" ht="12.75" customHeight="1" x14ac:dyDescent="0.2">
      <c r="A180" s="838"/>
      <c r="B180" s="835"/>
      <c r="C180" s="1164"/>
      <c r="D180" s="2"/>
      <c r="E180" s="853"/>
      <c r="F180" s="1134"/>
      <c r="G180" s="1134"/>
      <c r="H180" s="1134"/>
      <c r="I180" s="1134"/>
      <c r="J180" s="1134"/>
      <c r="K180" s="1134"/>
      <c r="L180" s="1134"/>
      <c r="M180" s="1134"/>
      <c r="N180" s="846"/>
      <c r="O180" s="836"/>
      <c r="P180" s="837"/>
      <c r="Q180" s="837"/>
      <c r="R180" s="2"/>
      <c r="S180" s="2"/>
      <c r="T180" s="854"/>
      <c r="U180" s="2"/>
      <c r="V180" s="2"/>
      <c r="W180" s="2"/>
      <c r="X180" s="2"/>
      <c r="Y180" s="2"/>
      <c r="Z180" s="2"/>
      <c r="AA180" s="2"/>
    </row>
    <row r="181" spans="1:27" ht="12.75" customHeight="1" x14ac:dyDescent="0.2">
      <c r="A181" s="838"/>
      <c r="B181" s="835"/>
      <c r="C181" s="1164"/>
      <c r="D181" s="2"/>
      <c r="E181" s="853"/>
      <c r="F181" s="1134"/>
      <c r="G181" s="1134"/>
      <c r="H181" s="1134"/>
      <c r="I181" s="1134"/>
      <c r="J181" s="1134"/>
      <c r="K181" s="1134"/>
      <c r="L181" s="1134"/>
      <c r="M181" s="1134"/>
      <c r="N181" s="846"/>
      <c r="O181" s="836"/>
      <c r="P181" s="837"/>
      <c r="Q181" s="837"/>
      <c r="R181" s="2"/>
      <c r="S181" s="2"/>
      <c r="T181" s="854"/>
      <c r="U181" s="2"/>
      <c r="V181" s="2"/>
      <c r="W181" s="2"/>
      <c r="X181" s="2"/>
      <c r="Y181" s="2"/>
      <c r="Z181" s="2"/>
      <c r="AA181" s="2"/>
    </row>
    <row r="182" spans="1:27" ht="12.75" customHeight="1" x14ac:dyDescent="0.2">
      <c r="A182" s="838"/>
      <c r="B182" s="835"/>
      <c r="C182" s="1164"/>
      <c r="D182" s="2"/>
      <c r="E182" s="851"/>
      <c r="F182" s="1134" t="str">
        <f>IF(OR(K172="",K170=""),"Daten fehlen!","Die Umsetzung des Projektes kann als sinnvoll eingestuft werden. Der anfallende Kapitaldienst sollte ohne Schwierigkeiten zu leisten sein! Es verbleiben noch Reserven für Rücklagen- und private Vermögensbildung.")</f>
        <v>Daten fehlen!</v>
      </c>
      <c r="G182" s="1134"/>
      <c r="H182" s="1134"/>
      <c r="I182" s="1134"/>
      <c r="J182" s="1134"/>
      <c r="K182" s="1134"/>
      <c r="L182" s="1134"/>
      <c r="M182" s="1134"/>
      <c r="N182" s="846"/>
      <c r="O182" s="836"/>
      <c r="P182" s="837"/>
      <c r="Q182" s="837"/>
      <c r="R182" s="2"/>
      <c r="S182" s="2"/>
      <c r="T182" s="854"/>
      <c r="U182" s="2"/>
      <c r="V182" s="2"/>
      <c r="W182" s="2"/>
      <c r="X182" s="2"/>
      <c r="Y182" s="2"/>
      <c r="Z182" s="2"/>
      <c r="AA182" s="2"/>
    </row>
    <row r="183" spans="1:27" ht="12.75" customHeight="1" x14ac:dyDescent="0.2">
      <c r="A183" s="838"/>
      <c r="B183" s="835"/>
      <c r="C183" s="1164"/>
      <c r="D183" s="2"/>
      <c r="E183" s="853"/>
      <c r="F183" s="1134"/>
      <c r="G183" s="1134"/>
      <c r="H183" s="1134"/>
      <c r="I183" s="1134"/>
      <c r="J183" s="1134"/>
      <c r="K183" s="1134"/>
      <c r="L183" s="1134"/>
      <c r="M183" s="1134"/>
      <c r="N183" s="846"/>
      <c r="O183" s="836"/>
      <c r="P183" s="837"/>
      <c r="Q183" s="837"/>
      <c r="R183" s="2"/>
      <c r="S183" s="2"/>
      <c r="T183" s="854"/>
      <c r="U183" s="2"/>
      <c r="V183" s="2"/>
      <c r="W183" s="2"/>
      <c r="X183" s="2"/>
      <c r="Y183" s="2"/>
      <c r="Z183" s="2"/>
      <c r="AA183" s="2"/>
    </row>
    <row r="184" spans="1:27" ht="12.75" customHeight="1" x14ac:dyDescent="0.2">
      <c r="A184" s="838"/>
      <c r="B184" s="835"/>
      <c r="C184" s="1164"/>
      <c r="D184" s="2"/>
      <c r="E184" s="853"/>
      <c r="F184" s="1134"/>
      <c r="G184" s="1134"/>
      <c r="H184" s="1134"/>
      <c r="I184" s="1134"/>
      <c r="J184" s="1134"/>
      <c r="K184" s="1134"/>
      <c r="L184" s="1134"/>
      <c r="M184" s="1134"/>
      <c r="N184" s="846"/>
      <c r="O184" s="836"/>
      <c r="P184" s="837"/>
      <c r="Q184" s="837"/>
      <c r="R184" s="2"/>
      <c r="S184" s="2"/>
      <c r="T184" s="854"/>
      <c r="U184" s="2"/>
      <c r="V184" s="2"/>
      <c r="W184" s="2"/>
      <c r="X184" s="2"/>
      <c r="Y184" s="2"/>
      <c r="Z184" s="2"/>
      <c r="AA184" s="2"/>
    </row>
    <row r="185" spans="1:27" x14ac:dyDescent="0.2">
      <c r="A185" s="838"/>
      <c r="B185" s="835"/>
      <c r="C185" s="1164"/>
      <c r="D185" s="2"/>
      <c r="E185" s="2"/>
      <c r="F185" s="2"/>
      <c r="G185" s="2"/>
      <c r="H185" s="2"/>
      <c r="I185" s="2"/>
      <c r="J185" s="2"/>
      <c r="K185" s="2"/>
      <c r="L185" s="2"/>
      <c r="M185" s="2"/>
      <c r="N185" s="2"/>
      <c r="O185" s="849"/>
      <c r="P185" s="837"/>
      <c r="Q185" s="2"/>
      <c r="R185" s="2"/>
      <c r="S185" s="2"/>
      <c r="T185" s="2"/>
      <c r="U185" s="2"/>
      <c r="V185" s="2"/>
      <c r="W185" s="2"/>
      <c r="X185" s="2"/>
      <c r="Y185" s="2"/>
      <c r="Z185" s="2"/>
      <c r="AA185" s="2"/>
    </row>
    <row r="186" spans="1:27" ht="48" customHeight="1" x14ac:dyDescent="0.2">
      <c r="A186" s="838"/>
      <c r="B186" s="835"/>
      <c r="C186" s="1164"/>
      <c r="D186" s="860" t="s">
        <v>483</v>
      </c>
      <c r="E186" s="1163" t="s">
        <v>484</v>
      </c>
      <c r="F186" s="1163"/>
      <c r="G186" s="1163"/>
      <c r="H186" s="1163"/>
      <c r="I186" s="1163"/>
      <c r="J186" s="1163"/>
      <c r="K186" s="1163"/>
      <c r="L186" s="1163"/>
      <c r="M186" s="1163"/>
      <c r="N186" s="2"/>
      <c r="O186" s="836"/>
      <c r="P186" s="837"/>
      <c r="Q186" s="837"/>
      <c r="R186" s="2"/>
      <c r="S186" s="2"/>
      <c r="T186" s="2"/>
      <c r="U186" s="2"/>
      <c r="V186" s="2"/>
      <c r="W186" s="2"/>
      <c r="X186" s="2"/>
      <c r="Y186" s="2"/>
      <c r="Z186" s="2"/>
      <c r="AA186" s="2"/>
    </row>
    <row r="187" spans="1:27" x14ac:dyDescent="0.2">
      <c r="A187" s="838"/>
      <c r="B187" s="835"/>
      <c r="C187" s="1164"/>
      <c r="D187" s="2"/>
      <c r="E187" s="851"/>
      <c r="F187" s="2" t="s">
        <v>13</v>
      </c>
      <c r="G187" s="2"/>
      <c r="H187" s="2"/>
      <c r="I187" s="2"/>
      <c r="J187" s="2"/>
      <c r="K187" s="2"/>
      <c r="L187" s="2"/>
      <c r="M187" s="865"/>
      <c r="N187" s="2"/>
      <c r="O187" s="843" t="str">
        <f>IF(OR(AND(E187="",E189=""),AND(E187&lt;&gt;"",E189&lt;&gt;"",0)),"",IF(AND(E187='[1]E-ErgInt'!E187,E189='[1]E-ErgInt'!E189),Q187,0))</f>
        <v/>
      </c>
      <c r="P187" s="837" t="s">
        <v>463</v>
      </c>
      <c r="Q187" s="837">
        <v>1</v>
      </c>
      <c r="R187" s="2"/>
      <c r="S187" s="2"/>
      <c r="T187" s="2"/>
      <c r="U187" s="2"/>
      <c r="V187" s="2"/>
      <c r="W187" s="2"/>
      <c r="X187" s="2"/>
      <c r="Y187" s="2"/>
      <c r="Z187" s="2"/>
      <c r="AA187" s="2"/>
    </row>
    <row r="188" spans="1:27" ht="3.95" customHeight="1" x14ac:dyDescent="0.2">
      <c r="A188" s="838"/>
      <c r="B188" s="835"/>
      <c r="C188" s="1164"/>
      <c r="D188" s="2"/>
      <c r="E188" s="2"/>
      <c r="F188" s="2"/>
      <c r="G188" s="866"/>
      <c r="H188" s="2"/>
      <c r="I188" s="2"/>
      <c r="J188" s="2"/>
      <c r="K188" s="866"/>
      <c r="L188" s="2"/>
      <c r="M188" s="865"/>
      <c r="N188" s="2"/>
      <c r="O188" s="836"/>
      <c r="P188" s="837"/>
      <c r="Q188" s="837"/>
      <c r="R188" s="2"/>
      <c r="S188" s="2"/>
      <c r="T188" s="2"/>
      <c r="U188" s="2"/>
      <c r="V188" s="2"/>
      <c r="W188" s="2"/>
      <c r="X188" s="2"/>
      <c r="Y188" s="2"/>
      <c r="Z188" s="2"/>
      <c r="AA188" s="2"/>
    </row>
    <row r="189" spans="1:27" x14ac:dyDescent="0.2">
      <c r="A189" s="838"/>
      <c r="B189" s="835"/>
      <c r="C189" s="1164"/>
      <c r="D189" s="2"/>
      <c r="E189" s="851"/>
      <c r="F189" s="2" t="s">
        <v>14</v>
      </c>
      <c r="G189" s="866"/>
      <c r="H189" s="867"/>
      <c r="I189" s="841" t="s">
        <v>462</v>
      </c>
      <c r="J189" s="2"/>
      <c r="K189" s="865" t="s">
        <v>485</v>
      </c>
      <c r="L189" s="2"/>
      <c r="M189" s="865"/>
      <c r="N189" s="2"/>
      <c r="O189" s="843" t="str">
        <f>IF(H189="","",IF(ROUND('[1]E-ErgInt'!H189,Korrektur!R1)=ROUND(H189,Korrektur!R1),Q189,0))</f>
        <v/>
      </c>
      <c r="P189" s="837" t="s">
        <v>463</v>
      </c>
      <c r="Q189" s="837">
        <v>1</v>
      </c>
      <c r="R189" s="2"/>
      <c r="S189" s="2"/>
      <c r="T189" s="2"/>
      <c r="U189" s="2"/>
      <c r="V189" s="2"/>
      <c r="W189" s="2"/>
      <c r="X189" s="2"/>
      <c r="Y189" s="2"/>
      <c r="Z189" s="2"/>
      <c r="AA189" s="2"/>
    </row>
    <row r="190" spans="1:27" ht="8.1" customHeight="1" x14ac:dyDescent="0.2">
      <c r="A190" s="838"/>
      <c r="B190" s="835"/>
      <c r="C190" s="1164"/>
      <c r="D190" s="2"/>
      <c r="E190" s="2"/>
      <c r="F190" s="2"/>
      <c r="G190" s="2"/>
      <c r="H190" s="2"/>
      <c r="I190" s="2"/>
      <c r="J190" s="2"/>
      <c r="K190" s="2"/>
      <c r="L190" s="2"/>
      <c r="M190" s="2"/>
      <c r="N190" s="2"/>
      <c r="O190" s="849"/>
      <c r="P190" s="837"/>
      <c r="Q190" s="2"/>
      <c r="R190" s="2"/>
      <c r="S190" s="2"/>
      <c r="T190" s="2"/>
      <c r="U190" s="2"/>
      <c r="V190" s="2"/>
      <c r="W190" s="2"/>
      <c r="X190" s="2"/>
      <c r="Y190" s="2"/>
      <c r="Z190" s="2"/>
      <c r="AA190" s="2"/>
    </row>
    <row r="191" spans="1:27" x14ac:dyDescent="0.2">
      <c r="A191" s="838"/>
      <c r="B191" s="835"/>
      <c r="C191" s="1164"/>
      <c r="D191" s="2"/>
      <c r="E191" s="868" t="s">
        <v>486</v>
      </c>
      <c r="F191" s="2"/>
      <c r="G191" s="2"/>
      <c r="H191" s="867"/>
      <c r="I191" s="842"/>
      <c r="J191" s="2"/>
      <c r="K191" s="2" t="s">
        <v>625</v>
      </c>
      <c r="L191" s="2"/>
      <c r="M191" s="2"/>
      <c r="N191" s="2"/>
      <c r="O191" s="843" t="str">
        <f>IF(H191="","",IF(ROUND('[1]E-ErgInt'!H191,Korrektur!R1)=ROUND(H191,Korrektur!R1),Q191,0))</f>
        <v/>
      </c>
      <c r="P191" s="837" t="s">
        <v>463</v>
      </c>
      <c r="Q191" s="837">
        <v>1</v>
      </c>
      <c r="R191" s="865"/>
      <c r="S191" s="2"/>
      <c r="T191" s="2"/>
      <c r="U191" s="2"/>
      <c r="V191" s="2"/>
      <c r="W191" s="2"/>
      <c r="X191" s="2"/>
      <c r="Y191" s="2"/>
      <c r="Z191" s="2"/>
      <c r="AA191" s="2"/>
    </row>
    <row r="192" spans="1:27" ht="3.95" customHeight="1" x14ac:dyDescent="0.2">
      <c r="A192" s="838"/>
      <c r="B192" s="835"/>
      <c r="C192" s="1164"/>
      <c r="D192" s="2"/>
      <c r="E192" s="2"/>
      <c r="F192" s="2"/>
      <c r="G192" s="2"/>
      <c r="H192" s="2"/>
      <c r="I192" s="2"/>
      <c r="J192" s="2"/>
      <c r="K192" s="2"/>
      <c r="L192" s="2"/>
      <c r="M192" s="2"/>
      <c r="N192" s="2"/>
      <c r="O192" s="836"/>
      <c r="P192" s="869"/>
      <c r="Q192" s="2"/>
      <c r="R192" s="865"/>
      <c r="S192" s="2"/>
      <c r="T192" s="2"/>
      <c r="U192" s="2"/>
      <c r="V192" s="2"/>
      <c r="W192" s="2"/>
      <c r="X192" s="2"/>
      <c r="Y192" s="2"/>
      <c r="Z192" s="2"/>
      <c r="AA192" s="2"/>
    </row>
    <row r="193" spans="1:27" x14ac:dyDescent="0.2">
      <c r="A193" s="838"/>
      <c r="B193" s="835"/>
      <c r="C193" s="1164"/>
      <c r="D193" s="2"/>
      <c r="E193" s="2" t="s">
        <v>487</v>
      </c>
      <c r="F193" s="2"/>
      <c r="G193" s="2"/>
      <c r="H193" s="867"/>
      <c r="I193" s="842"/>
      <c r="J193" s="2"/>
      <c r="K193" s="2" t="s">
        <v>626</v>
      </c>
      <c r="L193" s="2"/>
      <c r="M193" s="2"/>
      <c r="N193" s="2"/>
      <c r="O193" s="843" t="str">
        <f>IF(H193="","",IF(ROUND('[1]E-ErgInt'!H193,Korrektur!R1)=ROUND(H193,Korrektur!R1),Q193,0))</f>
        <v/>
      </c>
      <c r="P193" s="837" t="s">
        <v>463</v>
      </c>
      <c r="Q193" s="837">
        <v>1</v>
      </c>
      <c r="R193" s="865"/>
      <c r="S193" s="2"/>
      <c r="T193" s="2"/>
      <c r="U193" s="2"/>
      <c r="V193" s="2"/>
      <c r="W193" s="2"/>
      <c r="X193" s="2"/>
      <c r="Y193" s="2"/>
      <c r="Z193" s="2"/>
      <c r="AA193" s="2"/>
    </row>
    <row r="194" spans="1:27" ht="8.1" customHeight="1" x14ac:dyDescent="0.2">
      <c r="A194" s="838"/>
      <c r="B194" s="835"/>
      <c r="C194" s="1164"/>
      <c r="D194" s="2"/>
      <c r="E194" s="2"/>
      <c r="F194" s="2"/>
      <c r="G194" s="2"/>
      <c r="H194" s="511"/>
      <c r="I194" s="2"/>
      <c r="J194" s="2"/>
      <c r="K194" s="2"/>
      <c r="L194" s="2"/>
      <c r="M194" s="2"/>
      <c r="N194" s="2"/>
      <c r="O194" s="836"/>
      <c r="P194" s="869"/>
      <c r="Q194" s="2"/>
      <c r="R194" s="865"/>
      <c r="S194" s="2"/>
      <c r="T194" s="2"/>
      <c r="U194" s="2"/>
      <c r="V194" s="2"/>
      <c r="W194" s="2"/>
      <c r="X194" s="2"/>
      <c r="Y194" s="2"/>
      <c r="Z194" s="2"/>
      <c r="AA194" s="2"/>
    </row>
    <row r="195" spans="1:27" x14ac:dyDescent="0.2">
      <c r="A195" s="838"/>
      <c r="B195" s="835"/>
      <c r="C195" s="1164"/>
      <c r="D195" s="2"/>
      <c r="E195" s="2" t="s">
        <v>477</v>
      </c>
      <c r="F195" s="2"/>
      <c r="G195" s="2"/>
      <c r="H195" s="2"/>
      <c r="I195" s="2"/>
      <c r="J195" s="2"/>
      <c r="K195" s="2"/>
      <c r="L195" s="2"/>
      <c r="M195" s="2"/>
      <c r="N195" s="2"/>
      <c r="O195" s="836"/>
      <c r="P195" s="869"/>
      <c r="Q195" s="2"/>
      <c r="R195" s="865"/>
      <c r="S195" s="2"/>
      <c r="T195" s="2"/>
      <c r="U195" s="2"/>
      <c r="V195" s="2"/>
      <c r="W195" s="2"/>
      <c r="X195" s="2"/>
      <c r="Y195" s="2"/>
      <c r="Z195" s="2"/>
      <c r="AA195" s="2"/>
    </row>
    <row r="196" spans="1:27" ht="12.75" customHeight="1" x14ac:dyDescent="0.2">
      <c r="A196" s="838"/>
      <c r="B196" s="835"/>
      <c r="C196" s="1164"/>
      <c r="D196" s="2"/>
      <c r="E196" s="1135"/>
      <c r="F196" s="1136"/>
      <c r="G196" s="1136"/>
      <c r="H196" s="1136"/>
      <c r="I196" s="1136"/>
      <c r="J196" s="1136"/>
      <c r="K196" s="1136"/>
      <c r="L196" s="1136"/>
      <c r="M196" s="1137"/>
      <c r="N196" s="2"/>
      <c r="O196" s="843" t="str">
        <f>IF(E196="","",IF('[1]E-ErgInt'!E196=E196,Q196,0))</f>
        <v/>
      </c>
      <c r="P196" s="837" t="s">
        <v>463</v>
      </c>
      <c r="Q196" s="837">
        <v>1</v>
      </c>
      <c r="R196" s="865"/>
      <c r="S196" s="2"/>
      <c r="T196" s="847" t="s">
        <v>717</v>
      </c>
      <c r="U196" s="2"/>
      <c r="V196" s="2"/>
      <c r="W196" s="2"/>
      <c r="X196" s="2"/>
      <c r="Y196" s="2"/>
      <c r="Z196" s="2"/>
      <c r="AA196" s="2"/>
    </row>
    <row r="197" spans="1:27" ht="12.75" customHeight="1" x14ac:dyDescent="0.2">
      <c r="A197" s="838"/>
      <c r="B197" s="835"/>
      <c r="C197" s="1164"/>
      <c r="D197" s="2"/>
      <c r="E197" s="848" t="s">
        <v>624</v>
      </c>
      <c r="F197" s="439"/>
      <c r="G197" s="439"/>
      <c r="H197" s="439"/>
      <c r="I197" s="439"/>
      <c r="J197" s="439"/>
      <c r="K197" s="439"/>
      <c r="L197" s="439"/>
      <c r="M197" s="439"/>
      <c r="N197" s="2"/>
      <c r="O197" s="870"/>
      <c r="P197" s="837"/>
      <c r="Q197" s="837"/>
      <c r="R197" s="865"/>
      <c r="S197" s="2"/>
      <c r="T197" s="850" t="str">
        <f>IF(OR(H189="",H193=""),"Daten fehlen!","Künftiger AKh-Bedarf ("&amp;FIXED(H189,0)&amp;" AKh) = Künftige Ausstattung mit AKh ("&amp;FIXED(H193,0)&amp;" AKh)")</f>
        <v>Daten fehlen!</v>
      </c>
      <c r="U197" s="2"/>
      <c r="V197" s="2"/>
      <c r="W197" s="2"/>
      <c r="X197" s="2"/>
      <c r="Y197" s="2"/>
      <c r="Z197" s="2"/>
      <c r="AA197" s="2"/>
    </row>
    <row r="198" spans="1:27" ht="12.75" customHeight="1" x14ac:dyDescent="0.2">
      <c r="A198" s="838"/>
      <c r="B198" s="835"/>
      <c r="C198" s="1164"/>
      <c r="D198" s="2"/>
      <c r="E198" s="851"/>
      <c r="F198" s="1134" t="str">
        <f>IF(OR(H189="",H193=""),"Daten fehlen!","Die Bewirtschaftung des Betriebes kann mit der künftigen AK-Ausstattung zwar gewährleistet werden. In Zeiten hoher Arbeitsspitzen kann es allerdings zu Engpässen kommen.")</f>
        <v>Daten fehlen!</v>
      </c>
      <c r="G198" s="1134"/>
      <c r="H198" s="1134"/>
      <c r="I198" s="1134"/>
      <c r="J198" s="1134"/>
      <c r="K198" s="1134"/>
      <c r="L198" s="1134"/>
      <c r="M198" s="1134"/>
      <c r="N198" s="2"/>
      <c r="O198" s="843" t="str">
        <f>IF(AND(E198='[1]E-ErgInt'!E198,E200='[1]E-ErgInt'!E200,E202='[1]E-ErgInt'!E202),Q198,"")</f>
        <v/>
      </c>
      <c r="P198" s="837" t="s">
        <v>463</v>
      </c>
      <c r="Q198" s="837">
        <v>1</v>
      </c>
      <c r="R198" s="865"/>
      <c r="S198" s="2"/>
      <c r="T198" s="850" t="str">
        <f>IF(OR(H189="",H193=""),"Daten fehlen!","Künftiger AKh-Bedarf ("&amp;FIXED(H189,0)&amp;" AKh) &lt; Künftige Ausstattung mit AKh ("&amp;FIXED(H193,0)&amp;" AKh)")</f>
        <v>Daten fehlen!</v>
      </c>
      <c r="U198" s="2"/>
      <c r="V198" s="2"/>
      <c r="W198" s="2"/>
      <c r="X198" s="2"/>
      <c r="Y198" s="2"/>
      <c r="Z198" s="2"/>
      <c r="AA198" s="2"/>
    </row>
    <row r="199" spans="1:27" ht="12.75" customHeight="1" x14ac:dyDescent="0.2">
      <c r="A199" s="838"/>
      <c r="B199" s="835"/>
      <c r="C199" s="1164"/>
      <c r="D199" s="2"/>
      <c r="E199" s="853"/>
      <c r="F199" s="1134"/>
      <c r="G199" s="1134"/>
      <c r="H199" s="1134"/>
      <c r="I199" s="1134"/>
      <c r="J199" s="1134"/>
      <c r="K199" s="1134"/>
      <c r="L199" s="1134"/>
      <c r="M199" s="1134"/>
      <c r="N199" s="2"/>
      <c r="O199" s="870"/>
      <c r="P199" s="837"/>
      <c r="Q199" s="837"/>
      <c r="R199" s="865"/>
      <c r="S199" s="2"/>
      <c r="T199" s="850" t="str">
        <f>IF(OR(H189="",H193=""),"Daten fehlen!","Künftiger AKh-Bedarf ("&amp;FIXED(H189,0)&amp;" AKh) &gt; Künftige Ausstattung mit AKh ("&amp;FIXED(H193,0)&amp;" AKh)")</f>
        <v>Daten fehlen!</v>
      </c>
      <c r="U199" s="2"/>
      <c r="V199" s="2"/>
      <c r="W199" s="2"/>
      <c r="X199" s="2"/>
      <c r="Y199" s="2"/>
      <c r="Z199" s="2"/>
      <c r="AA199" s="2"/>
    </row>
    <row r="200" spans="1:27" ht="12.75" customHeight="1" x14ac:dyDescent="0.2">
      <c r="A200" s="838"/>
      <c r="B200" s="835"/>
      <c r="C200" s="1164"/>
      <c r="D200" s="2"/>
      <c r="E200" s="851"/>
      <c r="F200" s="1134" t="str">
        <f>IF(OR(H189="",H193=""),"Daten fehlen!","Für die Bewirtschaftung des Betriebes werden künftig genügend Arbeitskräfte zur Verfügung stehen. Es sind sogar Reserven für Zeiten mit hohen Arbeitsspitzen vorhanden.")</f>
        <v>Daten fehlen!</v>
      </c>
      <c r="G200" s="1134"/>
      <c r="H200" s="1134"/>
      <c r="I200" s="1134"/>
      <c r="J200" s="1134"/>
      <c r="K200" s="1134"/>
      <c r="L200" s="1134"/>
      <c r="M200" s="1134"/>
      <c r="N200" s="2"/>
      <c r="O200" s="870"/>
      <c r="P200" s="837"/>
      <c r="Q200" s="837"/>
      <c r="R200" s="865"/>
      <c r="S200" s="2"/>
      <c r="T200" s="854"/>
      <c r="U200" s="2"/>
      <c r="V200" s="2"/>
      <c r="W200" s="2"/>
      <c r="X200" s="2"/>
      <c r="Y200" s="2"/>
      <c r="Z200" s="2"/>
      <c r="AA200" s="2"/>
    </row>
    <row r="201" spans="1:27" ht="12.75" customHeight="1" x14ac:dyDescent="0.2">
      <c r="A201" s="838"/>
      <c r="B201" s="835"/>
      <c r="C201" s="1164"/>
      <c r="D201" s="2"/>
      <c r="E201" s="853"/>
      <c r="F201" s="1134"/>
      <c r="G201" s="1134"/>
      <c r="H201" s="1134"/>
      <c r="I201" s="1134"/>
      <c r="J201" s="1134"/>
      <c r="K201" s="1134"/>
      <c r="L201" s="1134"/>
      <c r="M201" s="1134"/>
      <c r="N201" s="2"/>
      <c r="O201" s="870"/>
      <c r="P201" s="837"/>
      <c r="Q201" s="837"/>
      <c r="R201" s="865"/>
      <c r="S201" s="2"/>
      <c r="T201" s="854"/>
      <c r="U201" s="2"/>
      <c r="V201" s="2"/>
      <c r="W201" s="2"/>
      <c r="X201" s="2"/>
      <c r="Y201" s="2"/>
      <c r="Z201" s="2"/>
      <c r="AA201" s="2"/>
    </row>
    <row r="202" spans="1:27" ht="12.75" customHeight="1" x14ac:dyDescent="0.2">
      <c r="A202" s="838"/>
      <c r="B202" s="835"/>
      <c r="C202" s="1164"/>
      <c r="D202" s="2"/>
      <c r="E202" s="851"/>
      <c r="F202" s="1134" t="str">
        <f>IF(OR(H189="",H193=""),"Daten fehlen!","Das geplante Projekt erscheint aus arbeitswirtschaftlicher Sicht nicht sinnvoll. Der Betrieb wird mit den vorhandenen Arbeitskräften nicht zu bewirtschaften sein!")</f>
        <v>Daten fehlen!</v>
      </c>
      <c r="G202" s="1134"/>
      <c r="H202" s="1134"/>
      <c r="I202" s="1134"/>
      <c r="J202" s="1134"/>
      <c r="K202" s="1134"/>
      <c r="L202" s="1134"/>
      <c r="M202" s="1134"/>
      <c r="N202" s="2"/>
      <c r="O202" s="836"/>
      <c r="P202" s="869"/>
      <c r="Q202" s="2"/>
      <c r="R202" s="865"/>
      <c r="S202" s="2"/>
      <c r="T202" s="2"/>
      <c r="U202" s="2"/>
      <c r="V202" s="2"/>
      <c r="W202" s="2"/>
      <c r="X202" s="2"/>
      <c r="Y202" s="2"/>
      <c r="Z202" s="2"/>
      <c r="AA202" s="2"/>
    </row>
    <row r="203" spans="1:27" ht="12.75" customHeight="1" x14ac:dyDescent="0.2">
      <c r="A203" s="838"/>
      <c r="B203" s="835"/>
      <c r="C203" s="1164"/>
      <c r="D203" s="2"/>
      <c r="E203" s="853"/>
      <c r="F203" s="1134"/>
      <c r="G203" s="1134"/>
      <c r="H203" s="1134"/>
      <c r="I203" s="1134"/>
      <c r="J203" s="1134"/>
      <c r="K203" s="1134"/>
      <c r="L203" s="1134"/>
      <c r="M203" s="1134"/>
      <c r="N203" s="2"/>
      <c r="O203" s="836"/>
      <c r="P203" s="869"/>
      <c r="Q203" s="2"/>
      <c r="R203" s="865"/>
      <c r="S203" s="2"/>
      <c r="T203" s="2"/>
      <c r="U203" s="2"/>
      <c r="V203" s="2"/>
      <c r="W203" s="2"/>
      <c r="X203" s="2"/>
      <c r="Y203" s="2"/>
      <c r="Z203" s="2"/>
      <c r="AA203" s="2"/>
    </row>
    <row r="204" spans="1:27" x14ac:dyDescent="0.2">
      <c r="A204" s="838"/>
      <c r="B204" s="835"/>
      <c r="C204" s="1164"/>
      <c r="D204" s="2"/>
      <c r="E204" s="2"/>
      <c r="F204" s="2"/>
      <c r="G204" s="2"/>
      <c r="H204" s="2"/>
      <c r="I204" s="2"/>
      <c r="J204" s="2"/>
      <c r="K204" s="2"/>
      <c r="L204" s="2"/>
      <c r="M204" s="2"/>
      <c r="N204" s="2"/>
      <c r="O204" s="849"/>
      <c r="P204" s="837"/>
      <c r="Q204" s="2"/>
      <c r="R204" s="2"/>
      <c r="S204" s="2"/>
      <c r="T204" s="2"/>
      <c r="U204" s="2"/>
      <c r="V204" s="2"/>
      <c r="W204" s="2"/>
      <c r="X204" s="2"/>
      <c r="Y204" s="2"/>
      <c r="Z204" s="2"/>
      <c r="AA204" s="2"/>
    </row>
    <row r="205" spans="1:27" ht="24" customHeight="1" x14ac:dyDescent="0.2">
      <c r="A205" s="838"/>
      <c r="B205" s="835"/>
      <c r="C205" s="1164"/>
      <c r="D205" s="860" t="s">
        <v>489</v>
      </c>
      <c r="E205" s="1138" t="s">
        <v>490</v>
      </c>
      <c r="F205" s="1138"/>
      <c r="G205" s="1138"/>
      <c r="H205" s="1138"/>
      <c r="I205" s="1138"/>
      <c r="J205" s="1138"/>
      <c r="K205" s="1138"/>
      <c r="L205" s="1138"/>
      <c r="M205" s="1138"/>
      <c r="N205" s="2"/>
      <c r="O205" s="836"/>
      <c r="P205" s="837"/>
      <c r="Q205" s="2"/>
      <c r="R205" s="865"/>
      <c r="S205" s="2"/>
      <c r="T205" s="2"/>
      <c r="U205" s="2"/>
      <c r="V205" s="2"/>
      <c r="W205" s="2"/>
      <c r="X205" s="2"/>
      <c r="Y205" s="2"/>
      <c r="Z205" s="2"/>
      <c r="AA205" s="2"/>
    </row>
    <row r="206" spans="1:27" x14ac:dyDescent="0.2">
      <c r="A206" s="838"/>
      <c r="B206" s="835"/>
      <c r="C206" s="1164"/>
      <c r="D206" s="2"/>
      <c r="E206" s="851"/>
      <c r="F206" s="2" t="s">
        <v>491</v>
      </c>
      <c r="G206" s="2"/>
      <c r="H206" s="2"/>
      <c r="I206" s="2"/>
      <c r="J206" s="2"/>
      <c r="K206" s="2"/>
      <c r="L206" s="2"/>
      <c r="M206" s="2"/>
      <c r="N206" s="2"/>
      <c r="O206" s="843" t="str">
        <f>IF(OR(AND(E206="",E208=""),AND(E206&lt;&gt;"",E208&lt;&gt;"",0)),"",IF(AND(E206='[1]E-ErgInt'!E206,E208='[1]E-ErgInt'!E208),Q206,0))</f>
        <v/>
      </c>
      <c r="P206" s="837" t="s">
        <v>463</v>
      </c>
      <c r="Q206" s="837">
        <v>1</v>
      </c>
      <c r="R206" s="865"/>
      <c r="S206" s="2"/>
      <c r="T206" s="2"/>
      <c r="U206" s="2"/>
      <c r="V206" s="2"/>
      <c r="W206" s="2"/>
      <c r="X206" s="2"/>
      <c r="Y206" s="2"/>
      <c r="Z206" s="2"/>
      <c r="AA206" s="2"/>
    </row>
    <row r="207" spans="1:27" ht="3.95" customHeight="1" x14ac:dyDescent="0.2">
      <c r="A207" s="838"/>
      <c r="B207" s="835"/>
      <c r="C207" s="1164"/>
      <c r="D207" s="2"/>
      <c r="E207" s="2"/>
      <c r="F207" s="2"/>
      <c r="G207" s="2"/>
      <c r="H207" s="2"/>
      <c r="I207" s="2"/>
      <c r="J207" s="2"/>
      <c r="K207" s="871"/>
      <c r="L207" s="2"/>
      <c r="M207" s="865"/>
      <c r="N207" s="2"/>
      <c r="O207" s="836"/>
      <c r="P207" s="837"/>
      <c r="Q207" s="837"/>
      <c r="R207" s="2"/>
      <c r="S207" s="2"/>
      <c r="T207" s="2"/>
      <c r="U207" s="2"/>
      <c r="V207" s="2"/>
      <c r="W207" s="2"/>
      <c r="X207" s="2"/>
      <c r="Y207" s="2"/>
      <c r="Z207" s="2"/>
      <c r="AA207" s="2"/>
    </row>
    <row r="208" spans="1:27" x14ac:dyDescent="0.2">
      <c r="A208" s="838"/>
      <c r="B208" s="835"/>
      <c r="C208" s="1164"/>
      <c r="D208" s="2"/>
      <c r="E208" s="851"/>
      <c r="F208" s="2" t="s">
        <v>492</v>
      </c>
      <c r="G208" s="2"/>
      <c r="H208" s="2"/>
      <c r="I208" s="2"/>
      <c r="J208" s="2"/>
      <c r="K208" s="871"/>
      <c r="L208" s="2"/>
      <c r="M208" s="865"/>
      <c r="N208" s="2"/>
      <c r="O208" s="836"/>
      <c r="P208" s="837"/>
      <c r="Q208" s="837"/>
      <c r="R208" s="2"/>
      <c r="S208" s="2"/>
      <c r="T208" s="2"/>
      <c r="U208" s="2"/>
      <c r="V208" s="2"/>
      <c r="W208" s="2"/>
      <c r="X208" s="2"/>
      <c r="Y208" s="2"/>
      <c r="Z208" s="2"/>
      <c r="AA208" s="2"/>
    </row>
    <row r="209" spans="1:27" ht="8.1" customHeight="1" x14ac:dyDescent="0.2">
      <c r="A209" s="838"/>
      <c r="B209" s="835"/>
      <c r="C209" s="1164"/>
      <c r="D209" s="2"/>
      <c r="E209" s="2"/>
      <c r="F209" s="2"/>
      <c r="G209" s="2"/>
      <c r="H209" s="2"/>
      <c r="I209" s="2"/>
      <c r="J209" s="2"/>
      <c r="K209" s="2"/>
      <c r="L209" s="2"/>
      <c r="M209" s="2"/>
      <c r="N209" s="2"/>
      <c r="O209" s="849"/>
      <c r="P209" s="837"/>
      <c r="Q209" s="2"/>
      <c r="R209" s="2"/>
      <c r="S209" s="2"/>
      <c r="T209" s="2"/>
      <c r="U209" s="2"/>
      <c r="V209" s="2"/>
      <c r="W209" s="2"/>
      <c r="X209" s="2"/>
      <c r="Y209" s="2"/>
      <c r="Z209" s="2"/>
      <c r="AA209" s="2"/>
    </row>
    <row r="210" spans="1:27" x14ac:dyDescent="0.2">
      <c r="A210" s="838"/>
      <c r="B210" s="835"/>
      <c r="C210" s="1164"/>
      <c r="D210" s="2"/>
      <c r="E210" s="868" t="s">
        <v>493</v>
      </c>
      <c r="F210" s="2"/>
      <c r="G210" s="2"/>
      <c r="H210" s="872"/>
      <c r="I210" s="841" t="s">
        <v>462</v>
      </c>
      <c r="J210" s="2" t="s">
        <v>15</v>
      </c>
      <c r="K210" s="2"/>
      <c r="L210" s="2"/>
      <c r="M210" s="2"/>
      <c r="N210" s="2"/>
      <c r="O210" s="843" t="str">
        <f>IF(H210="","",IF(ROUND('[1]E-ErgInt'!H210,Korrektur!R1)=ROUND(H210,Korrektur!R1),Q210,0))</f>
        <v/>
      </c>
      <c r="P210" s="837" t="s">
        <v>463</v>
      </c>
      <c r="Q210" s="837">
        <v>1</v>
      </c>
      <c r="R210" s="865"/>
      <c r="S210" s="2"/>
      <c r="T210" s="2"/>
      <c r="U210" s="2"/>
      <c r="V210" s="2"/>
      <c r="W210" s="2"/>
      <c r="X210" s="2"/>
      <c r="Y210" s="2"/>
      <c r="Z210" s="2"/>
      <c r="AA210" s="2"/>
    </row>
    <row r="211" spans="1:27" ht="8.1" customHeight="1" x14ac:dyDescent="0.2">
      <c r="A211" s="838"/>
      <c r="B211" s="835"/>
      <c r="C211" s="1164"/>
      <c r="D211" s="2"/>
      <c r="E211" s="2"/>
      <c r="F211" s="2"/>
      <c r="G211" s="2"/>
      <c r="H211" s="511"/>
      <c r="I211" s="2"/>
      <c r="J211" s="2"/>
      <c r="K211" s="2"/>
      <c r="L211" s="2"/>
      <c r="M211" s="2"/>
      <c r="N211" s="2"/>
      <c r="O211" s="836"/>
      <c r="P211" s="869"/>
      <c r="Q211" s="2"/>
      <c r="R211" s="865"/>
      <c r="S211" s="2"/>
      <c r="T211" s="2"/>
      <c r="U211" s="2"/>
      <c r="V211" s="2"/>
      <c r="W211" s="2"/>
      <c r="X211" s="2"/>
      <c r="Y211" s="2"/>
      <c r="Z211" s="2"/>
      <c r="AA211" s="2"/>
    </row>
    <row r="212" spans="1:27" x14ac:dyDescent="0.2">
      <c r="A212" s="838"/>
      <c r="B212" s="835"/>
      <c r="C212" s="1164"/>
      <c r="D212" s="2"/>
      <c r="E212" s="2" t="s">
        <v>477</v>
      </c>
      <c r="F212" s="2"/>
      <c r="G212" s="2"/>
      <c r="H212" s="2"/>
      <c r="I212" s="2"/>
      <c r="J212" s="2"/>
      <c r="K212" s="871"/>
      <c r="L212" s="2"/>
      <c r="M212" s="865"/>
      <c r="N212" s="2"/>
      <c r="O212" s="836"/>
      <c r="P212" s="837"/>
      <c r="Q212" s="837"/>
      <c r="R212" s="2"/>
      <c r="S212" s="2"/>
      <c r="T212" s="847"/>
      <c r="U212" s="2"/>
      <c r="V212" s="2"/>
      <c r="W212" s="2"/>
      <c r="X212" s="2"/>
      <c r="Y212" s="2"/>
      <c r="Z212" s="2"/>
      <c r="AA212" s="2"/>
    </row>
    <row r="213" spans="1:27" ht="12.75" customHeight="1" x14ac:dyDescent="0.2">
      <c r="A213" s="838"/>
      <c r="B213" s="835"/>
      <c r="C213" s="1164"/>
      <c r="D213" s="873"/>
      <c r="E213" s="1135"/>
      <c r="F213" s="1136"/>
      <c r="G213" s="1136"/>
      <c r="H213" s="1136"/>
      <c r="I213" s="1136"/>
      <c r="J213" s="1136"/>
      <c r="K213" s="1136"/>
      <c r="L213" s="1136"/>
      <c r="M213" s="1137"/>
      <c r="N213" s="2"/>
      <c r="O213" s="843" t="str">
        <f>IF(E213="","",IF('[1]E-ErgInt'!E213=E213,Q213,0))</f>
        <v/>
      </c>
      <c r="P213" s="837" t="s">
        <v>463</v>
      </c>
      <c r="Q213" s="837">
        <v>1</v>
      </c>
      <c r="R213" s="2"/>
      <c r="S213" s="2"/>
      <c r="T213" s="847" t="s">
        <v>718</v>
      </c>
      <c r="U213" s="2"/>
      <c r="V213" s="2"/>
      <c r="W213" s="2"/>
      <c r="X213" s="2"/>
      <c r="Y213" s="2"/>
      <c r="Z213" s="2"/>
      <c r="AA213" s="2"/>
    </row>
    <row r="214" spans="1:27" ht="12.75" customHeight="1" x14ac:dyDescent="0.2">
      <c r="A214" s="838"/>
      <c r="B214" s="835"/>
      <c r="C214" s="1164"/>
      <c r="D214" s="873"/>
      <c r="E214" s="848" t="s">
        <v>624</v>
      </c>
      <c r="F214" s="439"/>
      <c r="G214" s="439"/>
      <c r="H214" s="439"/>
      <c r="I214" s="439"/>
      <c r="J214" s="439"/>
      <c r="K214" s="439"/>
      <c r="L214" s="439"/>
      <c r="M214" s="439"/>
      <c r="N214" s="2"/>
      <c r="O214" s="2"/>
      <c r="P214" s="837"/>
      <c r="Q214" s="837"/>
      <c r="R214" s="2"/>
      <c r="S214" s="2"/>
      <c r="T214" s="850" t="str">
        <f>IF(H210="","Daten fehlen!","Die Energiebilanz ("&amp;FIXED(H210,0)&amp;" MJ NEL) ist negativ!")</f>
        <v>Daten fehlen!</v>
      </c>
      <c r="U214" s="2"/>
      <c r="V214" s="2"/>
      <c r="W214" s="2"/>
      <c r="X214" s="2"/>
      <c r="Y214" s="2"/>
      <c r="Z214" s="2"/>
      <c r="AA214" s="2"/>
    </row>
    <row r="215" spans="1:27" ht="12.75" customHeight="1" x14ac:dyDescent="0.2">
      <c r="A215" s="838"/>
      <c r="B215" s="835"/>
      <c r="C215" s="1164"/>
      <c r="D215" s="2"/>
      <c r="E215" s="851"/>
      <c r="F215" s="1134" t="str">
        <f>IF(H210="","Daten fehlen!","Du erzeugst zuwenig Energie aus deinem Grundfutter. Du musst entweder Grundfutter oder Kraftfutter zukaufen. (Energiemangel von mehr als "&amp;FIXED(V217,0)&amp;" MJ NEL)")</f>
        <v>Daten fehlen!</v>
      </c>
      <c r="G215" s="1134"/>
      <c r="H215" s="1134"/>
      <c r="I215" s="1134"/>
      <c r="J215" s="1134"/>
      <c r="K215" s="1134"/>
      <c r="L215" s="1134"/>
      <c r="M215" s="1134"/>
      <c r="N215" s="2"/>
      <c r="O215" s="843" t="str">
        <f>IF(AND(E215='[1]E-ErgInt'!E215,E217='[1]E-ErgInt'!E217,E219='[1]E-ErgInt'!E219,E221='[1]E-ErgInt'!E221,E223='[1]E-ErgInt'!E223),Q215,"")</f>
        <v/>
      </c>
      <c r="P215" s="837" t="s">
        <v>463</v>
      </c>
      <c r="Q215" s="837">
        <v>1</v>
      </c>
      <c r="R215" s="2"/>
      <c r="S215" s="2"/>
      <c r="T215" s="850" t="str">
        <f>IF(H210="","Daten fehlen!","Die Energiebilanz ("&amp;FIXED(H210,0)&amp;" MJ NEL) ist positiv!")</f>
        <v>Daten fehlen!</v>
      </c>
      <c r="U215" s="2"/>
      <c r="V215" s="2"/>
      <c r="W215" s="2"/>
      <c r="X215" s="2"/>
      <c r="Y215" s="2"/>
      <c r="Z215" s="2"/>
      <c r="AA215" s="2"/>
    </row>
    <row r="216" spans="1:27" ht="12.75" customHeight="1" x14ac:dyDescent="0.2">
      <c r="A216" s="838"/>
      <c r="B216" s="835"/>
      <c r="C216" s="1164"/>
      <c r="D216" s="2"/>
      <c r="E216" s="853"/>
      <c r="F216" s="1134"/>
      <c r="G216" s="1134"/>
      <c r="H216" s="1134"/>
      <c r="I216" s="1134"/>
      <c r="J216" s="1134"/>
      <c r="K216" s="1134"/>
      <c r="L216" s="1134"/>
      <c r="M216" s="1134"/>
      <c r="N216" s="2"/>
      <c r="O216" s="836"/>
      <c r="P216" s="837"/>
      <c r="Q216" s="837"/>
      <c r="R216" s="2"/>
      <c r="S216" s="2"/>
      <c r="T216" s="850" t="str">
        <f>IF(H210="","Daten fehlen!","Die Energiebilanz ("&amp;FIXED(H210,0)&amp;" MJ NEL) ist ausgeglichen!")</f>
        <v>Daten fehlen!</v>
      </c>
      <c r="U216" s="2"/>
      <c r="V216" s="2"/>
      <c r="W216" s="2"/>
      <c r="X216" s="2"/>
      <c r="Y216" s="2"/>
      <c r="Z216" s="2"/>
      <c r="AA216" s="2"/>
    </row>
    <row r="217" spans="1:27" ht="12.75" customHeight="1" x14ac:dyDescent="0.2">
      <c r="A217" s="838"/>
      <c r="B217" s="835"/>
      <c r="C217" s="1164"/>
      <c r="D217" s="2"/>
      <c r="E217" s="851"/>
      <c r="F217" s="1134" t="str">
        <f>IF(H210="","Daten fehlen!","Der Energiebedarf ist geringfügig höher als die erzeugte Energie. Das könnte aber vermutlich durch eine Intensivierung des Futterbaues ausgeglichen werden! (Energiemangel bis "&amp;FIXED(V220,0)&amp;" MJ NEL)")</f>
        <v>Daten fehlen!</v>
      </c>
      <c r="G217" s="1134"/>
      <c r="H217" s="1134"/>
      <c r="I217" s="1134"/>
      <c r="J217" s="1134"/>
      <c r="K217" s="1134"/>
      <c r="L217" s="1134"/>
      <c r="M217" s="1134"/>
      <c r="N217" s="2"/>
      <c r="O217" s="836"/>
      <c r="P217" s="837"/>
      <c r="Q217" s="837"/>
      <c r="R217" s="2"/>
      <c r="S217" s="2"/>
      <c r="T217" s="2" t="str">
        <f>IF('[1]E-ErgInt'!T217="","",'[1]E-ErgInt'!T217)</f>
        <v>1.</v>
      </c>
      <c r="U217" s="2" t="str">
        <f>IF('[1]E-ErgInt'!U217="","",'[1]E-ErgInt'!U217)</f>
        <v>Kleiner</v>
      </c>
      <c r="V217" s="2">
        <f>IF('[1]E-ErgInt'!V217="","",'[1]E-ErgInt'!V217)</f>
        <v>20000</v>
      </c>
      <c r="W217" s="2"/>
      <c r="X217" s="2"/>
      <c r="Y217" s="2"/>
      <c r="Z217" s="2"/>
      <c r="AA217" s="2"/>
    </row>
    <row r="218" spans="1:27" ht="12.75" customHeight="1" x14ac:dyDescent="0.2">
      <c r="A218" s="838"/>
      <c r="B218" s="835"/>
      <c r="C218" s="1164"/>
      <c r="D218" s="2"/>
      <c r="E218" s="853"/>
      <c r="F218" s="1134"/>
      <c r="G218" s="1134"/>
      <c r="H218" s="1134"/>
      <c r="I218" s="1134"/>
      <c r="J218" s="1134"/>
      <c r="K218" s="1134"/>
      <c r="L218" s="1134"/>
      <c r="M218" s="1134"/>
      <c r="N218" s="2"/>
      <c r="O218" s="836"/>
      <c r="P218" s="837"/>
      <c r="Q218" s="837"/>
      <c r="R218" s="2"/>
      <c r="S218" s="2"/>
      <c r="T218" s="2" t="str">
        <f>IF('[1]E-ErgInt'!T218="","",'[1]E-ErgInt'!T218)</f>
        <v/>
      </c>
      <c r="U218" s="2" t="str">
        <f>IF('[1]E-ErgInt'!U218="","",'[1]E-ErgInt'!U218)</f>
        <v>Größer</v>
      </c>
      <c r="V218" s="2" t="str">
        <f>IF('[1]E-ErgInt'!V218="","",'[1]E-ErgInt'!V218)</f>
        <v/>
      </c>
      <c r="W218" s="2"/>
      <c r="X218" s="2"/>
      <c r="Y218" s="2"/>
      <c r="Z218" s="2"/>
      <c r="AA218" s="2"/>
    </row>
    <row r="219" spans="1:27" ht="12.75" customHeight="1" x14ac:dyDescent="0.2">
      <c r="A219" s="838"/>
      <c r="B219" s="835"/>
      <c r="C219" s="1164"/>
      <c r="D219" s="2"/>
      <c r="E219" s="851"/>
      <c r="F219" s="1134" t="str">
        <f>IF(H210="","Daten fehlen!","Es wird ein Energieüberschuss erwirtschaftet. Du könntest Flächen anderwertig nutzen oder Grundfutter verkaufen! (Energieüberschuss von mehr als "&amp;FIXED(V222,0)&amp;" MJ NEL)")</f>
        <v>Daten fehlen!</v>
      </c>
      <c r="G219" s="1134"/>
      <c r="H219" s="1134"/>
      <c r="I219" s="1134"/>
      <c r="J219" s="1134"/>
      <c r="K219" s="1134"/>
      <c r="L219" s="1134"/>
      <c r="M219" s="1134"/>
      <c r="N219" s="2"/>
      <c r="O219" s="836"/>
      <c r="P219" s="837"/>
      <c r="Q219" s="837"/>
      <c r="R219" s="2"/>
      <c r="S219" s="2"/>
      <c r="T219" s="2" t="str">
        <f>IF('[1]E-ErgInt'!T219="","",'[1]E-ErgInt'!T219)</f>
        <v>2.</v>
      </c>
      <c r="U219" s="2" t="str">
        <f>IF('[1]E-ErgInt'!U219="","",'[1]E-ErgInt'!U219)</f>
        <v>Kleiner</v>
      </c>
      <c r="V219" s="2">
        <f>IF('[1]E-ErgInt'!V219="","",'[1]E-ErgInt'!V219)</f>
        <v>0</v>
      </c>
      <c r="W219" s="2"/>
      <c r="X219" s="2"/>
      <c r="Y219" s="2"/>
      <c r="Z219" s="2"/>
      <c r="AA219" s="2"/>
    </row>
    <row r="220" spans="1:27" ht="12.75" customHeight="1" x14ac:dyDescent="0.2">
      <c r="A220" s="838"/>
      <c r="B220" s="835"/>
      <c r="C220" s="1164"/>
      <c r="D220" s="2"/>
      <c r="E220" s="853"/>
      <c r="F220" s="1134"/>
      <c r="G220" s="1134"/>
      <c r="H220" s="1134"/>
      <c r="I220" s="1134"/>
      <c r="J220" s="1134"/>
      <c r="K220" s="1134"/>
      <c r="L220" s="1134"/>
      <c r="M220" s="1134"/>
      <c r="N220" s="2"/>
      <c r="O220" s="836"/>
      <c r="P220" s="837"/>
      <c r="Q220" s="837"/>
      <c r="R220" s="2"/>
      <c r="S220" s="2"/>
      <c r="T220" s="2" t="str">
        <f>IF('[1]E-ErgInt'!T220="","",'[1]E-ErgInt'!T220)</f>
        <v/>
      </c>
      <c r="U220" s="2" t="str">
        <f>IF('[1]E-ErgInt'!U220="","",'[1]E-ErgInt'!U220)</f>
        <v>Größer</v>
      </c>
      <c r="V220" s="2">
        <f>IF('[1]E-ErgInt'!V220="","",'[1]E-ErgInt'!V220)</f>
        <v>20000</v>
      </c>
      <c r="W220" s="2"/>
      <c r="X220" s="2"/>
      <c r="Y220" s="2"/>
      <c r="Z220" s="2"/>
      <c r="AA220" s="2"/>
    </row>
    <row r="221" spans="1:27" ht="12.75" customHeight="1" x14ac:dyDescent="0.2">
      <c r="A221" s="838"/>
      <c r="B221" s="835"/>
      <c r="C221" s="1164"/>
      <c r="D221" s="2"/>
      <c r="E221" s="851"/>
      <c r="F221" s="1134" t="str">
        <f>IF(H210="","Daten fehlen!","Das geringfügige Plus an Energie veschafft dir Reserven für Jahre mit schlechteren Wirtschaftsfuttererträgen. (Energieüberschuss bis "&amp;FIXED(V223,0)&amp;" MJ NEL)")</f>
        <v>Daten fehlen!</v>
      </c>
      <c r="G221" s="1134"/>
      <c r="H221" s="1134"/>
      <c r="I221" s="1134"/>
      <c r="J221" s="1134"/>
      <c r="K221" s="1134"/>
      <c r="L221" s="1134"/>
      <c r="M221" s="1134"/>
      <c r="N221" s="2"/>
      <c r="O221" s="836"/>
      <c r="P221" s="837"/>
      <c r="Q221" s="837"/>
      <c r="R221" s="2"/>
      <c r="S221" s="2"/>
      <c r="T221" s="2" t="str">
        <f>IF('[1]E-ErgInt'!T221="","",'[1]E-ErgInt'!T221)</f>
        <v>3.</v>
      </c>
      <c r="U221" s="2" t="str">
        <f>IF('[1]E-ErgInt'!U221="","",'[1]E-ErgInt'!U221)</f>
        <v>Kleiner</v>
      </c>
      <c r="V221" s="2" t="str">
        <f>IF('[1]E-ErgInt'!V221="","",'[1]E-ErgInt'!V221)</f>
        <v/>
      </c>
      <c r="W221" s="2"/>
      <c r="X221" s="2"/>
      <c r="Y221" s="2"/>
      <c r="Z221" s="2"/>
      <c r="AA221" s="2"/>
    </row>
    <row r="222" spans="1:27" ht="12.75" customHeight="1" x14ac:dyDescent="0.2">
      <c r="A222" s="838"/>
      <c r="B222" s="835"/>
      <c r="C222" s="1164"/>
      <c r="D222" s="2"/>
      <c r="E222" s="853"/>
      <c r="F222" s="1134"/>
      <c r="G222" s="1134"/>
      <c r="H222" s="1134"/>
      <c r="I222" s="1134"/>
      <c r="J222" s="1134"/>
      <c r="K222" s="1134"/>
      <c r="L222" s="1134"/>
      <c r="M222" s="1134"/>
      <c r="N222" s="2"/>
      <c r="O222" s="836"/>
      <c r="P222" s="837"/>
      <c r="Q222" s="837"/>
      <c r="R222" s="2"/>
      <c r="S222" s="2"/>
      <c r="T222" s="2" t="str">
        <f>IF('[1]E-ErgInt'!T222="","",'[1]E-ErgInt'!T222)</f>
        <v/>
      </c>
      <c r="U222" s="2" t="str">
        <f>IF('[1]E-ErgInt'!U222="","",'[1]E-ErgInt'!U222)</f>
        <v>Größer</v>
      </c>
      <c r="V222" s="2">
        <f>IF('[1]E-ErgInt'!V222="","",'[1]E-ErgInt'!V222)</f>
        <v>24000</v>
      </c>
      <c r="W222" s="2"/>
      <c r="X222" s="2"/>
      <c r="Y222" s="2"/>
      <c r="Z222" s="2"/>
      <c r="AA222" s="2"/>
    </row>
    <row r="223" spans="1:27" ht="12.75" customHeight="1" x14ac:dyDescent="0.2">
      <c r="A223" s="838"/>
      <c r="B223" s="835"/>
      <c r="C223" s="1164"/>
      <c r="D223" s="2"/>
      <c r="E223" s="851"/>
      <c r="F223" s="1134" t="str">
        <f>IF(H210="","Daten fehlen!","Du erzeugst gerade soviel Energie wie du benötigst. In ertragsschwachen Jahren könnte es allerdings knapp werden. Dann müsstest du etwas Futter zukaufen. (Energiebilanz ausgeglichen!)")</f>
        <v>Daten fehlen!</v>
      </c>
      <c r="G223" s="1134"/>
      <c r="H223" s="1134"/>
      <c r="I223" s="1134"/>
      <c r="J223" s="1134"/>
      <c r="K223" s="1134"/>
      <c r="L223" s="1134"/>
      <c r="M223" s="1134"/>
      <c r="N223" s="2"/>
      <c r="O223" s="836"/>
      <c r="P223" s="837"/>
      <c r="Q223" s="837"/>
      <c r="R223" s="2"/>
      <c r="S223" s="2"/>
      <c r="T223" s="2" t="str">
        <f>IF('[1]E-ErgInt'!T223="","",'[1]E-ErgInt'!T223)</f>
        <v>4.</v>
      </c>
      <c r="U223" s="2" t="str">
        <f>IF('[1]E-ErgInt'!U223="","",'[1]E-ErgInt'!U223)</f>
        <v>Kleiner</v>
      </c>
      <c r="V223" s="2">
        <f>IF('[1]E-ErgInt'!V223="","",'[1]E-ErgInt'!V223)</f>
        <v>24000</v>
      </c>
      <c r="W223" s="2"/>
      <c r="X223" s="2"/>
      <c r="Y223" s="2"/>
      <c r="Z223" s="2"/>
      <c r="AA223" s="2"/>
    </row>
    <row r="224" spans="1:27" ht="12.75" customHeight="1" x14ac:dyDescent="0.2">
      <c r="A224" s="838"/>
      <c r="B224" s="835"/>
      <c r="C224" s="1164"/>
      <c r="D224" s="2"/>
      <c r="E224" s="853"/>
      <c r="F224" s="1134"/>
      <c r="G224" s="1134"/>
      <c r="H224" s="1134"/>
      <c r="I224" s="1134"/>
      <c r="J224" s="1134"/>
      <c r="K224" s="1134"/>
      <c r="L224" s="1134"/>
      <c r="M224" s="1134"/>
      <c r="N224" s="2"/>
      <c r="O224" s="836"/>
      <c r="P224" s="837"/>
      <c r="Q224" s="837"/>
      <c r="R224" s="2"/>
      <c r="S224" s="2"/>
      <c r="T224" s="2" t="str">
        <f>IF('[1]E-ErgInt'!T224="","",'[1]E-ErgInt'!T224)</f>
        <v/>
      </c>
      <c r="U224" s="2" t="str">
        <f>IF('[1]E-ErgInt'!U224="","",'[1]E-ErgInt'!U224)</f>
        <v>Größer</v>
      </c>
      <c r="V224" s="2">
        <f>IF('[1]E-ErgInt'!V224="","",'[1]E-ErgInt'!V224)</f>
        <v>0</v>
      </c>
      <c r="W224" s="2"/>
      <c r="X224" s="2"/>
      <c r="Y224" s="2"/>
      <c r="Z224" s="2"/>
      <c r="AA224" s="2"/>
    </row>
    <row r="225" spans="1:27" ht="12.75" customHeight="1" x14ac:dyDescent="0.2">
      <c r="A225" s="838"/>
      <c r="B225" s="835"/>
      <c r="C225" s="896"/>
      <c r="D225" s="2"/>
      <c r="E225" s="853"/>
      <c r="F225" s="852"/>
      <c r="G225" s="852"/>
      <c r="H225" s="852"/>
      <c r="I225" s="852"/>
      <c r="J225" s="852"/>
      <c r="K225" s="852"/>
      <c r="L225" s="852"/>
      <c r="M225" s="852"/>
      <c r="N225" s="2"/>
      <c r="O225" s="836"/>
      <c r="P225" s="837"/>
      <c r="Q225" s="837"/>
      <c r="R225" s="2"/>
      <c r="S225" s="2"/>
      <c r="T225" s="2" t="str">
        <f>IF('[1]E-ErgInt'!T225="","",'[1]E-ErgInt'!T225)</f>
        <v>5.</v>
      </c>
      <c r="U225" s="2" t="str">
        <f>IF('[1]E-ErgInt'!U225="","",'[1]E-ErgInt'!U225)</f>
        <v>Gleich</v>
      </c>
      <c r="V225" s="2">
        <f>IF('[1]E-ErgInt'!V225="","",'[1]E-ErgInt'!V225)</f>
        <v>0</v>
      </c>
      <c r="W225" s="2"/>
      <c r="X225" s="2"/>
      <c r="Y225" s="2"/>
      <c r="Z225" s="2"/>
      <c r="AA225" s="2"/>
    </row>
    <row r="226" spans="1:27" s="503" customFormat="1" ht="12.75" customHeight="1" x14ac:dyDescent="0.2">
      <c r="A226" s="875"/>
      <c r="B226" s="835"/>
      <c r="C226" s="779" t="s">
        <v>501</v>
      </c>
      <c r="D226" s="779" t="s">
        <v>652</v>
      </c>
      <c r="E226" s="887"/>
      <c r="G226" s="877"/>
      <c r="H226" s="877"/>
      <c r="I226" s="877"/>
      <c r="J226" s="877"/>
      <c r="K226" s="877"/>
      <c r="L226" s="877"/>
      <c r="M226" s="877"/>
      <c r="O226" s="836"/>
      <c r="Q226" s="837"/>
      <c r="T226" s="878"/>
    </row>
    <row r="227" spans="1:27" s="503" customFormat="1" ht="12.75" customHeight="1" x14ac:dyDescent="0.2">
      <c r="A227" s="875"/>
      <c r="B227" s="835"/>
      <c r="C227" s="779"/>
      <c r="D227" s="779" t="s">
        <v>478</v>
      </c>
      <c r="E227" s="1087"/>
      <c r="G227" s="877"/>
      <c r="H227" s="877"/>
      <c r="I227" s="877"/>
      <c r="J227" s="877"/>
      <c r="K227" s="877"/>
      <c r="L227" s="877"/>
      <c r="M227" s="877"/>
      <c r="O227" s="836"/>
      <c r="Q227" s="837"/>
      <c r="T227" s="878"/>
    </row>
    <row r="228" spans="1:27" s="503" customFormat="1" ht="12.75" customHeight="1" x14ac:dyDescent="0.2">
      <c r="A228" s="875"/>
      <c r="B228" s="835"/>
      <c r="C228" s="779"/>
      <c r="D228" s="1139" t="str">
        <f>IF(OR(H42="",H44=""),"Daten fehlen!","● Variante I:     Leistung der Investition - Kosten der Investition = "&amp;DOLLAR(H42,2)&amp;" - "&amp;DOLLAR(-H44,2)&amp;" = "&amp;DOLLAR(SUM(H42,H44),2))</f>
        <v>Daten fehlen!</v>
      </c>
      <c r="E228" s="1139"/>
      <c r="F228" s="1139"/>
      <c r="G228" s="1139"/>
      <c r="H228" s="1139"/>
      <c r="I228" s="1139"/>
      <c r="J228" s="1139"/>
      <c r="K228" s="1139"/>
      <c r="L228" s="1139"/>
      <c r="M228" s="1139"/>
      <c r="O228" s="836"/>
      <c r="Q228" s="837"/>
      <c r="T228" s="878"/>
    </row>
    <row r="229" spans="1:27" s="503" customFormat="1" ht="12.75" customHeight="1" x14ac:dyDescent="0.2">
      <c r="A229" s="875"/>
      <c r="B229" s="835"/>
      <c r="C229" s="779"/>
      <c r="D229" s="1139" t="str">
        <f>IF(OR(H148="",H150=""),"Daten fehlen!","● Variante II:    Leistung der Investition - Kosten der Investition = "&amp;DOLLAR(H148,2)&amp;" - "&amp;DOLLAR(-H150,2)&amp;" = "&amp;DOLLAR(SUM(H148,H150),2))</f>
        <v>Daten fehlen!</v>
      </c>
      <c r="E229" s="1139"/>
      <c r="F229" s="1139"/>
      <c r="G229" s="1139"/>
      <c r="H229" s="1139"/>
      <c r="I229" s="1139"/>
      <c r="J229" s="1139"/>
      <c r="K229" s="1139"/>
      <c r="L229" s="1139"/>
      <c r="M229" s="1139"/>
      <c r="O229" s="836"/>
      <c r="Q229" s="837"/>
      <c r="T229" s="878"/>
    </row>
    <row r="230" spans="1:27" s="503" customFormat="1" ht="12.75" customHeight="1" x14ac:dyDescent="0.2">
      <c r="A230" s="875"/>
      <c r="B230" s="835"/>
      <c r="C230" s="779"/>
      <c r="D230" s="779" t="s">
        <v>482</v>
      </c>
      <c r="E230" s="779"/>
      <c r="G230" s="877"/>
      <c r="H230" s="877"/>
      <c r="I230" s="877"/>
      <c r="J230" s="877"/>
      <c r="K230" s="877"/>
      <c r="L230" s="877"/>
      <c r="M230" s="877"/>
      <c r="O230" s="836"/>
      <c r="Q230" s="837"/>
      <c r="T230" s="878"/>
    </row>
    <row r="231" spans="1:27" s="503" customFormat="1" ht="12.75" customHeight="1" x14ac:dyDescent="0.2">
      <c r="A231" s="875"/>
      <c r="B231" s="835"/>
      <c r="C231" s="779"/>
      <c r="D231" s="1139" t="str">
        <f>IF(OR(K64="",K66=""),"Daten fehlen!","● Variante I:     Kapitaldienstgrenze = "&amp;DOLLAR(K64,2)&amp;"       Kapitaldinest für die Investition = "&amp;DOLLAR(-K66,2))</f>
        <v>Daten fehlen!</v>
      </c>
      <c r="E231" s="1139"/>
      <c r="F231" s="1139"/>
      <c r="G231" s="1139"/>
      <c r="H231" s="1139"/>
      <c r="I231" s="1139"/>
      <c r="J231" s="1139"/>
      <c r="K231" s="1139"/>
      <c r="L231" s="1139"/>
      <c r="M231" s="1139"/>
      <c r="O231" s="836"/>
      <c r="Q231" s="837"/>
      <c r="T231" s="878"/>
    </row>
    <row r="232" spans="1:27" s="503" customFormat="1" ht="12.75" customHeight="1" x14ac:dyDescent="0.2">
      <c r="A232" s="875"/>
      <c r="B232" s="835"/>
      <c r="C232" s="779"/>
      <c r="D232" s="1139" t="str">
        <f>IF(OR(K170="",K172=""),"Daten fehlen!","● Variante II:    Kapitaldienstgrenze = "&amp;DOLLAR(K170,2)&amp;"     Kapitaldinest für die Investition = "&amp;DOLLAR(-K172,2))</f>
        <v>Daten fehlen!</v>
      </c>
      <c r="E232" s="1139"/>
      <c r="F232" s="1139"/>
      <c r="G232" s="1139"/>
      <c r="H232" s="1139"/>
      <c r="I232" s="1139"/>
      <c r="J232" s="1139"/>
      <c r="K232" s="1139"/>
      <c r="L232" s="1139"/>
      <c r="M232" s="1139"/>
      <c r="O232" s="836"/>
      <c r="Q232" s="837"/>
      <c r="T232" s="878"/>
    </row>
    <row r="233" spans="1:27" s="503" customFormat="1" ht="12.75" customHeight="1" x14ac:dyDescent="0.2">
      <c r="A233" s="875"/>
      <c r="B233" s="835"/>
      <c r="D233" s="860" t="s">
        <v>459</v>
      </c>
      <c r="E233" s="503" t="s">
        <v>653</v>
      </c>
      <c r="G233" s="877"/>
      <c r="H233" s="877"/>
      <c r="I233" s="877"/>
      <c r="J233" s="877"/>
      <c r="K233" s="877"/>
      <c r="L233" s="877"/>
      <c r="M233" s="877"/>
      <c r="O233" s="836"/>
      <c r="Q233" s="837"/>
      <c r="T233" s="878"/>
    </row>
    <row r="234" spans="1:27" s="503" customFormat="1" ht="12.75" customHeight="1" x14ac:dyDescent="0.2">
      <c r="A234" s="875"/>
      <c r="B234" s="835"/>
      <c r="E234" s="851"/>
      <c r="F234" s="503" t="s">
        <v>654</v>
      </c>
      <c r="G234" s="877"/>
      <c r="H234" s="877"/>
      <c r="I234" s="877"/>
      <c r="J234" s="877"/>
      <c r="K234" s="877"/>
      <c r="L234" s="877"/>
      <c r="M234" s="877"/>
      <c r="O234" s="843" t="str">
        <f>IF(AND(E234="",E236="",E238=""),"",IF(AND(T234=E234,T236=E236,T238=E238),1,0))</f>
        <v/>
      </c>
      <c r="P234" s="2" t="s">
        <v>463</v>
      </c>
      <c r="Q234" s="837">
        <v>1</v>
      </c>
      <c r="T234" s="851" t="str">
        <f>IF(AND(W241&gt;=0,W247&gt;=0,W241&gt;W243,W247&gt;W249),"x","")</f>
        <v/>
      </c>
    </row>
    <row r="235" spans="1:27" s="503" customFormat="1" ht="3.95" customHeight="1" x14ac:dyDescent="0.2">
      <c r="A235" s="875"/>
      <c r="B235" s="835"/>
      <c r="E235" s="887"/>
      <c r="G235" s="877"/>
      <c r="H235" s="877"/>
      <c r="I235" s="877"/>
      <c r="J235" s="877"/>
      <c r="K235" s="877"/>
      <c r="L235" s="877"/>
      <c r="M235" s="877"/>
      <c r="O235" s="836"/>
      <c r="Q235" s="837"/>
    </row>
    <row r="236" spans="1:27" s="503" customFormat="1" ht="12.75" customHeight="1" x14ac:dyDescent="0.2">
      <c r="A236" s="875"/>
      <c r="B236" s="835"/>
      <c r="E236" s="851"/>
      <c r="F236" s="503" t="s">
        <v>733</v>
      </c>
      <c r="G236" s="877"/>
      <c r="H236" s="877"/>
      <c r="I236" s="877"/>
      <c r="J236" s="877"/>
      <c r="K236" s="877"/>
      <c r="L236" s="877"/>
      <c r="M236" s="877"/>
      <c r="O236" s="836"/>
      <c r="Q236" s="837"/>
      <c r="T236" s="851" t="str">
        <f>IF(AND(W243&gt;=0,W249&gt;=0,W241&lt;W243,W247&lt;W249),"x","")</f>
        <v>x</v>
      </c>
    </row>
    <row r="237" spans="1:27" s="503" customFormat="1" ht="3.95" customHeight="1" x14ac:dyDescent="0.2">
      <c r="A237" s="875"/>
      <c r="B237" s="835"/>
      <c r="E237" s="887"/>
      <c r="G237" s="877"/>
      <c r="H237" s="877"/>
      <c r="I237" s="877"/>
      <c r="J237" s="877"/>
      <c r="K237" s="877"/>
      <c r="L237" s="877"/>
      <c r="M237" s="877"/>
      <c r="O237" s="836"/>
      <c r="Q237" s="837"/>
    </row>
    <row r="238" spans="1:27" s="503" customFormat="1" ht="12.75" customHeight="1" x14ac:dyDescent="0.2">
      <c r="A238" s="875"/>
      <c r="B238" s="835"/>
      <c r="E238" s="851"/>
      <c r="F238" s="503" t="s">
        <v>655</v>
      </c>
      <c r="G238" s="877"/>
      <c r="H238" s="877"/>
      <c r="I238" s="877"/>
      <c r="J238" s="877"/>
      <c r="K238" s="877"/>
      <c r="L238" s="877"/>
      <c r="M238" s="877"/>
      <c r="O238" s="836"/>
      <c r="Q238" s="837"/>
      <c r="T238" s="851" t="str">
        <f>IF(AND(T234="",T236=""),"x","")</f>
        <v/>
      </c>
    </row>
    <row r="239" spans="1:27" s="503" customFormat="1" ht="12.75" customHeight="1" x14ac:dyDescent="0.2">
      <c r="A239" s="875"/>
      <c r="B239" s="835"/>
      <c r="E239" s="878"/>
      <c r="G239" s="877"/>
      <c r="H239" s="877"/>
      <c r="I239" s="877"/>
      <c r="J239" s="877"/>
      <c r="K239" s="877"/>
      <c r="L239" s="877"/>
      <c r="M239" s="877"/>
      <c r="O239" s="836"/>
      <c r="Q239" s="837"/>
      <c r="T239" s="887"/>
    </row>
    <row r="240" spans="1:27" s="503" customFormat="1" ht="12.75" customHeight="1" x14ac:dyDescent="0.2">
      <c r="A240" s="875"/>
      <c r="B240" s="835"/>
      <c r="D240" s="860" t="s">
        <v>459</v>
      </c>
      <c r="E240" s="503" t="s">
        <v>719</v>
      </c>
      <c r="G240" s="877"/>
      <c r="H240" s="877"/>
      <c r="I240" s="877"/>
      <c r="J240" s="877"/>
      <c r="K240" s="877"/>
      <c r="L240" s="877"/>
      <c r="M240" s="877"/>
      <c r="O240" s="836"/>
      <c r="Q240" s="837"/>
      <c r="V240" s="503" t="s">
        <v>656</v>
      </c>
      <c r="W240" s="878"/>
    </row>
    <row r="241" spans="1:23" s="503" customFormat="1" ht="12.75" customHeight="1" x14ac:dyDescent="0.2">
      <c r="A241" s="875"/>
      <c r="B241" s="835"/>
      <c r="E241" s="851"/>
      <c r="F241" s="503" t="s">
        <v>657</v>
      </c>
      <c r="G241" s="877"/>
      <c r="H241" s="877"/>
      <c r="I241" s="877"/>
      <c r="J241" s="877"/>
      <c r="K241" s="877"/>
      <c r="L241" s="877"/>
      <c r="M241" s="877"/>
      <c r="O241" s="843" t="str">
        <f>IF(AND(E241="",E243="",E245="",E247="",E249="",E251="",E253=""),"",IF(AND(T241=E241,T243=E243,T245=E245,T247=E247,T249=E249,T251=E251,T253=E253),1,0))</f>
        <v/>
      </c>
      <c r="P241" s="2" t="s">
        <v>463</v>
      </c>
      <c r="Q241" s="837">
        <v>1</v>
      </c>
      <c r="T241" s="851" t="str">
        <f>IF(AND(W241&gt;=0,W243&lt;0),"x","")</f>
        <v/>
      </c>
      <c r="V241" s="503" t="s">
        <v>658</v>
      </c>
      <c r="W241" s="1088">
        <f>IF('[1]E-Fin I'!F23="","",'[1]E-Fin I'!F23)</f>
        <v>-6541.4764029269863</v>
      </c>
    </row>
    <row r="242" spans="1:23" s="503" customFormat="1" ht="3.95" customHeight="1" x14ac:dyDescent="0.2">
      <c r="A242" s="875"/>
      <c r="B242" s="835"/>
      <c r="E242" s="887"/>
      <c r="G242" s="877"/>
      <c r="H242" s="877"/>
      <c r="I242" s="877"/>
      <c r="J242" s="877"/>
      <c r="K242" s="877"/>
      <c r="L242" s="877"/>
      <c r="M242" s="877"/>
      <c r="O242" s="836"/>
      <c r="Q242" s="837"/>
      <c r="T242" s="887"/>
      <c r="W242" s="878"/>
    </row>
    <row r="243" spans="1:23" s="503" customFormat="1" ht="12.75" customHeight="1" x14ac:dyDescent="0.2">
      <c r="A243" s="875"/>
      <c r="B243" s="835"/>
      <c r="E243" s="851"/>
      <c r="F243" s="503" t="s">
        <v>659</v>
      </c>
      <c r="G243" s="877"/>
      <c r="H243" s="877"/>
      <c r="I243" s="877"/>
      <c r="J243" s="877"/>
      <c r="K243" s="877"/>
      <c r="L243" s="877"/>
      <c r="M243" s="877"/>
      <c r="O243" s="836"/>
      <c r="Q243" s="837"/>
      <c r="T243" s="851" t="str">
        <f>IF(AND(W243&gt;=0,W241&lt;0),"x","")</f>
        <v>x</v>
      </c>
      <c r="V243" s="503" t="s">
        <v>660</v>
      </c>
      <c r="W243" s="1088">
        <f>IF('[1]E-Fin II'!F23="","",'[1]E-Fin II'!F23)</f>
        <v>970.71442730954368</v>
      </c>
    </row>
    <row r="244" spans="1:23" s="503" customFormat="1" ht="3.95" customHeight="1" x14ac:dyDescent="0.2">
      <c r="A244" s="875"/>
      <c r="B244" s="835"/>
      <c r="E244" s="887"/>
      <c r="G244" s="877"/>
      <c r="H244" s="877"/>
      <c r="I244" s="877"/>
      <c r="J244" s="877"/>
      <c r="K244" s="877"/>
      <c r="L244" s="877"/>
      <c r="M244" s="877"/>
      <c r="O244" s="836"/>
      <c r="Q244" s="837"/>
      <c r="T244" s="887"/>
      <c r="W244" s="878"/>
    </row>
    <row r="245" spans="1:23" s="503" customFormat="1" ht="12.75" customHeight="1" x14ac:dyDescent="0.2">
      <c r="A245" s="875"/>
      <c r="B245" s="835"/>
      <c r="E245" s="851"/>
      <c r="F245" s="503" t="s">
        <v>661</v>
      </c>
      <c r="G245" s="877"/>
      <c r="H245" s="877"/>
      <c r="I245" s="877"/>
      <c r="J245" s="877"/>
      <c r="K245" s="877"/>
      <c r="L245" s="877"/>
      <c r="M245" s="877"/>
      <c r="O245" s="836"/>
      <c r="P245" s="2"/>
      <c r="Q245" s="837"/>
      <c r="T245" s="851" t="str">
        <f>IF(AND(W241&lt;0,W243&lt;0),"x","")</f>
        <v/>
      </c>
      <c r="V245" s="503" t="s">
        <v>482</v>
      </c>
      <c r="W245" s="878"/>
    </row>
    <row r="246" spans="1:23" s="503" customFormat="1" ht="3.95" customHeight="1" x14ac:dyDescent="0.2">
      <c r="A246" s="875"/>
      <c r="B246" s="835"/>
      <c r="E246" s="887"/>
      <c r="G246" s="877"/>
      <c r="H246" s="877"/>
      <c r="I246" s="877"/>
      <c r="J246" s="877"/>
      <c r="K246" s="877"/>
      <c r="L246" s="877"/>
      <c r="M246" s="877"/>
      <c r="O246" s="836"/>
      <c r="Q246" s="837"/>
      <c r="T246" s="887"/>
      <c r="W246" s="878"/>
    </row>
    <row r="247" spans="1:23" s="503" customFormat="1" ht="12.75" customHeight="1" x14ac:dyDescent="0.2">
      <c r="A247" s="875"/>
      <c r="B247" s="835"/>
      <c r="E247" s="851"/>
      <c r="F247" s="503" t="s">
        <v>662</v>
      </c>
      <c r="G247" s="877"/>
      <c r="H247" s="877"/>
      <c r="I247" s="877"/>
      <c r="J247" s="877"/>
      <c r="K247" s="877"/>
      <c r="L247" s="877"/>
      <c r="M247" s="877"/>
      <c r="O247" s="836"/>
      <c r="P247" s="2"/>
      <c r="Q247" s="837"/>
      <c r="T247" s="851" t="str">
        <f>IF(AND(W241&gt;=0,W243&gt;=0,W247&lt;0),"x","")</f>
        <v/>
      </c>
      <c r="V247" s="503" t="s">
        <v>658</v>
      </c>
      <c r="W247" s="1088">
        <f>IF(OR('[1]E-Plan I'!I46="",'[1]E-Plan I'!I47=""),"",SUM('[1]E-Plan I'!I46:I47))</f>
        <v>9940.6992505722355</v>
      </c>
    </row>
    <row r="248" spans="1:23" s="503" customFormat="1" ht="3.95" customHeight="1" x14ac:dyDescent="0.2">
      <c r="A248" s="875"/>
      <c r="B248" s="835"/>
      <c r="E248" s="887"/>
      <c r="G248" s="877"/>
      <c r="H248" s="877"/>
      <c r="I248" s="877"/>
      <c r="J248" s="877"/>
      <c r="K248" s="877"/>
      <c r="L248" s="877"/>
      <c r="M248" s="877"/>
      <c r="O248" s="836"/>
      <c r="P248" s="2"/>
      <c r="Q248" s="837"/>
      <c r="T248" s="887"/>
      <c r="W248" s="878"/>
    </row>
    <row r="249" spans="1:23" s="503" customFormat="1" ht="12.75" customHeight="1" x14ac:dyDescent="0.2">
      <c r="A249" s="875"/>
      <c r="B249" s="835"/>
      <c r="E249" s="851"/>
      <c r="F249" s="503" t="s">
        <v>663</v>
      </c>
      <c r="G249" s="877"/>
      <c r="H249" s="877"/>
      <c r="I249" s="877"/>
      <c r="J249" s="877"/>
      <c r="K249" s="877"/>
      <c r="L249" s="877"/>
      <c r="M249" s="877"/>
      <c r="O249" s="836"/>
      <c r="P249" s="2"/>
      <c r="Q249" s="837"/>
      <c r="T249" s="851" t="str">
        <f>IF(AND(W241&gt;=0,W243&gt;=0,W249&lt;0),"x","")</f>
        <v/>
      </c>
      <c r="V249" s="503" t="s">
        <v>660</v>
      </c>
      <c r="W249" s="1088">
        <f>IF(OR('[1]E-Plan II'!I46="",'[1]E-Plan II'!I47=""),"",SUM('[1]E-Plan II'!I46:I47))</f>
        <v>17734.695254157348</v>
      </c>
    </row>
    <row r="250" spans="1:23" s="503" customFormat="1" ht="3.95" customHeight="1" x14ac:dyDescent="0.2">
      <c r="A250" s="875"/>
      <c r="B250" s="835"/>
      <c r="E250" s="887"/>
      <c r="G250" s="877"/>
      <c r="H250" s="877"/>
      <c r="I250" s="877"/>
      <c r="J250" s="877"/>
      <c r="K250" s="877"/>
      <c r="L250" s="877"/>
      <c r="M250" s="877"/>
      <c r="O250" s="836"/>
      <c r="P250" s="2"/>
      <c r="Q250" s="837"/>
      <c r="T250" s="887"/>
    </row>
    <row r="251" spans="1:23" s="503" customFormat="1" ht="12.75" customHeight="1" x14ac:dyDescent="0.2">
      <c r="A251" s="875"/>
      <c r="B251" s="835"/>
      <c r="E251" s="851"/>
      <c r="F251" s="1138" t="s">
        <v>664</v>
      </c>
      <c r="G251" s="1138"/>
      <c r="H251" s="1138"/>
      <c r="I251" s="1138"/>
      <c r="J251" s="1138"/>
      <c r="K251" s="1138"/>
      <c r="L251" s="1138"/>
      <c r="M251" s="1138"/>
      <c r="O251" s="836"/>
      <c r="P251" s="2"/>
      <c r="Q251" s="837"/>
      <c r="T251" s="851" t="str">
        <f>IF(AND(W241&gt;=0,W243&gt;=0,W247&gt;=0,W249&gt;=0,W241&gt;W243),"x","")</f>
        <v/>
      </c>
    </row>
    <row r="252" spans="1:23" s="503" customFormat="1" ht="15" customHeight="1" x14ac:dyDescent="0.2">
      <c r="A252" s="875"/>
      <c r="B252" s="835"/>
      <c r="E252" s="887"/>
      <c r="F252" s="1138"/>
      <c r="G252" s="1138"/>
      <c r="H252" s="1138"/>
      <c r="I252" s="1138"/>
      <c r="J252" s="1138"/>
      <c r="K252" s="1138"/>
      <c r="L252" s="1138"/>
      <c r="M252" s="1138"/>
      <c r="O252" s="836"/>
      <c r="P252" s="2"/>
      <c r="Q252" s="837"/>
      <c r="T252" s="887"/>
    </row>
    <row r="253" spans="1:23" s="503" customFormat="1" ht="12.75" customHeight="1" x14ac:dyDescent="0.2">
      <c r="A253" s="875"/>
      <c r="B253" s="835"/>
      <c r="E253" s="851"/>
      <c r="F253" s="1138" t="s">
        <v>665</v>
      </c>
      <c r="G253" s="1138"/>
      <c r="H253" s="1138"/>
      <c r="I253" s="1138"/>
      <c r="J253" s="1138"/>
      <c r="K253" s="1138"/>
      <c r="L253" s="1138"/>
      <c r="M253" s="1138"/>
      <c r="O253" s="836"/>
      <c r="P253" s="2"/>
      <c r="Q253" s="837"/>
      <c r="T253" s="851" t="str">
        <f>IF(AND(W241&gt;=0,W243&gt;=0,W247&gt;=0,W249&gt;=0,W241&lt;W243),"x","")</f>
        <v/>
      </c>
    </row>
    <row r="254" spans="1:23" s="503" customFormat="1" ht="15" customHeight="1" x14ac:dyDescent="0.2">
      <c r="A254" s="875"/>
      <c r="B254" s="835"/>
      <c r="E254" s="887"/>
      <c r="F254" s="1138"/>
      <c r="G254" s="1138"/>
      <c r="H254" s="1138"/>
      <c r="I254" s="1138"/>
      <c r="J254" s="1138"/>
      <c r="K254" s="1138"/>
      <c r="L254" s="1138"/>
      <c r="M254" s="1138"/>
      <c r="O254" s="836"/>
      <c r="Q254" s="837"/>
      <c r="T254" s="887"/>
    </row>
    <row r="255" spans="1:23" s="503" customFormat="1" ht="12.75" customHeight="1" x14ac:dyDescent="0.2">
      <c r="A255" s="875"/>
      <c r="B255" s="835"/>
      <c r="E255" s="851"/>
      <c r="F255" s="503" t="s">
        <v>666</v>
      </c>
      <c r="G255" s="877"/>
      <c r="H255" s="877"/>
      <c r="I255" s="877"/>
      <c r="J255" s="877"/>
      <c r="K255" s="877"/>
      <c r="L255" s="877"/>
      <c r="M255" s="877"/>
      <c r="O255" s="843" t="str">
        <f>IF(AND(E255="",E257="",E259="",E261="",E263="",E265="",E267=""),"",IF(AND(T255=E255,T257=E257,T259=E259,T261=E261,T263=E263,T265=E265,T267=E267),1,0))</f>
        <v/>
      </c>
      <c r="P255" s="2" t="s">
        <v>463</v>
      </c>
      <c r="Q255" s="837">
        <v>1</v>
      </c>
      <c r="T255" s="851" t="str">
        <f>IF(AND(W247&gt;=0,W249&lt;0),"x","")</f>
        <v/>
      </c>
    </row>
    <row r="256" spans="1:23" s="503" customFormat="1" ht="3.95" customHeight="1" x14ac:dyDescent="0.2">
      <c r="A256" s="875"/>
      <c r="B256" s="835"/>
      <c r="E256" s="887"/>
      <c r="G256" s="877"/>
      <c r="H256" s="877"/>
      <c r="I256" s="877"/>
      <c r="J256" s="877"/>
      <c r="K256" s="877"/>
      <c r="L256" s="877"/>
      <c r="M256" s="877"/>
      <c r="O256" s="836"/>
      <c r="Q256" s="837"/>
      <c r="T256" s="887"/>
    </row>
    <row r="257" spans="1:40" s="503" customFormat="1" ht="12.75" customHeight="1" x14ac:dyDescent="0.2">
      <c r="A257" s="875"/>
      <c r="B257" s="835"/>
      <c r="E257" s="851"/>
      <c r="F257" s="503" t="s">
        <v>667</v>
      </c>
      <c r="G257" s="877"/>
      <c r="H257" s="877"/>
      <c r="I257" s="877"/>
      <c r="J257" s="877"/>
      <c r="K257" s="877"/>
      <c r="L257" s="877"/>
      <c r="M257" s="877"/>
      <c r="O257" s="836"/>
      <c r="Q257" s="837"/>
      <c r="T257" s="851" t="str">
        <f>IF(AND(W247&lt;0,W249&gt;=0),"x","")</f>
        <v/>
      </c>
    </row>
    <row r="258" spans="1:40" s="503" customFormat="1" ht="3.95" customHeight="1" x14ac:dyDescent="0.2">
      <c r="A258" s="875"/>
      <c r="B258" s="835"/>
      <c r="E258" s="887"/>
      <c r="G258" s="877"/>
      <c r="H258" s="877"/>
      <c r="I258" s="877"/>
      <c r="J258" s="877"/>
      <c r="K258" s="877"/>
      <c r="L258" s="877"/>
      <c r="M258" s="877"/>
      <c r="O258" s="836"/>
      <c r="Q258" s="837"/>
      <c r="T258" s="887"/>
    </row>
    <row r="259" spans="1:40" s="503" customFormat="1" ht="12.75" customHeight="1" x14ac:dyDescent="0.2">
      <c r="A259" s="875"/>
      <c r="B259" s="835"/>
      <c r="E259" s="851"/>
      <c r="F259" s="503" t="s">
        <v>668</v>
      </c>
      <c r="G259" s="877"/>
      <c r="H259" s="877"/>
      <c r="I259" s="877"/>
      <c r="J259" s="877"/>
      <c r="K259" s="877"/>
      <c r="L259" s="877"/>
      <c r="M259" s="877"/>
      <c r="O259" s="836"/>
      <c r="Q259" s="837"/>
      <c r="T259" s="851" t="str">
        <f>IF(AND(W247&lt;0,W249&lt;0),"x","")</f>
        <v/>
      </c>
    </row>
    <row r="260" spans="1:40" s="503" customFormat="1" ht="3.95" customHeight="1" x14ac:dyDescent="0.2">
      <c r="A260" s="875"/>
      <c r="B260" s="835"/>
      <c r="E260" s="887"/>
      <c r="G260" s="877"/>
      <c r="H260" s="877"/>
      <c r="I260" s="877"/>
      <c r="J260" s="877"/>
      <c r="K260" s="877"/>
      <c r="L260" s="877"/>
      <c r="M260" s="877"/>
      <c r="O260" s="836"/>
      <c r="Q260" s="837"/>
      <c r="T260" s="887"/>
    </row>
    <row r="261" spans="1:40" s="503" customFormat="1" ht="12.75" customHeight="1" x14ac:dyDescent="0.2">
      <c r="A261" s="875"/>
      <c r="B261" s="835"/>
      <c r="E261" s="851"/>
      <c r="F261" s="503" t="s">
        <v>669</v>
      </c>
      <c r="G261" s="877"/>
      <c r="H261" s="877"/>
      <c r="I261" s="877"/>
      <c r="J261" s="877"/>
      <c r="K261" s="877"/>
      <c r="L261" s="877"/>
      <c r="M261" s="877"/>
      <c r="O261" s="836"/>
      <c r="Q261" s="837"/>
      <c r="T261" s="851" t="str">
        <f>IF(AND(W247&gt;=0,W249&gt;=0,W241&lt;0),"x","")</f>
        <v>x</v>
      </c>
    </row>
    <row r="262" spans="1:40" s="503" customFormat="1" ht="3.95" customHeight="1" x14ac:dyDescent="0.2">
      <c r="A262" s="875"/>
      <c r="B262" s="835"/>
      <c r="E262" s="887"/>
      <c r="G262" s="877"/>
      <c r="H262" s="877"/>
      <c r="I262" s="877"/>
      <c r="J262" s="877"/>
      <c r="K262" s="877"/>
      <c r="L262" s="877"/>
      <c r="M262" s="877"/>
      <c r="O262" s="836"/>
      <c r="Q262" s="837"/>
      <c r="T262" s="887"/>
    </row>
    <row r="263" spans="1:40" s="503" customFormat="1" ht="12.75" customHeight="1" x14ac:dyDescent="0.2">
      <c r="A263" s="875"/>
      <c r="B263" s="835"/>
      <c r="E263" s="851"/>
      <c r="F263" s="503" t="s">
        <v>670</v>
      </c>
      <c r="G263" s="877"/>
      <c r="H263" s="877"/>
      <c r="I263" s="877"/>
      <c r="J263" s="877"/>
      <c r="K263" s="877"/>
      <c r="L263" s="877"/>
      <c r="M263" s="877"/>
      <c r="O263" s="836"/>
      <c r="Q263" s="837"/>
      <c r="T263" s="851" t="str">
        <f>IF(AND(W247&gt;=0,W249&gt;=0,W243&lt;0),"x","")</f>
        <v/>
      </c>
    </row>
    <row r="264" spans="1:40" s="503" customFormat="1" ht="3.95" customHeight="1" x14ac:dyDescent="0.2">
      <c r="A264" s="875"/>
      <c r="B264" s="835"/>
      <c r="E264" s="887"/>
      <c r="G264" s="877"/>
      <c r="H264" s="877"/>
      <c r="I264" s="877"/>
      <c r="J264" s="877"/>
      <c r="K264" s="877"/>
      <c r="L264" s="877"/>
      <c r="M264" s="877"/>
      <c r="O264" s="836"/>
      <c r="Q264" s="837"/>
      <c r="T264" s="887"/>
    </row>
    <row r="265" spans="1:40" s="503" customFormat="1" ht="12.75" customHeight="1" x14ac:dyDescent="0.2">
      <c r="A265" s="875"/>
      <c r="B265" s="835"/>
      <c r="E265" s="851"/>
      <c r="F265" s="1138" t="s">
        <v>671</v>
      </c>
      <c r="G265" s="1138"/>
      <c r="H265" s="1138"/>
      <c r="I265" s="1138"/>
      <c r="J265" s="1138"/>
      <c r="K265" s="1138"/>
      <c r="L265" s="1138"/>
      <c r="M265" s="1138"/>
      <c r="O265" s="836"/>
      <c r="Q265" s="837"/>
      <c r="T265" s="851" t="str">
        <f>IF(AND(W241&gt;=0,W243&gt;=0,W247&gt;=0,W249&gt;=0,W249&gt;W247),"x","")</f>
        <v/>
      </c>
    </row>
    <row r="266" spans="1:40" s="503" customFormat="1" ht="15" customHeight="1" x14ac:dyDescent="0.2">
      <c r="A266" s="875"/>
      <c r="B266" s="835"/>
      <c r="E266" s="887"/>
      <c r="F266" s="1138"/>
      <c r="G266" s="1138"/>
      <c r="H266" s="1138"/>
      <c r="I266" s="1138"/>
      <c r="J266" s="1138"/>
      <c r="K266" s="1138"/>
      <c r="L266" s="1138"/>
      <c r="M266" s="1138"/>
      <c r="O266" s="836"/>
      <c r="Q266" s="837"/>
      <c r="T266" s="887"/>
    </row>
    <row r="267" spans="1:40" s="503" customFormat="1" ht="12.75" customHeight="1" x14ac:dyDescent="0.2">
      <c r="A267" s="875"/>
      <c r="B267" s="835"/>
      <c r="E267" s="851"/>
      <c r="F267" s="1138" t="s">
        <v>672</v>
      </c>
      <c r="G267" s="1138"/>
      <c r="H267" s="1138"/>
      <c r="I267" s="1138"/>
      <c r="J267" s="1138"/>
      <c r="K267" s="1138"/>
      <c r="L267" s="1138"/>
      <c r="M267" s="1138"/>
      <c r="O267" s="836"/>
      <c r="Q267" s="837"/>
      <c r="T267" s="851" t="str">
        <f>IF(AND(W241&gt;=0,W243&gt;=0,W247&gt;=0,W249&gt;=0,W249&lt;W247),"x","")</f>
        <v/>
      </c>
    </row>
    <row r="268" spans="1:40" s="503" customFormat="1" ht="15" customHeight="1" x14ac:dyDescent="0.2">
      <c r="A268" s="875"/>
      <c r="B268" s="835"/>
      <c r="E268" s="887"/>
      <c r="F268" s="1138"/>
      <c r="G268" s="1138"/>
      <c r="H268" s="1138"/>
      <c r="I268" s="1138"/>
      <c r="J268" s="1138"/>
      <c r="K268" s="1138"/>
      <c r="L268" s="1138"/>
      <c r="M268" s="1138"/>
      <c r="O268" s="836"/>
      <c r="Q268" s="837"/>
      <c r="T268" s="878"/>
    </row>
    <row r="269" spans="1:40" ht="12.75" customHeight="1" x14ac:dyDescent="0.2">
      <c r="A269" s="838"/>
      <c r="B269" s="835"/>
      <c r="C269" s="896"/>
      <c r="D269" s="2"/>
      <c r="E269" s="853"/>
      <c r="F269" s="852"/>
      <c r="G269" s="852"/>
      <c r="H269" s="852"/>
      <c r="I269" s="852"/>
      <c r="J269" s="852"/>
      <c r="K269" s="852"/>
      <c r="L269" s="852"/>
      <c r="M269" s="852"/>
      <c r="N269" s="2"/>
      <c r="O269" s="836"/>
      <c r="P269" s="837"/>
      <c r="Q269" s="837"/>
      <c r="R269" s="2"/>
      <c r="S269" s="2"/>
      <c r="T269" s="2"/>
      <c r="U269" s="2"/>
      <c r="V269" s="2"/>
      <c r="W269" s="2"/>
      <c r="X269" s="2"/>
      <c r="Y269" s="2"/>
      <c r="Z269" s="2"/>
      <c r="AA269" s="2"/>
    </row>
    <row r="270" spans="1:40" x14ac:dyDescent="0.2">
      <c r="A270" s="1098"/>
      <c r="B270" s="835"/>
      <c r="C270" s="889" t="s">
        <v>518</v>
      </c>
      <c r="D270" s="706" t="s">
        <v>502</v>
      </c>
      <c r="E270" s="707"/>
      <c r="F270" s="890"/>
      <c r="G270" s="890"/>
      <c r="H270" s="890"/>
      <c r="I270" s="890"/>
      <c r="J270" s="890"/>
      <c r="K270" s="890"/>
      <c r="L270" s="890"/>
      <c r="M270" s="890"/>
      <c r="N270" s="891"/>
      <c r="O270" s="890"/>
      <c r="P270" s="892"/>
      <c r="Q270" s="890"/>
      <c r="R270" s="890"/>
      <c r="S270" s="890"/>
      <c r="T270" s="893"/>
      <c r="U270" s="890"/>
      <c r="V270" s="890"/>
      <c r="W270" s="1148"/>
      <c r="X270" s="1148"/>
      <c r="Y270" s="890"/>
      <c r="Z270" s="890"/>
      <c r="AA270" s="888"/>
      <c r="AB270" s="888"/>
      <c r="AC270" s="888"/>
      <c r="AD270" s="888"/>
      <c r="AE270" s="888"/>
      <c r="AF270" s="888"/>
      <c r="AG270" s="888"/>
      <c r="AH270" s="888"/>
      <c r="AI270" s="888"/>
      <c r="AJ270" s="888"/>
      <c r="AK270" s="894"/>
      <c r="AL270" s="894"/>
      <c r="AM270" s="895"/>
      <c r="AN270" s="895"/>
    </row>
    <row r="271" spans="1:40" x14ac:dyDescent="0.2">
      <c r="A271" s="1098"/>
      <c r="B271" s="835"/>
      <c r="C271" s="896"/>
      <c r="D271" s="896" t="s">
        <v>459</v>
      </c>
      <c r="E271" s="707" t="s">
        <v>503</v>
      </c>
      <c r="F271" s="890"/>
      <c r="G271" s="890"/>
      <c r="H271" s="890"/>
      <c r="I271" s="890"/>
      <c r="J271" s="890"/>
      <c r="K271" s="890"/>
      <c r="L271" s="890"/>
      <c r="M271" s="890"/>
      <c r="N271" s="891"/>
      <c r="O271" s="890"/>
      <c r="P271" s="892"/>
      <c r="Q271" s="890"/>
      <c r="R271" s="890"/>
      <c r="S271" s="890"/>
      <c r="T271" s="893"/>
      <c r="U271" s="890"/>
      <c r="V271" s="890"/>
      <c r="W271" s="1148"/>
      <c r="X271" s="1148"/>
      <c r="Y271" s="890"/>
      <c r="Z271" s="890"/>
      <c r="AA271" s="888"/>
      <c r="AB271" s="888"/>
      <c r="AC271" s="888"/>
      <c r="AD271" s="888"/>
      <c r="AE271" s="888"/>
      <c r="AF271" s="888"/>
      <c r="AG271" s="888"/>
      <c r="AH271" s="888"/>
      <c r="AI271" s="888"/>
      <c r="AJ271" s="888"/>
      <c r="AK271" s="894"/>
      <c r="AL271" s="894"/>
      <c r="AM271" s="895"/>
      <c r="AN271" s="895"/>
    </row>
    <row r="272" spans="1:40" x14ac:dyDescent="0.2">
      <c r="A272" s="1099"/>
      <c r="B272" s="835"/>
      <c r="C272" s="896"/>
      <c r="D272" s="898"/>
      <c r="E272" s="896"/>
      <c r="F272" s="899" t="s">
        <v>504</v>
      </c>
      <c r="G272" s="897"/>
      <c r="H272" s="900">
        <f>IF([1]PlanI!P23="","",[1]PlanI!P23)</f>
        <v>78242</v>
      </c>
      <c r="I272" s="900"/>
      <c r="J272" s="900"/>
      <c r="K272" s="898"/>
      <c r="L272" s="898"/>
      <c r="M272" s="898"/>
      <c r="N272" s="898"/>
      <c r="O272" s="892"/>
      <c r="P272" s="892"/>
      <c r="Q272" s="892"/>
      <c r="R272" s="890"/>
      <c r="S272" s="890"/>
      <c r="T272" s="896"/>
      <c r="U272" s="896" t="s">
        <v>504</v>
      </c>
      <c r="V272" s="896"/>
      <c r="W272" s="900">
        <f>IF(H272="","",H272)</f>
        <v>78242</v>
      </c>
      <c r="X272" s="896"/>
      <c r="Y272" s="896"/>
      <c r="Z272" s="896"/>
      <c r="AA272" s="897"/>
      <c r="AB272" s="897"/>
      <c r="AC272" s="897"/>
      <c r="AD272" s="897"/>
      <c r="AE272" s="897"/>
      <c r="AF272" s="900">
        <f>IF(H272="","",H272)</f>
        <v>78242</v>
      </c>
      <c r="AG272" s="897"/>
      <c r="AH272" s="897"/>
      <c r="AI272" s="897"/>
      <c r="AJ272" s="897"/>
      <c r="AK272" s="897"/>
      <c r="AL272" s="897"/>
      <c r="AM272" s="897"/>
      <c r="AN272" s="897"/>
    </row>
    <row r="273" spans="1:40" x14ac:dyDescent="0.2">
      <c r="A273" s="1099"/>
      <c r="B273" s="835"/>
      <c r="C273" s="896"/>
      <c r="D273" s="898"/>
      <c r="E273" s="896"/>
      <c r="F273" s="899" t="s">
        <v>505</v>
      </c>
      <c r="G273" s="897"/>
      <c r="H273" s="1120">
        <f>IF([1]PlanI!S23="","",[1]PlanI!S23)</f>
        <v>4.2500000000000003E-2</v>
      </c>
      <c r="I273" s="901"/>
      <c r="J273" s="901"/>
      <c r="K273" s="896"/>
      <c r="L273" s="896"/>
      <c r="M273" s="898"/>
      <c r="N273" s="898"/>
      <c r="O273" s="892"/>
      <c r="P273" s="892"/>
      <c r="Q273" s="892"/>
      <c r="R273" s="890"/>
      <c r="S273" s="890"/>
      <c r="T273" s="896"/>
      <c r="U273" s="896" t="s">
        <v>505</v>
      </c>
      <c r="V273" s="896"/>
      <c r="W273" s="901">
        <f>IF(H273="","",H273)</f>
        <v>4.2500000000000003E-2</v>
      </c>
      <c r="X273" s="896"/>
      <c r="Y273" s="896"/>
      <c r="Z273" s="896"/>
      <c r="AA273" s="897"/>
      <c r="AB273" s="897"/>
      <c r="AC273" s="897"/>
      <c r="AD273" s="897"/>
      <c r="AE273" s="897"/>
      <c r="AF273" s="901">
        <f>IF(H273="","",H273)</f>
        <v>4.2500000000000003E-2</v>
      </c>
      <c r="AG273" s="897"/>
      <c r="AH273" s="897"/>
      <c r="AI273" s="897"/>
      <c r="AJ273" s="897"/>
      <c r="AK273" s="897"/>
      <c r="AL273" s="897"/>
      <c r="AM273" s="897"/>
      <c r="AN273" s="897"/>
    </row>
    <row r="274" spans="1:40" x14ac:dyDescent="0.2">
      <c r="A274" s="1099"/>
      <c r="B274" s="835"/>
      <c r="C274" s="896"/>
      <c r="D274" s="898"/>
      <c r="E274" s="896"/>
      <c r="F274" s="899" t="s">
        <v>506</v>
      </c>
      <c r="G274" s="897"/>
      <c r="H274" s="902">
        <f>IF([1]PlanI!U23="","",[1]PlanI!U23)</f>
        <v>15</v>
      </c>
      <c r="I274" s="902"/>
      <c r="J274" s="902"/>
      <c r="K274" s="898"/>
      <c r="L274" s="898"/>
      <c r="M274" s="898"/>
      <c r="N274" s="898"/>
      <c r="O274" s="892"/>
      <c r="P274" s="892"/>
      <c r="Q274" s="892"/>
      <c r="R274" s="890"/>
      <c r="S274" s="890"/>
      <c r="T274" s="896"/>
      <c r="U274" s="896" t="s">
        <v>506</v>
      </c>
      <c r="V274" s="896"/>
      <c r="W274" s="902">
        <f>IF(H274="","",H274)</f>
        <v>15</v>
      </c>
      <c r="X274" s="896"/>
      <c r="Y274" s="896"/>
      <c r="Z274" s="896"/>
      <c r="AA274" s="897"/>
      <c r="AB274" s="897"/>
      <c r="AC274" s="897"/>
      <c r="AD274" s="897"/>
      <c r="AE274" s="897"/>
      <c r="AF274" s="1119">
        <f>IF(H274="","",H274)</f>
        <v>15</v>
      </c>
      <c r="AG274" s="897"/>
      <c r="AH274" s="897"/>
      <c r="AI274" s="897"/>
      <c r="AJ274" s="897"/>
      <c r="AK274" s="897"/>
      <c r="AL274" s="897"/>
      <c r="AM274" s="897"/>
      <c r="AN274" s="897"/>
    </row>
    <row r="275" spans="1:40" x14ac:dyDescent="0.2">
      <c r="A275" s="1098"/>
      <c r="B275" s="835"/>
      <c r="C275" s="888"/>
      <c r="D275" s="903"/>
      <c r="E275" s="903"/>
      <c r="F275" s="904"/>
      <c r="G275" s="905"/>
      <c r="H275" s="899"/>
      <c r="I275" s="905"/>
      <c r="J275" s="905"/>
      <c r="K275" s="890"/>
      <c r="L275" s="890"/>
      <c r="M275" s="890"/>
      <c r="N275" s="891"/>
      <c r="O275" s="1147"/>
      <c r="P275" s="1147"/>
      <c r="Q275" s="906"/>
      <c r="R275" s="907"/>
      <c r="S275" s="908"/>
      <c r="T275" s="890"/>
      <c r="U275" s="890"/>
      <c r="V275" s="890"/>
      <c r="W275" s="899"/>
      <c r="X275" s="890"/>
      <c r="Y275" s="890"/>
      <c r="Z275" s="890"/>
      <c r="AA275" s="888"/>
      <c r="AB275" s="888"/>
      <c r="AC275" s="888"/>
      <c r="AD275" s="888"/>
      <c r="AE275" s="888"/>
      <c r="AF275" s="899"/>
      <c r="AG275" s="888"/>
      <c r="AH275" s="888"/>
      <c r="AI275" s="888"/>
      <c r="AJ275" s="888"/>
      <c r="AK275" s="894"/>
      <c r="AL275" s="894"/>
      <c r="AM275" s="895"/>
      <c r="AN275" s="895"/>
    </row>
    <row r="276" spans="1:40" ht="12.75" customHeight="1" x14ac:dyDescent="0.2">
      <c r="A276" s="1099"/>
      <c r="B276" s="835"/>
      <c r="C276" s="896"/>
      <c r="D276" s="897"/>
      <c r="E276" s="899" t="s">
        <v>507</v>
      </c>
      <c r="F276" s="897"/>
      <c r="G276" s="896"/>
      <c r="H276" s="909"/>
      <c r="I276" s="910"/>
      <c r="J276" s="1149" t="s">
        <v>508</v>
      </c>
      <c r="K276" s="1149"/>
      <c r="L276" s="1149"/>
      <c r="M276" s="1149"/>
      <c r="N276" s="1149"/>
      <c r="O276" s="911" t="str">
        <f>IF(H276="","",IF(H276=V276,1,0))</f>
        <v/>
      </c>
      <c r="P276" s="912" t="s">
        <v>463</v>
      </c>
      <c r="Q276" s="895">
        <v>1</v>
      </c>
      <c r="R276" s="890"/>
      <c r="S276" s="896"/>
      <c r="T276" s="896"/>
      <c r="U276" s="896"/>
      <c r="V276" s="909">
        <f>IF(Annuitätentabelle!Z8="","",Annuitätentabelle!Z8)</f>
        <v>9.1520425322923232E-2</v>
      </c>
      <c r="W276" s="896"/>
      <c r="X276" s="896"/>
      <c r="Y276" s="896"/>
      <c r="Z276" s="897"/>
      <c r="AA276" s="897"/>
      <c r="AB276" s="897"/>
      <c r="AC276" s="897"/>
      <c r="AD276" s="897"/>
      <c r="AE276" s="909">
        <f>IF(Annuitätentabelle!Z8="","",Annuitätentabelle!Z8)</f>
        <v>9.1520425322923232E-2</v>
      </c>
      <c r="AF276" s="897"/>
      <c r="AG276" s="897"/>
      <c r="AH276" s="897"/>
      <c r="AI276" s="897"/>
      <c r="AJ276" s="897"/>
      <c r="AK276" s="897" t="str">
        <f>IF($S276&gt;$H$274+1,"",IF(G276=IF($S276&gt;$H$274,V$329,V276),1,""))</f>
        <v/>
      </c>
      <c r="AL276" s="897"/>
      <c r="AM276" s="897"/>
    </row>
    <row r="277" spans="1:40" ht="15" customHeight="1" x14ac:dyDescent="0.2">
      <c r="A277" s="1098"/>
      <c r="B277" s="835"/>
      <c r="C277" s="888"/>
      <c r="D277" s="890"/>
      <c r="E277" s="890"/>
      <c r="F277" s="890"/>
      <c r="G277" s="890"/>
      <c r="H277" s="890"/>
      <c r="I277" s="890"/>
      <c r="J277" s="1149"/>
      <c r="K277" s="1149"/>
      <c r="L277" s="1149"/>
      <c r="M277" s="1149"/>
      <c r="N277" s="1149"/>
      <c r="O277" s="913"/>
      <c r="P277" s="914"/>
      <c r="Q277" s="914"/>
      <c r="R277" s="914"/>
      <c r="S277" s="890"/>
      <c r="T277" s="890"/>
      <c r="U277" s="890"/>
      <c r="V277" s="890"/>
      <c r="W277" s="890"/>
      <c r="X277" s="890"/>
      <c r="Y277" s="890"/>
      <c r="Z277" s="888"/>
      <c r="AA277" s="888"/>
      <c r="AB277" s="888"/>
      <c r="AC277" s="888"/>
      <c r="AD277" s="888"/>
      <c r="AE277" s="888"/>
      <c r="AF277" s="888"/>
      <c r="AG277" s="888"/>
      <c r="AH277" s="888"/>
      <c r="AI277" s="888"/>
      <c r="AJ277" s="895"/>
      <c r="AK277" s="895"/>
      <c r="AL277" s="895"/>
      <c r="AM277" s="895"/>
    </row>
    <row r="278" spans="1:40" s="255" customFormat="1" ht="16.5" customHeight="1" x14ac:dyDescent="0.2">
      <c r="A278" s="1100"/>
      <c r="B278" s="835"/>
      <c r="C278" s="915"/>
      <c r="D278" s="1146" t="s">
        <v>277</v>
      </c>
      <c r="E278" s="1146"/>
      <c r="F278" s="916" t="s">
        <v>509</v>
      </c>
      <c r="G278" s="1145" t="s">
        <v>510</v>
      </c>
      <c r="H278" s="1145"/>
      <c r="I278" s="1145"/>
      <c r="J278" s="1145"/>
      <c r="K278" s="916" t="s">
        <v>511</v>
      </c>
      <c r="L278" s="1145" t="s">
        <v>512</v>
      </c>
      <c r="M278" s="1145"/>
      <c r="N278" s="898"/>
      <c r="P278" s="917"/>
      <c r="R278" s="898"/>
      <c r="S278" s="922"/>
      <c r="T278" s="922" t="s">
        <v>277</v>
      </c>
      <c r="U278" s="922" t="s">
        <v>509</v>
      </c>
      <c r="V278" s="922" t="s">
        <v>510</v>
      </c>
      <c r="W278" s="922" t="s">
        <v>511</v>
      </c>
      <c r="X278" s="922" t="s">
        <v>512</v>
      </c>
      <c r="Y278" s="896"/>
      <c r="Z278" s="922" t="s">
        <v>277</v>
      </c>
      <c r="AA278" s="888"/>
      <c r="AB278" s="922"/>
      <c r="AC278" s="922" t="s">
        <v>277</v>
      </c>
      <c r="AD278" s="922" t="s">
        <v>509</v>
      </c>
      <c r="AE278" s="922" t="s">
        <v>510</v>
      </c>
      <c r="AF278" s="922" t="s">
        <v>511</v>
      </c>
      <c r="AG278" s="922" t="s">
        <v>512</v>
      </c>
      <c r="AH278" s="922">
        <v>7</v>
      </c>
      <c r="AI278" s="915"/>
      <c r="AJ278" s="923" t="s">
        <v>513</v>
      </c>
      <c r="AK278" s="923"/>
      <c r="AL278" s="923"/>
      <c r="AM278" s="923"/>
    </row>
    <row r="279" spans="1:40" ht="15" customHeight="1" x14ac:dyDescent="0.2">
      <c r="A279" s="1098"/>
      <c r="B279" s="835"/>
      <c r="C279" s="888"/>
      <c r="D279" s="1140">
        <v>1</v>
      </c>
      <c r="E279" s="1141"/>
      <c r="F279" s="918"/>
      <c r="G279" s="1142"/>
      <c r="H279" s="1143"/>
      <c r="I279" s="1143"/>
      <c r="J279" s="1144"/>
      <c r="K279" s="918"/>
      <c r="L279" s="1142"/>
      <c r="M279" s="1144"/>
      <c r="N279" s="919"/>
      <c r="O279" s="920" t="str">
        <f t="shared" ref="O279:O310" si="0">IF(SUM(F279:M279)=0,"",IF(S279&gt;$H$274+1,"",SUM(AJ279:AM279)))</f>
        <v/>
      </c>
      <c r="P279" s="921" t="s">
        <v>463</v>
      </c>
      <c r="Q279" s="892">
        <f t="shared" ref="Q279:Q310" si="1">IF(S279&gt;$H$274+1,"",1)</f>
        <v>1</v>
      </c>
      <c r="R279" s="892"/>
      <c r="S279" s="924">
        <v>1</v>
      </c>
      <c r="T279" s="925">
        <f>IF(S279&gt;H274,"",S279)</f>
        <v>1</v>
      </c>
      <c r="U279" s="926">
        <f>W272</f>
        <v>78242</v>
      </c>
      <c r="V279" s="926">
        <f t="shared" ref="V279:V310" si="2">IF($D279="Bilanz",V$329,AE279)</f>
        <v>3325.2850000000003</v>
      </c>
      <c r="W279" s="926">
        <f t="shared" ref="W279:W310" si="3">IF($D279="Bilanz",W$329,AF279)</f>
        <v>3835.4561181161594</v>
      </c>
      <c r="X279" s="926">
        <f t="shared" ref="X279:X310" si="4">IF($D279="Bilanz",X$329,AG279)</f>
        <v>7160.7411181161597</v>
      </c>
      <c r="Y279" s="888"/>
      <c r="Z279" s="925">
        <f t="shared" ref="Z279:Z310" si="5">IF(AB279&gt;$AF$274+1,"",IF(AB279&gt;$AF$274,$AC$329,AB279))</f>
        <v>1</v>
      </c>
      <c r="AA279" s="888"/>
      <c r="AB279" s="924">
        <v>1</v>
      </c>
      <c r="AC279" s="925">
        <f>IF(AB279&gt;AF274,"",AB279)</f>
        <v>1</v>
      </c>
      <c r="AD279" s="926">
        <f>$AF$272</f>
        <v>78242</v>
      </c>
      <c r="AE279" s="926">
        <f>IF(AB279&gt;AF274,"",$AD279*$AF$273)</f>
        <v>3325.2850000000003</v>
      </c>
      <c r="AF279" s="926">
        <f>IF(AB279&gt;AF274,"",AG279-AE279)</f>
        <v>3835.4561181161594</v>
      </c>
      <c r="AG279" s="926">
        <f>IF(AB279&gt;AF274,"",$AF$272*$AE$276)</f>
        <v>7160.7411181161597</v>
      </c>
      <c r="AH279" s="926">
        <f>$AF$272</f>
        <v>78242</v>
      </c>
      <c r="AI279" s="888"/>
      <c r="AJ279" s="927">
        <f>IF(AND($D279="Bilanz",$F279=""),0,IF($D279="","",IF(ROUND(F279,Korrektur!R1)=ROUND(U279,Korrektur!R1),0.25,0)))</f>
        <v>0</v>
      </c>
      <c r="AK279" s="927">
        <f>IF($D279="","",IF(ROUND(G279,Korrektur!R1)=ROUND(V279,Korrektur!R1),0.25,0))</f>
        <v>0</v>
      </c>
      <c r="AL279" s="927">
        <f>IF($D279="","",IF(ROUND(K279,Korrektur!R1)=ROUND(W279,Korrektur!R1),0.25,0))</f>
        <v>0</v>
      </c>
      <c r="AM279" s="927">
        <f>IF($D279="","",IF(ROUND(L279,Korrektur!R1)=ROUND(X279,Korrektur!R1),0.25,0))</f>
        <v>0</v>
      </c>
    </row>
    <row r="280" spans="1:40" x14ac:dyDescent="0.2">
      <c r="A280" s="1098"/>
      <c r="B280" s="835"/>
      <c r="C280" s="888"/>
      <c r="D280" s="1140">
        <f t="shared" ref="D280:D311" si="6">Z280</f>
        <v>2</v>
      </c>
      <c r="E280" s="1141"/>
      <c r="F280" s="918"/>
      <c r="G280" s="1142"/>
      <c r="H280" s="1143"/>
      <c r="I280" s="1143"/>
      <c r="J280" s="1144"/>
      <c r="K280" s="918"/>
      <c r="L280" s="1142"/>
      <c r="M280" s="1144"/>
      <c r="N280" s="898"/>
      <c r="O280" s="920" t="str">
        <f t="shared" si="0"/>
        <v/>
      </c>
      <c r="P280" s="921" t="s">
        <v>463</v>
      </c>
      <c r="Q280" s="892">
        <f t="shared" si="1"/>
        <v>1</v>
      </c>
      <c r="R280" s="892"/>
      <c r="S280" s="924">
        <v>2</v>
      </c>
      <c r="T280" s="925">
        <f>IF(S280&gt;H274,"",S280)</f>
        <v>2</v>
      </c>
      <c r="U280" s="926">
        <f t="shared" ref="U280:U311" si="7">IF($D280="Bilanz",U$329,AD280)</f>
        <v>74406.543881883845</v>
      </c>
      <c r="V280" s="926">
        <f t="shared" si="2"/>
        <v>3162.2781149800635</v>
      </c>
      <c r="W280" s="926">
        <f t="shared" si="3"/>
        <v>3998.4630031360962</v>
      </c>
      <c r="X280" s="926">
        <f t="shared" si="4"/>
        <v>7160.7411181161597</v>
      </c>
      <c r="Y280" s="888"/>
      <c r="Z280" s="925">
        <f t="shared" si="5"/>
        <v>2</v>
      </c>
      <c r="AA280" s="888"/>
      <c r="AB280" s="924">
        <v>2</v>
      </c>
      <c r="AC280" s="925">
        <f>IF(AB280&gt;AF274,"",AB280)</f>
        <v>2</v>
      </c>
      <c r="AD280" s="926">
        <f t="shared" ref="AD280:AD311" si="8">IF(AB280&gt;$AF$274,"",$AD279-$AF279)</f>
        <v>74406.543881883845</v>
      </c>
      <c r="AE280" s="926">
        <f>IF(AB280&gt;AF274,"",$AD280*$AF$273)</f>
        <v>3162.2781149800635</v>
      </c>
      <c r="AF280" s="926">
        <f>IF(AB280&gt;AF274,"",AG280-AE280)</f>
        <v>3998.4630031360962</v>
      </c>
      <c r="AG280" s="926">
        <f>IF(AB280&gt;AF274,"",$AF$272*$AE$276)</f>
        <v>7160.7411181161597</v>
      </c>
      <c r="AH280" s="926">
        <f t="shared" ref="AH280:AH311" si="9">IF(TYPE($AD279-$AF279)=16,"",$AD279-$AF279)</f>
        <v>74406.543881883845</v>
      </c>
      <c r="AI280" s="888"/>
      <c r="AJ280" s="927">
        <f>IF(AND($D280="Bilanz",$F280=""),0,IF($D280="","",IF(ROUND(F280,Korrektur!R1)=ROUND(U280,Korrektur!R1),0.25,0)))</f>
        <v>0</v>
      </c>
      <c r="AK280" s="927">
        <f>IF($D280="","",IF(ROUND(G280,Korrektur!R1)=ROUND(V280,Korrektur!R1),0.25,0))</f>
        <v>0</v>
      </c>
      <c r="AL280" s="927">
        <f>IF($D280="","",IF(ROUND(K280,Korrektur!R1)=ROUND(W280,Korrektur!R1),0.25,0))</f>
        <v>0</v>
      </c>
      <c r="AM280" s="927">
        <f>IF($D280="","",IF(ROUND(L280,Korrektur!R1)=ROUND(X280,Korrektur!R1),0.25,0))</f>
        <v>0</v>
      </c>
    </row>
    <row r="281" spans="1:40" x14ac:dyDescent="0.2">
      <c r="A281" s="1098"/>
      <c r="B281" s="835"/>
      <c r="C281" s="888"/>
      <c r="D281" s="1140">
        <f t="shared" si="6"/>
        <v>3</v>
      </c>
      <c r="E281" s="1141"/>
      <c r="F281" s="918"/>
      <c r="G281" s="1142"/>
      <c r="H281" s="1143"/>
      <c r="I281" s="1143"/>
      <c r="J281" s="1144"/>
      <c r="K281" s="918"/>
      <c r="L281" s="1142"/>
      <c r="M281" s="1144"/>
      <c r="N281" s="898"/>
      <c r="O281" s="920" t="str">
        <f t="shared" si="0"/>
        <v/>
      </c>
      <c r="P281" s="921" t="str">
        <f t="shared" ref="P281:P312" si="10">IF(S281&gt;$H$274+1,"","/")</f>
        <v>/</v>
      </c>
      <c r="Q281" s="892">
        <f t="shared" si="1"/>
        <v>1</v>
      </c>
      <c r="R281" s="892"/>
      <c r="S281" s="924">
        <v>3</v>
      </c>
      <c r="T281" s="925">
        <f>IF(S281&gt;H274,"",S281)</f>
        <v>3</v>
      </c>
      <c r="U281" s="926">
        <f t="shared" si="7"/>
        <v>70408.080878747744</v>
      </c>
      <c r="V281" s="926">
        <f t="shared" si="2"/>
        <v>2992.3434373467794</v>
      </c>
      <c r="W281" s="926">
        <f t="shared" si="3"/>
        <v>4168.3976807693798</v>
      </c>
      <c r="X281" s="926">
        <f t="shared" si="4"/>
        <v>7160.7411181161597</v>
      </c>
      <c r="Y281" s="888"/>
      <c r="Z281" s="925">
        <f t="shared" si="5"/>
        <v>3</v>
      </c>
      <c r="AA281" s="888"/>
      <c r="AB281" s="924">
        <v>3</v>
      </c>
      <c r="AC281" s="925">
        <f>IF(AB281&gt;AF274,"",AB281)</f>
        <v>3</v>
      </c>
      <c r="AD281" s="926">
        <f t="shared" si="8"/>
        <v>70408.080878747744</v>
      </c>
      <c r="AE281" s="926">
        <f>IF(AB281&gt;AF274,"",$AD281*$AF$273)</f>
        <v>2992.3434373467794</v>
      </c>
      <c r="AF281" s="926">
        <f>IF(AB281&gt;AF274,"",AG281-AE281)</f>
        <v>4168.3976807693798</v>
      </c>
      <c r="AG281" s="926">
        <f>IF(AB281&gt;AF274,"",$AF$272*$AE$276)</f>
        <v>7160.7411181161597</v>
      </c>
      <c r="AH281" s="926">
        <f t="shared" si="9"/>
        <v>70408.080878747744</v>
      </c>
      <c r="AI281" s="888"/>
      <c r="AJ281" s="927">
        <f>IF(AND($D281="Bilanz",$F281=""),0,IF($D281="","",IF(ROUND(F281,Korrektur!R1)=ROUND(U281,Korrektur!R1),0.25,0)))</f>
        <v>0</v>
      </c>
      <c r="AK281" s="927">
        <f>IF($D281="","",IF(ROUND(G281,Korrektur!R1)=ROUND(V281,Korrektur!R1),0.25,0))</f>
        <v>0</v>
      </c>
      <c r="AL281" s="927">
        <f>IF($D281="","",IF(ROUND(K281,Korrektur!R1)=ROUND(W281,Korrektur!R1),0.25,0))</f>
        <v>0</v>
      </c>
      <c r="AM281" s="927">
        <f>IF($D281="","",IF(ROUND(L281,Korrektur!R1)=ROUND(X281,Korrektur!R1),0.25,0))</f>
        <v>0</v>
      </c>
    </row>
    <row r="282" spans="1:40" x14ac:dyDescent="0.2">
      <c r="A282" s="1098"/>
      <c r="B282" s="835"/>
      <c r="C282" s="888"/>
      <c r="D282" s="1140">
        <f t="shared" si="6"/>
        <v>4</v>
      </c>
      <c r="E282" s="1141"/>
      <c r="F282" s="918"/>
      <c r="G282" s="1142"/>
      <c r="H282" s="1143"/>
      <c r="I282" s="1143"/>
      <c r="J282" s="1144"/>
      <c r="K282" s="918"/>
      <c r="L282" s="1142"/>
      <c r="M282" s="1144"/>
      <c r="N282" s="891"/>
      <c r="O282" s="920" t="str">
        <f t="shared" si="0"/>
        <v/>
      </c>
      <c r="P282" s="921" t="str">
        <f t="shared" si="10"/>
        <v>/</v>
      </c>
      <c r="Q282" s="892">
        <f t="shared" si="1"/>
        <v>1</v>
      </c>
      <c r="R282" s="892"/>
      <c r="S282" s="924">
        <v>4</v>
      </c>
      <c r="T282" s="925">
        <f>IF(S282&gt;H274,"",S282)</f>
        <v>4</v>
      </c>
      <c r="U282" s="926">
        <f t="shared" si="7"/>
        <v>66239.68319797836</v>
      </c>
      <c r="V282" s="926">
        <f t="shared" si="2"/>
        <v>2815.1865359140807</v>
      </c>
      <c r="W282" s="926">
        <f t="shared" si="3"/>
        <v>4345.5545822020795</v>
      </c>
      <c r="X282" s="926">
        <f t="shared" si="4"/>
        <v>7160.7411181161597</v>
      </c>
      <c r="Y282" s="888"/>
      <c r="Z282" s="925">
        <f t="shared" si="5"/>
        <v>4</v>
      </c>
      <c r="AA282" s="888"/>
      <c r="AB282" s="924">
        <v>4</v>
      </c>
      <c r="AC282" s="925">
        <f>IF(AB282&gt;AF274,"",AB282)</f>
        <v>4</v>
      </c>
      <c r="AD282" s="926">
        <f t="shared" si="8"/>
        <v>66239.68319797836</v>
      </c>
      <c r="AE282" s="926">
        <f>IF(AB282&gt;AF274,"",$AD282*$AF$273)</f>
        <v>2815.1865359140807</v>
      </c>
      <c r="AF282" s="926">
        <f>IF(AB282&gt;AF274,"",AG282-AE282)</f>
        <v>4345.5545822020795</v>
      </c>
      <c r="AG282" s="926">
        <f>IF(AB282&gt;AF274,"",$AF$272*$AE$276)</f>
        <v>7160.7411181161597</v>
      </c>
      <c r="AH282" s="926">
        <f t="shared" si="9"/>
        <v>66239.68319797836</v>
      </c>
      <c r="AI282" s="888"/>
      <c r="AJ282" s="927">
        <f>IF(AND($D282="Bilanz",$F282=""),0,IF($D282="","",IF(ROUND(F282,Korrektur!R1)=ROUND(U282,Korrektur!R1),0.25,0)))</f>
        <v>0</v>
      </c>
      <c r="AK282" s="927">
        <f>IF($D282="","",IF(ROUND(G282,Korrektur!R1)=ROUND(V282,Korrektur!R1),0.25,0))</f>
        <v>0</v>
      </c>
      <c r="AL282" s="927">
        <f>IF($D282="","",IF(ROUND(K282,Korrektur!R1)=ROUND(W282,Korrektur!R1),0.25,0))</f>
        <v>0</v>
      </c>
      <c r="AM282" s="927">
        <f>IF($D282="","",IF(ROUND(L282,Korrektur!R1)=ROUND(X282,Korrektur!R1),0.25,0))</f>
        <v>0</v>
      </c>
    </row>
    <row r="283" spans="1:40" x14ac:dyDescent="0.2">
      <c r="A283" s="1098"/>
      <c r="B283" s="835"/>
      <c r="C283" s="888"/>
      <c r="D283" s="1140">
        <f t="shared" si="6"/>
        <v>5</v>
      </c>
      <c r="E283" s="1141"/>
      <c r="F283" s="918"/>
      <c r="G283" s="1142"/>
      <c r="H283" s="1143"/>
      <c r="I283" s="1143"/>
      <c r="J283" s="1144"/>
      <c r="K283" s="918"/>
      <c r="L283" s="1142"/>
      <c r="M283" s="1144"/>
      <c r="N283" s="891"/>
      <c r="O283" s="920" t="str">
        <f t="shared" si="0"/>
        <v/>
      </c>
      <c r="P283" s="921" t="str">
        <f t="shared" si="10"/>
        <v>/</v>
      </c>
      <c r="Q283" s="892">
        <f t="shared" si="1"/>
        <v>1</v>
      </c>
      <c r="R283" s="892"/>
      <c r="S283" s="924">
        <v>5</v>
      </c>
      <c r="T283" s="925">
        <f>IF(S283&gt;H274,"",S283)</f>
        <v>5</v>
      </c>
      <c r="U283" s="926">
        <f t="shared" si="7"/>
        <v>61894.128615776281</v>
      </c>
      <c r="V283" s="926">
        <f t="shared" si="2"/>
        <v>2630.500466170492</v>
      </c>
      <c r="W283" s="926">
        <f t="shared" si="3"/>
        <v>4530.2406519456672</v>
      </c>
      <c r="X283" s="926">
        <f t="shared" si="4"/>
        <v>7160.7411181161597</v>
      </c>
      <c r="Y283" s="888"/>
      <c r="Z283" s="925">
        <f t="shared" si="5"/>
        <v>5</v>
      </c>
      <c r="AA283" s="888"/>
      <c r="AB283" s="924">
        <v>5</v>
      </c>
      <c r="AC283" s="925">
        <f>IF(AB283&gt;AF274,"",AB283)</f>
        <v>5</v>
      </c>
      <c r="AD283" s="926">
        <f t="shared" si="8"/>
        <v>61894.128615776281</v>
      </c>
      <c r="AE283" s="926">
        <f>IF(AB283&gt;AF274,"",$AD283*$AF$273)</f>
        <v>2630.500466170492</v>
      </c>
      <c r="AF283" s="926">
        <f>IF(AB283&gt;AF274,"",AG283-AE283)</f>
        <v>4530.2406519456672</v>
      </c>
      <c r="AG283" s="926">
        <f>IF(AB283&gt;AF274,"",$AF$272*$AE$276)</f>
        <v>7160.7411181161597</v>
      </c>
      <c r="AH283" s="926">
        <f t="shared" si="9"/>
        <v>61894.128615776281</v>
      </c>
      <c r="AI283" s="888"/>
      <c r="AJ283" s="927">
        <f>IF(AND($D283="Bilanz",$F283=""),0,IF($D283="","",IF(ROUND(F283,Korrektur!R1)=ROUND(U283,Korrektur!R1),0.25,0)))</f>
        <v>0</v>
      </c>
      <c r="AK283" s="927">
        <f>IF($D283="","",IF(ROUND(G283,Korrektur!R1)=ROUND(V283,Korrektur!R1),0.25,0))</f>
        <v>0</v>
      </c>
      <c r="AL283" s="927">
        <f>IF($D283="","",IF(ROUND(K283,Korrektur!R1)=ROUND(W283,Korrektur!R1),0.25,0))</f>
        <v>0</v>
      </c>
      <c r="AM283" s="927">
        <f>IF($D283="","",IF(ROUND(L283,Korrektur!R1)=ROUND(X283,Korrektur!R1),0.25,0))</f>
        <v>0</v>
      </c>
    </row>
    <row r="284" spans="1:40" x14ac:dyDescent="0.2">
      <c r="A284" s="1098"/>
      <c r="B284" s="835"/>
      <c r="C284" s="888"/>
      <c r="D284" s="1140">
        <f t="shared" si="6"/>
        <v>6</v>
      </c>
      <c r="E284" s="1141"/>
      <c r="F284" s="918"/>
      <c r="G284" s="1142"/>
      <c r="H284" s="1143"/>
      <c r="I284" s="1143"/>
      <c r="J284" s="1144"/>
      <c r="K284" s="918"/>
      <c r="L284" s="1142"/>
      <c r="M284" s="1144"/>
      <c r="N284" s="891"/>
      <c r="O284" s="920" t="str">
        <f t="shared" si="0"/>
        <v/>
      </c>
      <c r="P284" s="921" t="str">
        <f t="shared" si="10"/>
        <v>/</v>
      </c>
      <c r="Q284" s="892">
        <f t="shared" si="1"/>
        <v>1</v>
      </c>
      <c r="R284" s="892"/>
      <c r="S284" s="924">
        <v>6</v>
      </c>
      <c r="T284" s="925">
        <f>IF(S284&gt;H274,"",S284)</f>
        <v>6</v>
      </c>
      <c r="U284" s="926">
        <f t="shared" si="7"/>
        <v>57363.88796383061</v>
      </c>
      <c r="V284" s="926">
        <f t="shared" si="2"/>
        <v>2437.9652384628012</v>
      </c>
      <c r="W284" s="926">
        <f t="shared" si="3"/>
        <v>4722.7758796533581</v>
      </c>
      <c r="X284" s="926">
        <f t="shared" si="4"/>
        <v>7160.7411181161597</v>
      </c>
      <c r="Y284" s="888"/>
      <c r="Z284" s="925">
        <f t="shared" si="5"/>
        <v>6</v>
      </c>
      <c r="AA284" s="888"/>
      <c r="AB284" s="924">
        <v>6</v>
      </c>
      <c r="AC284" s="925">
        <f>IF(AB284&gt;AF274,"",AB284)</f>
        <v>6</v>
      </c>
      <c r="AD284" s="926">
        <f t="shared" si="8"/>
        <v>57363.88796383061</v>
      </c>
      <c r="AE284" s="926">
        <f>IF(AB284&gt;AF274,"",$AD284*$AF$273)</f>
        <v>2437.9652384628012</v>
      </c>
      <c r="AF284" s="926">
        <f>IF(AB284&gt;AF274,"",AG284-AE284)</f>
        <v>4722.7758796533581</v>
      </c>
      <c r="AG284" s="926">
        <f>IF(AB284&gt;AF274,"",$AF$272*$AE$276)</f>
        <v>7160.7411181161597</v>
      </c>
      <c r="AH284" s="926">
        <f t="shared" si="9"/>
        <v>57363.88796383061</v>
      </c>
      <c r="AI284" s="888"/>
      <c r="AJ284" s="927">
        <f>IF(AND($D284="Bilanz",$F284=""),0,IF($D284="","",IF(ROUND(F284,Korrektur!R1)=ROUND(U284,Korrektur!R1),0.25,0)))</f>
        <v>0</v>
      </c>
      <c r="AK284" s="927">
        <f>IF($D284="","",IF(ROUND(G284,Korrektur!R1)=ROUND(V284,Korrektur!R1),0.25,0))</f>
        <v>0</v>
      </c>
      <c r="AL284" s="927">
        <f>IF($D284="","",IF(ROUND(K284,Korrektur!R1)=ROUND(W284,Korrektur!R1),0.25,0))</f>
        <v>0</v>
      </c>
      <c r="AM284" s="927">
        <f>IF($D284="","",IF(ROUND(L284,Korrektur!R1)=ROUND(X284,Korrektur!R1),0.25,0))</f>
        <v>0</v>
      </c>
    </row>
    <row r="285" spans="1:40" x14ac:dyDescent="0.2">
      <c r="A285" s="1098"/>
      <c r="B285" s="835"/>
      <c r="C285" s="888"/>
      <c r="D285" s="1140">
        <f t="shared" si="6"/>
        <v>7</v>
      </c>
      <c r="E285" s="1141"/>
      <c r="F285" s="918"/>
      <c r="G285" s="1142"/>
      <c r="H285" s="1143"/>
      <c r="I285" s="1143"/>
      <c r="J285" s="1144"/>
      <c r="K285" s="918"/>
      <c r="L285" s="1142"/>
      <c r="M285" s="1144"/>
      <c r="N285" s="891"/>
      <c r="O285" s="920" t="str">
        <f t="shared" si="0"/>
        <v/>
      </c>
      <c r="P285" s="921" t="str">
        <f t="shared" si="10"/>
        <v>/</v>
      </c>
      <c r="Q285" s="892">
        <f t="shared" si="1"/>
        <v>1</v>
      </c>
      <c r="R285" s="892"/>
      <c r="S285" s="924">
        <v>7</v>
      </c>
      <c r="T285" s="925">
        <f>IF(S285&gt;H274,"",S285)</f>
        <v>7</v>
      </c>
      <c r="U285" s="926">
        <f t="shared" si="7"/>
        <v>52641.11208417725</v>
      </c>
      <c r="V285" s="926">
        <f t="shared" si="2"/>
        <v>2237.2472635775334</v>
      </c>
      <c r="W285" s="926">
        <f t="shared" si="3"/>
        <v>4923.4938545386267</v>
      </c>
      <c r="X285" s="926">
        <f t="shared" si="4"/>
        <v>7160.7411181161597</v>
      </c>
      <c r="Y285" s="888"/>
      <c r="Z285" s="925">
        <f t="shared" si="5"/>
        <v>7</v>
      </c>
      <c r="AA285" s="888"/>
      <c r="AB285" s="924">
        <v>7</v>
      </c>
      <c r="AC285" s="925">
        <f>IF(AB285&gt;AF274,"",AB285)</f>
        <v>7</v>
      </c>
      <c r="AD285" s="926">
        <f t="shared" si="8"/>
        <v>52641.11208417725</v>
      </c>
      <c r="AE285" s="926">
        <f>IF(AB285&gt;AF274,"",$AD285*$AF$273)</f>
        <v>2237.2472635775334</v>
      </c>
      <c r="AF285" s="926">
        <f>IF(AB285&gt;AF274,"",AG285-AE285)</f>
        <v>4923.4938545386267</v>
      </c>
      <c r="AG285" s="926">
        <f>IF(AB285&gt;AF274,"",$AF$272*$AE$276)</f>
        <v>7160.7411181161597</v>
      </c>
      <c r="AH285" s="926">
        <f t="shared" si="9"/>
        <v>52641.11208417725</v>
      </c>
      <c r="AI285" s="888"/>
      <c r="AJ285" s="927">
        <f>IF(AND($D285="Bilanz",$F285=""),0,IF($D285="","",IF(ROUND(F285,Korrektur!R1)=ROUND(U285,Korrektur!R1),0.25,0)))</f>
        <v>0</v>
      </c>
      <c r="AK285" s="927">
        <f>IF($D285="","",IF(ROUND(G285,Korrektur!R1)=ROUND(V285,Korrektur!R1),0.25,0))</f>
        <v>0</v>
      </c>
      <c r="AL285" s="927">
        <f>IF($D285="","",IF(ROUND(K285,Korrektur!R1)=ROUND(W285,Korrektur!R1),0.25,0))</f>
        <v>0</v>
      </c>
      <c r="AM285" s="927">
        <f>IF($D285="","",IF(ROUND(L285,Korrektur!R1)=ROUND(X285,Korrektur!R1),0.25,0))</f>
        <v>0</v>
      </c>
    </row>
    <row r="286" spans="1:40" x14ac:dyDescent="0.2">
      <c r="A286" s="1098"/>
      <c r="B286" s="835"/>
      <c r="C286" s="888"/>
      <c r="D286" s="1140">
        <f t="shared" si="6"/>
        <v>8</v>
      </c>
      <c r="E286" s="1141"/>
      <c r="F286" s="918"/>
      <c r="G286" s="1142"/>
      <c r="H286" s="1143"/>
      <c r="I286" s="1143"/>
      <c r="J286" s="1144"/>
      <c r="K286" s="918"/>
      <c r="L286" s="1142"/>
      <c r="M286" s="1144"/>
      <c r="N286" s="891"/>
      <c r="O286" s="920" t="str">
        <f t="shared" si="0"/>
        <v/>
      </c>
      <c r="P286" s="921" t="str">
        <f t="shared" si="10"/>
        <v>/</v>
      </c>
      <c r="Q286" s="892">
        <f t="shared" si="1"/>
        <v>1</v>
      </c>
      <c r="R286" s="892"/>
      <c r="S286" s="924">
        <v>8</v>
      </c>
      <c r="T286" s="925">
        <f>IF(S286&gt;H274,"",S286)</f>
        <v>8</v>
      </c>
      <c r="U286" s="926">
        <f t="shared" si="7"/>
        <v>47717.618229638625</v>
      </c>
      <c r="V286" s="926">
        <f t="shared" si="2"/>
        <v>2027.9987747596417</v>
      </c>
      <c r="W286" s="926">
        <f t="shared" si="3"/>
        <v>5132.7423433565182</v>
      </c>
      <c r="X286" s="926">
        <f t="shared" si="4"/>
        <v>7160.7411181161597</v>
      </c>
      <c r="Y286" s="888"/>
      <c r="Z286" s="925">
        <f t="shared" si="5"/>
        <v>8</v>
      </c>
      <c r="AA286" s="888"/>
      <c r="AB286" s="924">
        <v>8</v>
      </c>
      <c r="AC286" s="925">
        <f>IF(AB286&gt;AF274,"",AB286)</f>
        <v>8</v>
      </c>
      <c r="AD286" s="926">
        <f t="shared" si="8"/>
        <v>47717.618229638625</v>
      </c>
      <c r="AE286" s="926">
        <f>IF(AB286&gt;AF274,"",$AD286*$AF$273)</f>
        <v>2027.9987747596417</v>
      </c>
      <c r="AF286" s="926">
        <f>IF(AB286&gt;AF274,"",AG286-AE286)</f>
        <v>5132.7423433565182</v>
      </c>
      <c r="AG286" s="926">
        <f>IF(AB286&gt;AF274,"",$AF$272*$AE$276)</f>
        <v>7160.7411181161597</v>
      </c>
      <c r="AH286" s="926">
        <f t="shared" si="9"/>
        <v>47717.618229638625</v>
      </c>
      <c r="AI286" s="888"/>
      <c r="AJ286" s="927">
        <f>IF(AND($D286="Bilanz",$F286=""),0,IF($D286="","",IF(ROUND(F286,Korrektur!R1)=ROUND(U286,Korrektur!R1),0.25,0)))</f>
        <v>0</v>
      </c>
      <c r="AK286" s="927">
        <f>IF($D286="","",IF(ROUND(G286,Korrektur!R1)=ROUND(V286,Korrektur!R1),0.25,0))</f>
        <v>0</v>
      </c>
      <c r="AL286" s="927">
        <f>IF($D286="","",IF(ROUND(K286,Korrektur!R1)=ROUND(W286,Korrektur!R1),0.25,0))</f>
        <v>0</v>
      </c>
      <c r="AM286" s="927">
        <f>IF($D286="","",IF(ROUND(L286,Korrektur!R1)=ROUND(X286,Korrektur!R1),0.25,0))</f>
        <v>0</v>
      </c>
    </row>
    <row r="287" spans="1:40" x14ac:dyDescent="0.2">
      <c r="A287" s="1098"/>
      <c r="B287" s="835"/>
      <c r="C287" s="888"/>
      <c r="D287" s="1140">
        <f t="shared" si="6"/>
        <v>9</v>
      </c>
      <c r="E287" s="1141"/>
      <c r="F287" s="918"/>
      <c r="G287" s="1142"/>
      <c r="H287" s="1143"/>
      <c r="I287" s="1143"/>
      <c r="J287" s="1144"/>
      <c r="K287" s="918"/>
      <c r="L287" s="1142"/>
      <c r="M287" s="1144"/>
      <c r="N287" s="891"/>
      <c r="O287" s="920" t="str">
        <f t="shared" si="0"/>
        <v/>
      </c>
      <c r="P287" s="921" t="str">
        <f t="shared" si="10"/>
        <v>/</v>
      </c>
      <c r="Q287" s="892">
        <f t="shared" si="1"/>
        <v>1</v>
      </c>
      <c r="R287" s="892"/>
      <c r="S287" s="924">
        <v>9</v>
      </c>
      <c r="T287" s="925">
        <f>IF(S287&gt;H274,"",S287)</f>
        <v>9</v>
      </c>
      <c r="U287" s="926">
        <f t="shared" si="7"/>
        <v>42584.875886282105</v>
      </c>
      <c r="V287" s="926">
        <f t="shared" si="2"/>
        <v>1809.8572251669896</v>
      </c>
      <c r="W287" s="926">
        <f t="shared" si="3"/>
        <v>5350.8838929491703</v>
      </c>
      <c r="X287" s="926">
        <f t="shared" si="4"/>
        <v>7160.7411181161597</v>
      </c>
      <c r="Y287" s="888"/>
      <c r="Z287" s="925">
        <f t="shared" si="5"/>
        <v>9</v>
      </c>
      <c r="AA287" s="888"/>
      <c r="AB287" s="924">
        <v>9</v>
      </c>
      <c r="AC287" s="925">
        <f>IF(AB287&gt;AF274,"",AB287)</f>
        <v>9</v>
      </c>
      <c r="AD287" s="926">
        <f t="shared" si="8"/>
        <v>42584.875886282105</v>
      </c>
      <c r="AE287" s="926">
        <f>IF(AB287&gt;AF274,"",$AD287*$AF$273)</f>
        <v>1809.8572251669896</v>
      </c>
      <c r="AF287" s="926">
        <f>IF(AB287&gt;AF274,"",AG287-AE287)</f>
        <v>5350.8838929491703</v>
      </c>
      <c r="AG287" s="926">
        <f>IF(AB287&gt;AF274,"",$AF$272*$AE$276)</f>
        <v>7160.7411181161597</v>
      </c>
      <c r="AH287" s="926">
        <f t="shared" si="9"/>
        <v>42584.875886282105</v>
      </c>
      <c r="AI287" s="888"/>
      <c r="AJ287" s="927">
        <f>IF(AND($D287="Bilanz",$F287=""),0,IF($D287="","",IF(ROUND(F287,Korrektur!R1)=ROUND(U287,Korrektur!R1),0.25,0)))</f>
        <v>0</v>
      </c>
      <c r="AK287" s="927">
        <f>IF($D287="","",IF(ROUND(G287,Korrektur!R1)=ROUND(V287,Korrektur!R1),0.25,0))</f>
        <v>0</v>
      </c>
      <c r="AL287" s="927">
        <f>IF($D287="","",IF(ROUND(K287,Korrektur!R1)=ROUND(W287,Korrektur!R1),0.25,0))</f>
        <v>0</v>
      </c>
      <c r="AM287" s="927">
        <f>IF($D287="","",IF(ROUND(L287,Korrektur!R1)=ROUND(X287,Korrektur!R1),0.25,0))</f>
        <v>0</v>
      </c>
    </row>
    <row r="288" spans="1:40" x14ac:dyDescent="0.2">
      <c r="A288" s="1098"/>
      <c r="B288" s="835"/>
      <c r="C288" s="888"/>
      <c r="D288" s="1140">
        <f t="shared" si="6"/>
        <v>10</v>
      </c>
      <c r="E288" s="1141"/>
      <c r="F288" s="918"/>
      <c r="G288" s="1142"/>
      <c r="H288" s="1143"/>
      <c r="I288" s="1143"/>
      <c r="J288" s="1144"/>
      <c r="K288" s="918"/>
      <c r="L288" s="1142"/>
      <c r="M288" s="1144"/>
      <c r="N288" s="891"/>
      <c r="O288" s="920" t="str">
        <f t="shared" si="0"/>
        <v/>
      </c>
      <c r="P288" s="921" t="str">
        <f t="shared" si="10"/>
        <v>/</v>
      </c>
      <c r="Q288" s="892">
        <f t="shared" si="1"/>
        <v>1</v>
      </c>
      <c r="R288" s="892"/>
      <c r="S288" s="924">
        <v>10</v>
      </c>
      <c r="T288" s="925">
        <f>IF(S288&gt;H274,"",S288)</f>
        <v>10</v>
      </c>
      <c r="U288" s="926">
        <f t="shared" si="7"/>
        <v>37233.991993332937</v>
      </c>
      <c r="V288" s="926">
        <f t="shared" si="2"/>
        <v>1582.44465971665</v>
      </c>
      <c r="W288" s="926">
        <f t="shared" si="3"/>
        <v>5578.2964583995099</v>
      </c>
      <c r="X288" s="926">
        <f t="shared" si="4"/>
        <v>7160.7411181161597</v>
      </c>
      <c r="Y288" s="888"/>
      <c r="Z288" s="925">
        <f t="shared" si="5"/>
        <v>10</v>
      </c>
      <c r="AA288" s="888"/>
      <c r="AB288" s="924">
        <v>10</v>
      </c>
      <c r="AC288" s="925">
        <f>IF(AB288&gt;AF274,"",AB288)</f>
        <v>10</v>
      </c>
      <c r="AD288" s="926">
        <f t="shared" si="8"/>
        <v>37233.991993332937</v>
      </c>
      <c r="AE288" s="926">
        <f>IF(AB288&gt;AF274,"",$AD288*$AF$273)</f>
        <v>1582.44465971665</v>
      </c>
      <c r="AF288" s="926">
        <f>IF(AB288&gt;AF274,"",AG288-AE288)</f>
        <v>5578.2964583995099</v>
      </c>
      <c r="AG288" s="926">
        <f>IF(AB288&gt;AF274,"",$AF$272*$AE$276)</f>
        <v>7160.7411181161597</v>
      </c>
      <c r="AH288" s="926">
        <f t="shared" si="9"/>
        <v>37233.991993332937</v>
      </c>
      <c r="AI288" s="888"/>
      <c r="AJ288" s="927">
        <f>IF(AND($D288="Bilanz",$F288=""),0,IF($D288="","",IF(ROUND(F288,Korrektur!R1)=ROUND(U288,Korrektur!R1),0.25,0)))</f>
        <v>0</v>
      </c>
      <c r="AK288" s="927">
        <f>IF($D288="","",IF(ROUND(G288,Korrektur!R1)=ROUND(V288,Korrektur!R1),0.25,0))</f>
        <v>0</v>
      </c>
      <c r="AL288" s="927">
        <f>IF($D288="","",IF(ROUND(K288,Korrektur!R1)=ROUND(W288,Korrektur!R1),0.25,0))</f>
        <v>0</v>
      </c>
      <c r="AM288" s="927">
        <f>IF($D288="","",IF(ROUND(L288,Korrektur!R1)=ROUND(X288,Korrektur!R1),0.25,0))</f>
        <v>0</v>
      </c>
    </row>
    <row r="289" spans="1:39" x14ac:dyDescent="0.2">
      <c r="A289" s="1098"/>
      <c r="B289" s="835"/>
      <c r="C289" s="888"/>
      <c r="D289" s="1140">
        <f t="shared" si="6"/>
        <v>11</v>
      </c>
      <c r="E289" s="1141"/>
      <c r="F289" s="918"/>
      <c r="G289" s="1142"/>
      <c r="H289" s="1143"/>
      <c r="I289" s="1143"/>
      <c r="J289" s="1144"/>
      <c r="K289" s="918"/>
      <c r="L289" s="1142"/>
      <c r="M289" s="1144"/>
      <c r="N289" s="891"/>
      <c r="O289" s="920" t="str">
        <f t="shared" si="0"/>
        <v/>
      </c>
      <c r="P289" s="921" t="str">
        <f t="shared" si="10"/>
        <v>/</v>
      </c>
      <c r="Q289" s="892">
        <f t="shared" si="1"/>
        <v>1</v>
      </c>
      <c r="R289" s="892"/>
      <c r="S289" s="924">
        <v>11</v>
      </c>
      <c r="T289" s="925">
        <f>IF(S289&gt;H274,"",S289)</f>
        <v>11</v>
      </c>
      <c r="U289" s="926">
        <f t="shared" si="7"/>
        <v>31655.695534933428</v>
      </c>
      <c r="V289" s="926">
        <f t="shared" si="2"/>
        <v>1345.3670602346708</v>
      </c>
      <c r="W289" s="926">
        <f t="shared" si="3"/>
        <v>5815.3740578814886</v>
      </c>
      <c r="X289" s="926">
        <f t="shared" si="4"/>
        <v>7160.7411181161597</v>
      </c>
      <c r="Y289" s="888"/>
      <c r="Z289" s="925">
        <f t="shared" si="5"/>
        <v>11</v>
      </c>
      <c r="AA289" s="888"/>
      <c r="AB289" s="924">
        <v>11</v>
      </c>
      <c r="AC289" s="925">
        <f>IF(AB289&gt;AF274,"",AB289)</f>
        <v>11</v>
      </c>
      <c r="AD289" s="926">
        <f t="shared" si="8"/>
        <v>31655.695534933428</v>
      </c>
      <c r="AE289" s="926">
        <f>IF(AB289&gt;AF274,"",$AD289*$AF$273)</f>
        <v>1345.3670602346708</v>
      </c>
      <c r="AF289" s="926">
        <f>IF(AB289&gt;AF274,"",AG289-AE289)</f>
        <v>5815.3740578814886</v>
      </c>
      <c r="AG289" s="926">
        <f>IF(AB289&gt;AF274,"",$AF$272*$AE$276)</f>
        <v>7160.7411181161597</v>
      </c>
      <c r="AH289" s="926">
        <f t="shared" si="9"/>
        <v>31655.695534933428</v>
      </c>
      <c r="AI289" s="888"/>
      <c r="AJ289" s="927">
        <f>IF(AND($D289="Bilanz",$F289=""),0,IF($D289="","",IF(ROUND(F289,Korrektur!R1)=ROUND(U289,Korrektur!R1),0.25,0)))</f>
        <v>0</v>
      </c>
      <c r="AK289" s="927">
        <f>IF($D289="","",IF(ROUND(G289,Korrektur!R1)=ROUND(V289,Korrektur!R1),0.25,0))</f>
        <v>0</v>
      </c>
      <c r="AL289" s="927">
        <f>IF($D289="","",IF(ROUND(K289,Korrektur!R1)=ROUND(W289,Korrektur!R1),0.25,0))</f>
        <v>0</v>
      </c>
      <c r="AM289" s="927">
        <f>IF($D289="","",IF(ROUND(L289,Korrektur!R1)=ROUND(X289,Korrektur!R1),0.25,0))</f>
        <v>0</v>
      </c>
    </row>
    <row r="290" spans="1:39" x14ac:dyDescent="0.2">
      <c r="A290" s="1098"/>
      <c r="B290" s="835"/>
      <c r="C290" s="888"/>
      <c r="D290" s="1140">
        <f t="shared" si="6"/>
        <v>12</v>
      </c>
      <c r="E290" s="1141"/>
      <c r="F290" s="918"/>
      <c r="G290" s="1142"/>
      <c r="H290" s="1143"/>
      <c r="I290" s="1143"/>
      <c r="J290" s="1144"/>
      <c r="K290" s="918"/>
      <c r="L290" s="1142"/>
      <c r="M290" s="1144"/>
      <c r="N290" s="891"/>
      <c r="O290" s="920" t="str">
        <f t="shared" si="0"/>
        <v/>
      </c>
      <c r="P290" s="921" t="str">
        <f t="shared" si="10"/>
        <v>/</v>
      </c>
      <c r="Q290" s="892">
        <f t="shared" si="1"/>
        <v>1</v>
      </c>
      <c r="R290" s="892"/>
      <c r="S290" s="924">
        <v>12</v>
      </c>
      <c r="T290" s="925">
        <f>IF(S290&gt;H274,"",S290)</f>
        <v>12</v>
      </c>
      <c r="U290" s="926">
        <f t="shared" si="7"/>
        <v>25840.321477051941</v>
      </c>
      <c r="V290" s="926">
        <f t="shared" si="2"/>
        <v>1098.2136627747075</v>
      </c>
      <c r="W290" s="926">
        <f t="shared" si="3"/>
        <v>6062.527455341452</v>
      </c>
      <c r="X290" s="926">
        <f t="shared" si="4"/>
        <v>7160.7411181161597</v>
      </c>
      <c r="Y290" s="888"/>
      <c r="Z290" s="925">
        <f t="shared" si="5"/>
        <v>12</v>
      </c>
      <c r="AA290" s="888"/>
      <c r="AB290" s="924">
        <v>12</v>
      </c>
      <c r="AC290" s="925">
        <f>IF(AB290&gt;AF274,"",AB290)</f>
        <v>12</v>
      </c>
      <c r="AD290" s="926">
        <f t="shared" si="8"/>
        <v>25840.321477051941</v>
      </c>
      <c r="AE290" s="926">
        <f>IF(AB290&gt;AF274,"",$AD290*$AF$273)</f>
        <v>1098.2136627747075</v>
      </c>
      <c r="AF290" s="926">
        <f>IF(AB290&gt;AF274,"",AG290-AE290)</f>
        <v>6062.527455341452</v>
      </c>
      <c r="AG290" s="926">
        <f>IF(AB290&gt;AF274,"",$AF$272*$AE$276)</f>
        <v>7160.7411181161597</v>
      </c>
      <c r="AH290" s="926">
        <f t="shared" si="9"/>
        <v>25840.321477051941</v>
      </c>
      <c r="AI290" s="888"/>
      <c r="AJ290" s="927">
        <f>IF(AND($D290="Bilanz",$F290=""),0,IF($D290="","",IF(ROUND(F290,Korrektur!R1)=ROUND(U290,Korrektur!R1),0.25,0)))</f>
        <v>0</v>
      </c>
      <c r="AK290" s="927">
        <f>IF($D290="","",IF(ROUND(G290,Korrektur!R1)=ROUND(V290,Korrektur!R1),0.25,0))</f>
        <v>0</v>
      </c>
      <c r="AL290" s="927">
        <f>IF($D290="","",IF(ROUND(K290,Korrektur!R1)=ROUND(W290,Korrektur!R1),0.25,0))</f>
        <v>0</v>
      </c>
      <c r="AM290" s="927">
        <f>IF($D290="","",IF(ROUND(L290,Korrektur!R1)=ROUND(X290,Korrektur!R1),0.25,0))</f>
        <v>0</v>
      </c>
    </row>
    <row r="291" spans="1:39" x14ac:dyDescent="0.2">
      <c r="A291" s="1098"/>
      <c r="B291" s="835"/>
      <c r="C291" s="888"/>
      <c r="D291" s="1140">
        <f t="shared" si="6"/>
        <v>13</v>
      </c>
      <c r="E291" s="1141"/>
      <c r="F291" s="918"/>
      <c r="G291" s="1142"/>
      <c r="H291" s="1143"/>
      <c r="I291" s="1143"/>
      <c r="J291" s="1144"/>
      <c r="K291" s="918"/>
      <c r="L291" s="1142"/>
      <c r="M291" s="1144"/>
      <c r="N291" s="891"/>
      <c r="O291" s="920" t="str">
        <f t="shared" si="0"/>
        <v/>
      </c>
      <c r="P291" s="921" t="str">
        <f t="shared" si="10"/>
        <v>/</v>
      </c>
      <c r="Q291" s="892">
        <f t="shared" si="1"/>
        <v>1</v>
      </c>
      <c r="R291" s="892"/>
      <c r="S291" s="924">
        <v>13</v>
      </c>
      <c r="T291" s="925">
        <f>IF(S291&gt;H274,"",S291)</f>
        <v>13</v>
      </c>
      <c r="U291" s="926">
        <f t="shared" si="7"/>
        <v>19777.794021710488</v>
      </c>
      <c r="V291" s="926">
        <f t="shared" si="2"/>
        <v>840.55624592269578</v>
      </c>
      <c r="W291" s="926">
        <f t="shared" si="3"/>
        <v>6320.1848721934639</v>
      </c>
      <c r="X291" s="926">
        <f t="shared" si="4"/>
        <v>7160.7411181161597</v>
      </c>
      <c r="Y291" s="888"/>
      <c r="Z291" s="925">
        <f t="shared" si="5"/>
        <v>13</v>
      </c>
      <c r="AA291" s="888"/>
      <c r="AB291" s="924">
        <v>13</v>
      </c>
      <c r="AC291" s="925">
        <f>IF(AB291&gt;AF274,"",AB291)</f>
        <v>13</v>
      </c>
      <c r="AD291" s="926">
        <f t="shared" si="8"/>
        <v>19777.794021710488</v>
      </c>
      <c r="AE291" s="926">
        <f>IF(AB291&gt;AF274,"",$AD291*$AF$273)</f>
        <v>840.55624592269578</v>
      </c>
      <c r="AF291" s="926">
        <f>IF(AB291&gt;AF274,"",AG291-AE291)</f>
        <v>6320.1848721934639</v>
      </c>
      <c r="AG291" s="926">
        <f>IF(AB291&gt;AF274,"",$AF$272*$AE$276)</f>
        <v>7160.7411181161597</v>
      </c>
      <c r="AH291" s="926">
        <f t="shared" si="9"/>
        <v>19777.794021710488</v>
      </c>
      <c r="AI291" s="888"/>
      <c r="AJ291" s="927">
        <f>IF(AND($D291="Bilanz",$F291=""),0,IF($D291="","",IF(ROUND(F291,Korrektur!R1)=ROUND(U291,Korrektur!R1),0.25,0)))</f>
        <v>0</v>
      </c>
      <c r="AK291" s="927">
        <f>IF($D291="","",IF(ROUND(G291,Korrektur!R1)=ROUND(V291,Korrektur!R1),0.25,0))</f>
        <v>0</v>
      </c>
      <c r="AL291" s="927">
        <f>IF($D291="","",IF(ROUND(K291,Korrektur!R1)=ROUND(W291,Korrektur!R1),0.25,0))</f>
        <v>0</v>
      </c>
      <c r="AM291" s="927">
        <f>IF($D291="","",IF(ROUND(L291,Korrektur!R1)=ROUND(X291,Korrektur!R1),0.25,0))</f>
        <v>0</v>
      </c>
    </row>
    <row r="292" spans="1:39" x14ac:dyDescent="0.2">
      <c r="A292" s="1098"/>
      <c r="B292" s="835"/>
      <c r="C292" s="888"/>
      <c r="D292" s="1140">
        <f t="shared" si="6"/>
        <v>14</v>
      </c>
      <c r="E292" s="1141"/>
      <c r="F292" s="918"/>
      <c r="G292" s="1142"/>
      <c r="H292" s="1143"/>
      <c r="I292" s="1143"/>
      <c r="J292" s="1144"/>
      <c r="K292" s="918"/>
      <c r="L292" s="1142"/>
      <c r="M292" s="1144"/>
      <c r="N292" s="891"/>
      <c r="O292" s="920" t="str">
        <f t="shared" si="0"/>
        <v/>
      </c>
      <c r="P292" s="921" t="str">
        <f t="shared" si="10"/>
        <v>/</v>
      </c>
      <c r="Q292" s="892">
        <f t="shared" si="1"/>
        <v>1</v>
      </c>
      <c r="R292" s="892"/>
      <c r="S292" s="924">
        <v>14</v>
      </c>
      <c r="T292" s="925">
        <f>IF(S292&gt;H274,"",S292)</f>
        <v>14</v>
      </c>
      <c r="U292" s="926">
        <f t="shared" si="7"/>
        <v>13457.609149517024</v>
      </c>
      <c r="V292" s="926">
        <f t="shared" si="2"/>
        <v>571.94838885447359</v>
      </c>
      <c r="W292" s="926">
        <f t="shared" si="3"/>
        <v>6588.792729261686</v>
      </c>
      <c r="X292" s="926">
        <f t="shared" si="4"/>
        <v>7160.7411181161597</v>
      </c>
      <c r="Y292" s="888"/>
      <c r="Z292" s="925">
        <f t="shared" si="5"/>
        <v>14</v>
      </c>
      <c r="AA292" s="888"/>
      <c r="AB292" s="924">
        <v>14</v>
      </c>
      <c r="AC292" s="925">
        <f>IF(AB292&gt;AF274,"",AB292)</f>
        <v>14</v>
      </c>
      <c r="AD292" s="926">
        <f t="shared" si="8"/>
        <v>13457.609149517024</v>
      </c>
      <c r="AE292" s="926">
        <f>IF(AB292&gt;AF274,"",$AD292*$AF$273)</f>
        <v>571.94838885447359</v>
      </c>
      <c r="AF292" s="926">
        <f>IF(AB292&gt;AF274,"",AG292-AE292)</f>
        <v>6588.792729261686</v>
      </c>
      <c r="AG292" s="926">
        <f>IF(AB292&gt;AF274,"",$AF$272*$AE$276)</f>
        <v>7160.7411181161597</v>
      </c>
      <c r="AH292" s="926">
        <f>IF(TYPE($AD291-$AF291)=16,"",$AD291-$AF291)</f>
        <v>13457.609149517024</v>
      </c>
      <c r="AI292" s="888"/>
      <c r="AJ292" s="927">
        <f>IF(AND($D292="Bilanz",$F292=""),0,IF($D292="","",IF(ROUND(F292,Korrektur!R1)=ROUND(U292,Korrektur!R1),0.25,0)))</f>
        <v>0</v>
      </c>
      <c r="AK292" s="927">
        <f>IF($D292="","",IF(ROUND(G292,Korrektur!R1)=ROUND(V292,Korrektur!R1),0.25,0))</f>
        <v>0</v>
      </c>
      <c r="AL292" s="927">
        <f>IF($D292="","",IF(ROUND(K292,Korrektur!R1)=ROUND(W292,Korrektur!R1),0.25,0))</f>
        <v>0</v>
      </c>
      <c r="AM292" s="927">
        <f>IF($D292="","",IF(ROUND(L292,Korrektur!R1)=ROUND(X292,Korrektur!R1),0.25,0))</f>
        <v>0</v>
      </c>
    </row>
    <row r="293" spans="1:39" x14ac:dyDescent="0.2">
      <c r="A293" s="1098"/>
      <c r="B293" s="835"/>
      <c r="C293" s="888"/>
      <c r="D293" s="1140">
        <f t="shared" si="6"/>
        <v>15</v>
      </c>
      <c r="E293" s="1141"/>
      <c r="F293" s="918"/>
      <c r="G293" s="1142"/>
      <c r="H293" s="1143"/>
      <c r="I293" s="1143"/>
      <c r="J293" s="1144"/>
      <c r="K293" s="918"/>
      <c r="L293" s="1142"/>
      <c r="M293" s="1144"/>
      <c r="N293" s="891"/>
      <c r="O293" s="920" t="str">
        <f t="shared" si="0"/>
        <v/>
      </c>
      <c r="P293" s="921" t="str">
        <f t="shared" si="10"/>
        <v>/</v>
      </c>
      <c r="Q293" s="892">
        <f t="shared" si="1"/>
        <v>1</v>
      </c>
      <c r="R293" s="892"/>
      <c r="S293" s="924">
        <v>15</v>
      </c>
      <c r="T293" s="925">
        <f>IF(S293&gt;H274,"",S293)</f>
        <v>15</v>
      </c>
      <c r="U293" s="926">
        <f t="shared" si="7"/>
        <v>6868.816420255338</v>
      </c>
      <c r="V293" s="926">
        <f t="shared" si="2"/>
        <v>291.92469786085189</v>
      </c>
      <c r="W293" s="926">
        <f t="shared" si="3"/>
        <v>6868.816420255308</v>
      </c>
      <c r="X293" s="926">
        <f t="shared" si="4"/>
        <v>7160.7411181161597</v>
      </c>
      <c r="Y293" s="888"/>
      <c r="Z293" s="925">
        <f t="shared" si="5"/>
        <v>15</v>
      </c>
      <c r="AA293" s="888"/>
      <c r="AB293" s="924">
        <v>15</v>
      </c>
      <c r="AC293" s="925">
        <f>IF(AB293&gt;AF274,"",AB293)</f>
        <v>15</v>
      </c>
      <c r="AD293" s="926">
        <f t="shared" si="8"/>
        <v>6868.816420255338</v>
      </c>
      <c r="AE293" s="926">
        <f>IF(AB293&gt;AF274,"",$AD293*$AF$273)</f>
        <v>291.92469786085189</v>
      </c>
      <c r="AF293" s="926">
        <f>IF(AB293&gt;AF274,"",AG293-AE293)</f>
        <v>6868.816420255308</v>
      </c>
      <c r="AG293" s="926">
        <f>IF(AB293&gt;AF274,"",$AF$272*$AE$276)</f>
        <v>7160.7411181161597</v>
      </c>
      <c r="AH293" s="926">
        <f>IF(TYPE($AD292-$AF292)=16,"",$AD292-$AF292)</f>
        <v>6868.816420255338</v>
      </c>
      <c r="AI293" s="888"/>
      <c r="AJ293" s="927">
        <f>IF(AND($D293="Bilanz",$F293=""),0,IF($D293="","",IF(ROUND(F293,Korrektur!R1)=ROUND(U293,Korrektur!R1),0.25,0)))</f>
        <v>0</v>
      </c>
      <c r="AK293" s="927">
        <f>IF($D293="","",IF(ROUND(G293,Korrektur!R1)=ROUND(V293,Korrektur!R1),0.25,0))</f>
        <v>0</v>
      </c>
      <c r="AL293" s="927">
        <f>IF($D293="","",IF(ROUND(K293,Korrektur!R1)=ROUND(W293,Korrektur!R1),0.25,0))</f>
        <v>0</v>
      </c>
      <c r="AM293" s="927">
        <f>IF($D293="","",IF(ROUND(L293,Korrektur!R1)=ROUND(X293,Korrektur!R1),0.25,0))</f>
        <v>0</v>
      </c>
    </row>
    <row r="294" spans="1:39" x14ac:dyDescent="0.2">
      <c r="A294" s="1098"/>
      <c r="B294" s="835"/>
      <c r="C294" s="888"/>
      <c r="D294" s="1140" t="str">
        <f t="shared" si="6"/>
        <v>Bilanz</v>
      </c>
      <c r="E294" s="1141"/>
      <c r="F294" s="918"/>
      <c r="G294" s="1142"/>
      <c r="H294" s="1143"/>
      <c r="I294" s="1143"/>
      <c r="J294" s="1144"/>
      <c r="K294" s="918"/>
      <c r="L294" s="1142"/>
      <c r="M294" s="1144"/>
      <c r="N294" s="891"/>
      <c r="O294" s="920" t="str">
        <f t="shared" si="0"/>
        <v/>
      </c>
      <c r="P294" s="921" t="str">
        <f t="shared" si="10"/>
        <v>/</v>
      </c>
      <c r="Q294" s="892">
        <f t="shared" si="1"/>
        <v>1</v>
      </c>
      <c r="R294" s="892"/>
      <c r="S294" s="924">
        <v>16</v>
      </c>
      <c r="T294" s="925" t="str">
        <f>IF(S294&gt;H274,"",S294)</f>
        <v/>
      </c>
      <c r="U294" s="926">
        <f t="shared" si="7"/>
        <v>3.0013325158506632E-11</v>
      </c>
      <c r="V294" s="926">
        <f t="shared" si="2"/>
        <v>29169.116771742436</v>
      </c>
      <c r="W294" s="926">
        <f t="shared" si="3"/>
        <v>78241.999999999956</v>
      </c>
      <c r="X294" s="926">
        <f t="shared" si="4"/>
        <v>107411.1167717424</v>
      </c>
      <c r="Y294" s="888"/>
      <c r="Z294" s="925" t="str">
        <f t="shared" si="5"/>
        <v>Bilanz</v>
      </c>
      <c r="AA294" s="888"/>
      <c r="AB294" s="924">
        <v>16</v>
      </c>
      <c r="AC294" s="925" t="str">
        <f>IF(AB294&gt;AF274,"",AB294)</f>
        <v/>
      </c>
      <c r="AD294" s="926" t="str">
        <f t="shared" si="8"/>
        <v/>
      </c>
      <c r="AE294" s="926" t="str">
        <f>IF(AB294&gt;AF274,"",$AD294*$AF$273)</f>
        <v/>
      </c>
      <c r="AF294" s="926" t="str">
        <f>IF(AB294&gt;AF274,"",AG294-AE294)</f>
        <v/>
      </c>
      <c r="AG294" s="926" t="str">
        <f>IF(AB294&gt;AF274,"",$AF$272*$AE$276)</f>
        <v/>
      </c>
      <c r="AH294" s="926">
        <f>IF(TYPE($AD293-$AF293)=16,"",$AD293-$AF293)</f>
        <v>3.0013325158506632E-11</v>
      </c>
      <c r="AI294" s="888"/>
      <c r="AJ294" s="927">
        <f>IF(AND($D294="Bilanz",$F294=""),0,IF($D294="","",IF(ROUND(F294,Korrektur!R1)=ROUND(U294,Korrektur!R1),0.25,0)))</f>
        <v>0</v>
      </c>
      <c r="AK294" s="927">
        <f>IF($D294="","",IF(ROUND(G294,Korrektur!R1)=ROUND(V294,Korrektur!R1),0.25,0))</f>
        <v>0</v>
      </c>
      <c r="AL294" s="927">
        <f>IF($D294="","",IF(ROUND(K294,Korrektur!R1)=ROUND(W294,Korrektur!R1),0.25,0))</f>
        <v>0</v>
      </c>
      <c r="AM294" s="927">
        <f>IF($D294="","",IF(ROUND(L294,Korrektur!R1)=ROUND(X294,Korrektur!R1),0.25,0))</f>
        <v>0</v>
      </c>
    </row>
    <row r="295" spans="1:39" hidden="1" x14ac:dyDescent="0.2">
      <c r="A295" s="1098"/>
      <c r="B295" s="835"/>
      <c r="C295" s="888"/>
      <c r="D295" s="1140" t="str">
        <f t="shared" si="6"/>
        <v/>
      </c>
      <c r="E295" s="1141"/>
      <c r="F295" s="918"/>
      <c r="G295" s="1142"/>
      <c r="H295" s="1143"/>
      <c r="I295" s="1143"/>
      <c r="J295" s="1144"/>
      <c r="K295" s="918"/>
      <c r="L295" s="1142"/>
      <c r="M295" s="1144"/>
      <c r="N295" s="891"/>
      <c r="O295" s="920" t="str">
        <f t="shared" si="0"/>
        <v/>
      </c>
      <c r="P295" s="921" t="str">
        <f t="shared" si="10"/>
        <v/>
      </c>
      <c r="Q295" s="892" t="str">
        <f t="shared" si="1"/>
        <v/>
      </c>
      <c r="R295" s="892"/>
      <c r="S295" s="924">
        <v>17</v>
      </c>
      <c r="T295" s="925" t="str">
        <f>IF(S295&gt;H274,"",S295)</f>
        <v/>
      </c>
      <c r="U295" s="926" t="str">
        <f t="shared" si="7"/>
        <v/>
      </c>
      <c r="V295" s="926" t="str">
        <f t="shared" si="2"/>
        <v/>
      </c>
      <c r="W295" s="926" t="str">
        <f t="shared" si="3"/>
        <v/>
      </c>
      <c r="X295" s="926" t="str">
        <f t="shared" si="4"/>
        <v/>
      </c>
      <c r="Y295" s="888"/>
      <c r="Z295" s="925" t="str">
        <f t="shared" si="5"/>
        <v/>
      </c>
      <c r="AA295" s="888"/>
      <c r="AB295" s="924">
        <v>17</v>
      </c>
      <c r="AC295" s="925" t="str">
        <f>IF(AB295&gt;AF274,"",AB295)</f>
        <v/>
      </c>
      <c r="AD295" s="926" t="str">
        <f t="shared" si="8"/>
        <v/>
      </c>
      <c r="AE295" s="926" t="str">
        <f>IF(AB295&gt;AF274,"",$AD295*$AF$273)</f>
        <v/>
      </c>
      <c r="AF295" s="926" t="str">
        <f>IF(AB295&gt;AF274,"",AG295-AE295)</f>
        <v/>
      </c>
      <c r="AG295" s="926" t="str">
        <f>IF(AB295&gt;AF274,"",$AF$272*$AE$276)</f>
        <v/>
      </c>
      <c r="AH295" s="926" t="str">
        <f t="shared" si="9"/>
        <v/>
      </c>
      <c r="AI295" s="888"/>
      <c r="AJ295" s="927" t="str">
        <f>IF(AND($D295="Bilanz",$F295=""),0,IF($D295="","",IF(ROUND(F295,Korrektur!R1)=ROUND(U295,Korrektur!R1),0.25,0)))</f>
        <v/>
      </c>
      <c r="AK295" s="927" t="str">
        <f>IF($D295="","",IF(ROUND(G295,Korrektur!R1)=ROUND(V295,Korrektur!R1),0.25,0))</f>
        <v/>
      </c>
      <c r="AL295" s="927" t="str">
        <f>IF($D295="","",IF(ROUND(K295,Korrektur!R1)=ROUND(W295,Korrektur!R1),0.25,0))</f>
        <v/>
      </c>
      <c r="AM295" s="927" t="str">
        <f>IF($D295="","",IF(ROUND(L295,Korrektur!R1)=ROUND(X295,Korrektur!R1),0.25,0))</f>
        <v/>
      </c>
    </row>
    <row r="296" spans="1:39" hidden="1" x14ac:dyDescent="0.2">
      <c r="A296" s="1098"/>
      <c r="B296" s="835"/>
      <c r="C296" s="888"/>
      <c r="D296" s="1140" t="str">
        <f t="shared" si="6"/>
        <v/>
      </c>
      <c r="E296" s="1141"/>
      <c r="F296" s="918"/>
      <c r="G296" s="1142"/>
      <c r="H296" s="1143"/>
      <c r="I296" s="1143"/>
      <c r="J296" s="1144"/>
      <c r="K296" s="918"/>
      <c r="L296" s="1142"/>
      <c r="M296" s="1144"/>
      <c r="N296" s="891"/>
      <c r="O296" s="920" t="str">
        <f t="shared" si="0"/>
        <v/>
      </c>
      <c r="P296" s="921" t="str">
        <f t="shared" si="10"/>
        <v/>
      </c>
      <c r="Q296" s="892" t="str">
        <f t="shared" si="1"/>
        <v/>
      </c>
      <c r="R296" s="892"/>
      <c r="S296" s="924">
        <v>18</v>
      </c>
      <c r="T296" s="925" t="str">
        <f>IF(S296&gt;H274,"",S296)</f>
        <v/>
      </c>
      <c r="U296" s="926" t="str">
        <f t="shared" si="7"/>
        <v/>
      </c>
      <c r="V296" s="926" t="str">
        <f t="shared" si="2"/>
        <v/>
      </c>
      <c r="W296" s="926" t="str">
        <f t="shared" si="3"/>
        <v/>
      </c>
      <c r="X296" s="926" t="str">
        <f t="shared" si="4"/>
        <v/>
      </c>
      <c r="Y296" s="888"/>
      <c r="Z296" s="925" t="str">
        <f t="shared" si="5"/>
        <v/>
      </c>
      <c r="AA296" s="888"/>
      <c r="AB296" s="924">
        <v>18</v>
      </c>
      <c r="AC296" s="925" t="str">
        <f>IF(AB296&gt;AF274,"",AB296)</f>
        <v/>
      </c>
      <c r="AD296" s="926" t="str">
        <f t="shared" si="8"/>
        <v/>
      </c>
      <c r="AE296" s="926" t="str">
        <f>IF(AB296&gt;AF274,"",$AD296*$AF$273)</f>
        <v/>
      </c>
      <c r="AF296" s="926" t="str">
        <f>IF(AB296&gt;AF274,"",AG296-AE296)</f>
        <v/>
      </c>
      <c r="AG296" s="926" t="str">
        <f>IF(AB296&gt;AF274,"",$AF$272*$AE$276)</f>
        <v/>
      </c>
      <c r="AH296" s="926" t="str">
        <f t="shared" si="9"/>
        <v/>
      </c>
      <c r="AI296" s="888"/>
      <c r="AJ296" s="927" t="str">
        <f>IF(AND($D296="Bilanz",$F296=""),0,IF($D296="","",IF(ROUND(F296,Korrektur!R1)=ROUND(U296,Korrektur!R1),0.25,0)))</f>
        <v/>
      </c>
      <c r="AK296" s="927" t="str">
        <f>IF($D296="","",IF(ROUND(G296,Korrektur!R1)=ROUND(V296,Korrektur!R1),0.25,0))</f>
        <v/>
      </c>
      <c r="AL296" s="927" t="str">
        <f>IF($D296="","",IF(ROUND(K296,Korrektur!R1)=ROUND(W296,Korrektur!R1),0.25,0))</f>
        <v/>
      </c>
      <c r="AM296" s="927" t="str">
        <f>IF($D296="","",IF(ROUND(L296,Korrektur!R1)=ROUND(X296,Korrektur!R1),0.25,0))</f>
        <v/>
      </c>
    </row>
    <row r="297" spans="1:39" hidden="1" x14ac:dyDescent="0.2">
      <c r="A297" s="1098"/>
      <c r="B297" s="835"/>
      <c r="C297" s="888"/>
      <c r="D297" s="1140" t="str">
        <f t="shared" si="6"/>
        <v/>
      </c>
      <c r="E297" s="1141"/>
      <c r="F297" s="918"/>
      <c r="G297" s="1142"/>
      <c r="H297" s="1143"/>
      <c r="I297" s="1143"/>
      <c r="J297" s="1144"/>
      <c r="K297" s="918"/>
      <c r="L297" s="1142"/>
      <c r="M297" s="1144"/>
      <c r="N297" s="891"/>
      <c r="O297" s="920" t="str">
        <f t="shared" si="0"/>
        <v/>
      </c>
      <c r="P297" s="921" t="str">
        <f t="shared" si="10"/>
        <v/>
      </c>
      <c r="Q297" s="892" t="str">
        <f t="shared" si="1"/>
        <v/>
      </c>
      <c r="R297" s="892"/>
      <c r="S297" s="924">
        <v>19</v>
      </c>
      <c r="T297" s="925" t="str">
        <f>IF(S297&gt;H274,"",S297)</f>
        <v/>
      </c>
      <c r="U297" s="926" t="str">
        <f t="shared" si="7"/>
        <v/>
      </c>
      <c r="V297" s="926" t="str">
        <f t="shared" si="2"/>
        <v/>
      </c>
      <c r="W297" s="926" t="str">
        <f t="shared" si="3"/>
        <v/>
      </c>
      <c r="X297" s="926" t="str">
        <f t="shared" si="4"/>
        <v/>
      </c>
      <c r="Y297" s="888"/>
      <c r="Z297" s="925" t="str">
        <f t="shared" si="5"/>
        <v/>
      </c>
      <c r="AA297" s="888"/>
      <c r="AB297" s="924">
        <v>19</v>
      </c>
      <c r="AC297" s="925" t="str">
        <f>IF(AB297&gt;AF274,"",AB297)</f>
        <v/>
      </c>
      <c r="AD297" s="926" t="str">
        <f t="shared" si="8"/>
        <v/>
      </c>
      <c r="AE297" s="926" t="str">
        <f>IF(AB297&gt;AF274,"",$AD297*$AF$273)</f>
        <v/>
      </c>
      <c r="AF297" s="926" t="str">
        <f>IF(AB297&gt;AF274,"",AG297-AE297)</f>
        <v/>
      </c>
      <c r="AG297" s="926" t="str">
        <f>IF(AB297&gt;AF274,"",$AF$272*$AE$276)</f>
        <v/>
      </c>
      <c r="AH297" s="926" t="str">
        <f t="shared" si="9"/>
        <v/>
      </c>
      <c r="AI297" s="888"/>
      <c r="AJ297" s="927" t="str">
        <f>IF(AND($D297="Bilanz",$F297=""),0,IF($D297="","",IF(ROUND(F297,Korrektur!R1)=ROUND(U297,Korrektur!R1),0.25,0)))</f>
        <v/>
      </c>
      <c r="AK297" s="927" t="str">
        <f>IF($D297="","",IF(ROUND(G297,Korrektur!R1)=ROUND(V297,Korrektur!R1),0.25,0))</f>
        <v/>
      </c>
      <c r="AL297" s="927" t="str">
        <f>IF($D297="","",IF(ROUND(K297,Korrektur!R1)=ROUND(W297,Korrektur!R1),0.25,0))</f>
        <v/>
      </c>
      <c r="AM297" s="927" t="str">
        <f>IF($D297="","",IF(ROUND(L297,Korrektur!R1)=ROUND(X297,Korrektur!R1),0.25,0))</f>
        <v/>
      </c>
    </row>
    <row r="298" spans="1:39" hidden="1" x14ac:dyDescent="0.2">
      <c r="A298" s="1098"/>
      <c r="B298" s="835"/>
      <c r="C298" s="888"/>
      <c r="D298" s="1140" t="str">
        <f t="shared" si="6"/>
        <v/>
      </c>
      <c r="E298" s="1141"/>
      <c r="F298" s="918"/>
      <c r="G298" s="1142"/>
      <c r="H298" s="1143"/>
      <c r="I298" s="1143"/>
      <c r="J298" s="1144"/>
      <c r="K298" s="918"/>
      <c r="L298" s="1142"/>
      <c r="M298" s="1144"/>
      <c r="N298" s="891"/>
      <c r="O298" s="920" t="str">
        <f t="shared" si="0"/>
        <v/>
      </c>
      <c r="P298" s="921" t="str">
        <f t="shared" si="10"/>
        <v/>
      </c>
      <c r="Q298" s="892" t="str">
        <f t="shared" si="1"/>
        <v/>
      </c>
      <c r="R298" s="892"/>
      <c r="S298" s="924">
        <v>20</v>
      </c>
      <c r="T298" s="925" t="str">
        <f>IF(S298&gt;H274,"",S298)</f>
        <v/>
      </c>
      <c r="U298" s="926" t="str">
        <f t="shared" si="7"/>
        <v/>
      </c>
      <c r="V298" s="926" t="str">
        <f t="shared" si="2"/>
        <v/>
      </c>
      <c r="W298" s="926" t="str">
        <f t="shared" si="3"/>
        <v/>
      </c>
      <c r="X298" s="926" t="str">
        <f t="shared" si="4"/>
        <v/>
      </c>
      <c r="Y298" s="888"/>
      <c r="Z298" s="925" t="str">
        <f t="shared" si="5"/>
        <v/>
      </c>
      <c r="AA298" s="888"/>
      <c r="AB298" s="924">
        <v>20</v>
      </c>
      <c r="AC298" s="925" t="str">
        <f>IF(AB298&gt;AF274,"",AB298)</f>
        <v/>
      </c>
      <c r="AD298" s="926" t="str">
        <f t="shared" si="8"/>
        <v/>
      </c>
      <c r="AE298" s="926" t="str">
        <f>IF(AB298&gt;AF274,"",$AD298*$AF$273)</f>
        <v/>
      </c>
      <c r="AF298" s="926" t="str">
        <f>IF(AB298&gt;AF274,"",AG298-AE298)</f>
        <v/>
      </c>
      <c r="AG298" s="926" t="str">
        <f>IF(AB298&gt;AF274,"",$AF$272*$AE$276)</f>
        <v/>
      </c>
      <c r="AH298" s="926" t="str">
        <f t="shared" si="9"/>
        <v/>
      </c>
      <c r="AI298" s="888"/>
      <c r="AJ298" s="927" t="str">
        <f>IF(AND($D298="Bilanz",$F298=""),0,IF($D298="","",IF(ROUND(F298,Korrektur!R1)=ROUND(U298,Korrektur!R1),0.25,0)))</f>
        <v/>
      </c>
      <c r="AK298" s="927" t="str">
        <f>IF($D298="","",IF(ROUND(G298,Korrektur!R1)=ROUND(V298,Korrektur!R1),0.25,0))</f>
        <v/>
      </c>
      <c r="AL298" s="927" t="str">
        <f>IF($D298="","",IF(ROUND(K298,Korrektur!R1)=ROUND(W298,Korrektur!R1),0.25,0))</f>
        <v/>
      </c>
      <c r="AM298" s="927" t="str">
        <f>IF($D298="","",IF(ROUND(L298,Korrektur!R1)=ROUND(X298,Korrektur!R1),0.25,0))</f>
        <v/>
      </c>
    </row>
    <row r="299" spans="1:39" hidden="1" x14ac:dyDescent="0.2">
      <c r="A299" s="1098"/>
      <c r="B299" s="835"/>
      <c r="C299" s="888"/>
      <c r="D299" s="1140" t="str">
        <f t="shared" si="6"/>
        <v/>
      </c>
      <c r="E299" s="1141"/>
      <c r="F299" s="918"/>
      <c r="G299" s="1142"/>
      <c r="H299" s="1143"/>
      <c r="I299" s="1143"/>
      <c r="J299" s="1144"/>
      <c r="K299" s="918"/>
      <c r="L299" s="1142"/>
      <c r="M299" s="1144"/>
      <c r="N299" s="891"/>
      <c r="O299" s="920" t="str">
        <f t="shared" si="0"/>
        <v/>
      </c>
      <c r="P299" s="921" t="str">
        <f t="shared" si="10"/>
        <v/>
      </c>
      <c r="Q299" s="892" t="str">
        <f t="shared" si="1"/>
        <v/>
      </c>
      <c r="R299" s="892"/>
      <c r="S299" s="924">
        <v>21</v>
      </c>
      <c r="T299" s="925" t="str">
        <f>IF(S299&gt;H274,"",S299)</f>
        <v/>
      </c>
      <c r="U299" s="926" t="str">
        <f t="shared" si="7"/>
        <v/>
      </c>
      <c r="V299" s="926" t="str">
        <f t="shared" si="2"/>
        <v/>
      </c>
      <c r="W299" s="926" t="str">
        <f t="shared" si="3"/>
        <v/>
      </c>
      <c r="X299" s="926" t="str">
        <f t="shared" si="4"/>
        <v/>
      </c>
      <c r="Y299" s="888"/>
      <c r="Z299" s="925" t="str">
        <f t="shared" si="5"/>
        <v/>
      </c>
      <c r="AA299" s="888"/>
      <c r="AB299" s="924">
        <v>21</v>
      </c>
      <c r="AC299" s="925" t="str">
        <f>IF(AB299&gt;AF274,"",AB299)</f>
        <v/>
      </c>
      <c r="AD299" s="926" t="str">
        <f t="shared" si="8"/>
        <v/>
      </c>
      <c r="AE299" s="926" t="str">
        <f>IF(AB299&gt;AF274,"",$AD299*$AF$273)</f>
        <v/>
      </c>
      <c r="AF299" s="926" t="str">
        <f>IF(AB299&gt;AF274,"",AG299-AE299)</f>
        <v/>
      </c>
      <c r="AG299" s="926" t="str">
        <f>IF(AB299&gt;AF274,"",$AF$272*$AE$276)</f>
        <v/>
      </c>
      <c r="AH299" s="926" t="str">
        <f t="shared" si="9"/>
        <v/>
      </c>
      <c r="AI299" s="888"/>
      <c r="AJ299" s="927" t="str">
        <f>IF(AND($D299="Bilanz",$F299=""),0,IF($D299="","",IF(ROUND(F299,Korrektur!R1)=ROUND(U299,Korrektur!R1),0.25,0)))</f>
        <v/>
      </c>
      <c r="AK299" s="927" t="str">
        <f>IF($D299="","",IF(ROUND(G299,Korrektur!R1)=ROUND(V299,Korrektur!R1),0.25,0))</f>
        <v/>
      </c>
      <c r="AL299" s="927" t="str">
        <f>IF($D299="","",IF(ROUND(K299,Korrektur!R1)=ROUND(W299,Korrektur!R1),0.25,0))</f>
        <v/>
      </c>
      <c r="AM299" s="927" t="str">
        <f>IF($D299="","",IF(ROUND(L299,Korrektur!R1)=ROUND(X299,Korrektur!R1),0.25,0))</f>
        <v/>
      </c>
    </row>
    <row r="300" spans="1:39" hidden="1" x14ac:dyDescent="0.2">
      <c r="A300" s="1098"/>
      <c r="B300" s="835"/>
      <c r="C300" s="888"/>
      <c r="D300" s="1140" t="str">
        <f t="shared" si="6"/>
        <v/>
      </c>
      <c r="E300" s="1141"/>
      <c r="F300" s="918"/>
      <c r="G300" s="1142"/>
      <c r="H300" s="1143"/>
      <c r="I300" s="1143"/>
      <c r="J300" s="1144"/>
      <c r="K300" s="918"/>
      <c r="L300" s="1142"/>
      <c r="M300" s="1144"/>
      <c r="N300" s="891"/>
      <c r="O300" s="920" t="str">
        <f t="shared" si="0"/>
        <v/>
      </c>
      <c r="P300" s="921" t="str">
        <f t="shared" si="10"/>
        <v/>
      </c>
      <c r="Q300" s="892" t="str">
        <f t="shared" si="1"/>
        <v/>
      </c>
      <c r="R300" s="892"/>
      <c r="S300" s="924">
        <v>22</v>
      </c>
      <c r="T300" s="925" t="str">
        <f>IF(S300&gt;H274,"",S300)</f>
        <v/>
      </c>
      <c r="U300" s="926" t="str">
        <f t="shared" si="7"/>
        <v/>
      </c>
      <c r="V300" s="926" t="str">
        <f t="shared" si="2"/>
        <v/>
      </c>
      <c r="W300" s="926" t="str">
        <f t="shared" si="3"/>
        <v/>
      </c>
      <c r="X300" s="926" t="str">
        <f t="shared" si="4"/>
        <v/>
      </c>
      <c r="Y300" s="888"/>
      <c r="Z300" s="925" t="str">
        <f t="shared" si="5"/>
        <v/>
      </c>
      <c r="AA300" s="888"/>
      <c r="AB300" s="924">
        <v>22</v>
      </c>
      <c r="AC300" s="925" t="str">
        <f>IF(AB300&gt;AF274,"",AB300)</f>
        <v/>
      </c>
      <c r="AD300" s="926" t="str">
        <f t="shared" si="8"/>
        <v/>
      </c>
      <c r="AE300" s="926" t="str">
        <f>IF(AB300&gt;AF274,"",$AD300*$AF$273)</f>
        <v/>
      </c>
      <c r="AF300" s="926" t="str">
        <f>IF(AB300&gt;AF274,"",AG300-AE300)</f>
        <v/>
      </c>
      <c r="AG300" s="926" t="str">
        <f>IF(AB300&gt;AF274,"",$AF$272*$AE$276)</f>
        <v/>
      </c>
      <c r="AH300" s="926" t="str">
        <f t="shared" si="9"/>
        <v/>
      </c>
      <c r="AI300" s="888"/>
      <c r="AJ300" s="927" t="str">
        <f>IF(AND($D300="Bilanz",$F300=""),0,IF($D300="","",IF(ROUND(F300,Korrektur!R1)=ROUND(U300,Korrektur!R1),0.25,0)))</f>
        <v/>
      </c>
      <c r="AK300" s="927" t="str">
        <f>IF($D300="","",IF(ROUND(G300,Korrektur!R1)=ROUND(V300,Korrektur!R1),0.25,0))</f>
        <v/>
      </c>
      <c r="AL300" s="927" t="str">
        <f>IF($D300="","",IF(ROUND(K300,Korrektur!R1)=ROUND(W300,Korrektur!R1),0.25,0))</f>
        <v/>
      </c>
      <c r="AM300" s="927" t="str">
        <f>IF($D300="","",IF(ROUND(L300,Korrektur!R1)=ROUND(X300,Korrektur!R1),0.25,0))</f>
        <v/>
      </c>
    </row>
    <row r="301" spans="1:39" hidden="1" x14ac:dyDescent="0.2">
      <c r="A301" s="1098"/>
      <c r="B301" s="835"/>
      <c r="C301" s="888"/>
      <c r="D301" s="1140" t="str">
        <f t="shared" si="6"/>
        <v/>
      </c>
      <c r="E301" s="1141"/>
      <c r="F301" s="918"/>
      <c r="G301" s="1142"/>
      <c r="H301" s="1143"/>
      <c r="I301" s="1143"/>
      <c r="J301" s="1144"/>
      <c r="K301" s="918"/>
      <c r="L301" s="1142"/>
      <c r="M301" s="1144"/>
      <c r="N301" s="891"/>
      <c r="O301" s="920" t="str">
        <f t="shared" si="0"/>
        <v/>
      </c>
      <c r="P301" s="921" t="str">
        <f t="shared" si="10"/>
        <v/>
      </c>
      <c r="Q301" s="892" t="str">
        <f t="shared" si="1"/>
        <v/>
      </c>
      <c r="R301" s="892"/>
      <c r="S301" s="924">
        <v>23</v>
      </c>
      <c r="T301" s="925" t="str">
        <f>IF(S301&gt;H274,"",S301)</f>
        <v/>
      </c>
      <c r="U301" s="926" t="str">
        <f t="shared" si="7"/>
        <v/>
      </c>
      <c r="V301" s="926" t="str">
        <f t="shared" si="2"/>
        <v/>
      </c>
      <c r="W301" s="926" t="str">
        <f t="shared" si="3"/>
        <v/>
      </c>
      <c r="X301" s="926" t="str">
        <f t="shared" si="4"/>
        <v/>
      </c>
      <c r="Y301" s="888"/>
      <c r="Z301" s="925" t="str">
        <f t="shared" si="5"/>
        <v/>
      </c>
      <c r="AA301" s="888"/>
      <c r="AB301" s="924">
        <v>23</v>
      </c>
      <c r="AC301" s="925" t="str">
        <f>IF(AB301&gt;AF274,"",AB301)</f>
        <v/>
      </c>
      <c r="AD301" s="926" t="str">
        <f t="shared" si="8"/>
        <v/>
      </c>
      <c r="AE301" s="926" t="str">
        <f>IF(AB301&gt;AF274,"",$AD301*$AF$273)</f>
        <v/>
      </c>
      <c r="AF301" s="926" t="str">
        <f>IF(AB301&gt;AF274,"",AG301-AE301)</f>
        <v/>
      </c>
      <c r="AG301" s="926" t="str">
        <f>IF(AB301&gt;AF274,"",$AF$272*$AE$276)</f>
        <v/>
      </c>
      <c r="AH301" s="926" t="str">
        <f t="shared" si="9"/>
        <v/>
      </c>
      <c r="AI301" s="888"/>
      <c r="AJ301" s="927" t="str">
        <f>IF(AND($D301="Bilanz",$F301=""),0,IF($D301="","",IF(ROUND(F301,Korrektur!R1)=ROUND(U301,Korrektur!R1),0.25,0)))</f>
        <v/>
      </c>
      <c r="AK301" s="927" t="str">
        <f>IF($D301="","",IF(ROUND(G301,Korrektur!R1)=ROUND(V301,Korrektur!R1),0.25,0))</f>
        <v/>
      </c>
      <c r="AL301" s="927" t="str">
        <f>IF($D301="","",IF(ROUND(K301,Korrektur!R1)=ROUND(W301,Korrektur!R1),0.25,0))</f>
        <v/>
      </c>
      <c r="AM301" s="927" t="str">
        <f>IF($D301="","",IF(ROUND(L301,Korrektur!R1)=ROUND(X301,Korrektur!R1),0.25,0))</f>
        <v/>
      </c>
    </row>
    <row r="302" spans="1:39" hidden="1" x14ac:dyDescent="0.2">
      <c r="A302" s="1098"/>
      <c r="B302" s="835"/>
      <c r="C302" s="888"/>
      <c r="D302" s="1140" t="str">
        <f t="shared" si="6"/>
        <v/>
      </c>
      <c r="E302" s="1141"/>
      <c r="F302" s="918"/>
      <c r="G302" s="1142"/>
      <c r="H302" s="1143"/>
      <c r="I302" s="1143"/>
      <c r="J302" s="1144"/>
      <c r="K302" s="918"/>
      <c r="L302" s="1142"/>
      <c r="M302" s="1144"/>
      <c r="N302" s="891"/>
      <c r="O302" s="920" t="str">
        <f t="shared" si="0"/>
        <v/>
      </c>
      <c r="P302" s="921" t="str">
        <f t="shared" si="10"/>
        <v/>
      </c>
      <c r="Q302" s="892" t="str">
        <f t="shared" si="1"/>
        <v/>
      </c>
      <c r="R302" s="892"/>
      <c r="S302" s="924">
        <v>24</v>
      </c>
      <c r="T302" s="925" t="str">
        <f>IF(S302&gt;H274,"",S302)</f>
        <v/>
      </c>
      <c r="U302" s="926" t="str">
        <f t="shared" si="7"/>
        <v/>
      </c>
      <c r="V302" s="926" t="str">
        <f t="shared" si="2"/>
        <v/>
      </c>
      <c r="W302" s="926" t="str">
        <f t="shared" si="3"/>
        <v/>
      </c>
      <c r="X302" s="926" t="str">
        <f t="shared" si="4"/>
        <v/>
      </c>
      <c r="Y302" s="888"/>
      <c r="Z302" s="925" t="str">
        <f t="shared" si="5"/>
        <v/>
      </c>
      <c r="AA302" s="888"/>
      <c r="AB302" s="924">
        <v>24</v>
      </c>
      <c r="AC302" s="925" t="str">
        <f>IF(AB302&gt;AF274,"",AB302)</f>
        <v/>
      </c>
      <c r="AD302" s="926" t="str">
        <f t="shared" si="8"/>
        <v/>
      </c>
      <c r="AE302" s="926" t="str">
        <f>IF(AB302&gt;AF274,"",$AD302*$AF$273)</f>
        <v/>
      </c>
      <c r="AF302" s="926" t="str">
        <f>IF(AB302&gt;AF274,"",AG302-AE302)</f>
        <v/>
      </c>
      <c r="AG302" s="926" t="str">
        <f>IF(AB302&gt;AF274,"",$AF$272*$AE$276)</f>
        <v/>
      </c>
      <c r="AH302" s="926" t="str">
        <f t="shared" si="9"/>
        <v/>
      </c>
      <c r="AI302" s="888"/>
      <c r="AJ302" s="927" t="str">
        <f>IF(AND($D302="Bilanz",$F302=""),0,IF($D302="","",IF(ROUND(F302,Korrektur!R1)=ROUND(U302,Korrektur!R1),0.25,0)))</f>
        <v/>
      </c>
      <c r="AK302" s="927" t="str">
        <f>IF($D302="","",IF(ROUND(G302,Korrektur!R1)=ROUND(V302,Korrektur!R1),0.25,0))</f>
        <v/>
      </c>
      <c r="AL302" s="927" t="str">
        <f>IF($D302="","",IF(ROUND(K302,Korrektur!R1)=ROUND(W302,Korrektur!R1),0.25,0))</f>
        <v/>
      </c>
      <c r="AM302" s="927" t="str">
        <f>IF($D302="","",IF(ROUND(L302,Korrektur!R1)=ROUND(X302,Korrektur!R1),0.25,0))</f>
        <v/>
      </c>
    </row>
    <row r="303" spans="1:39" hidden="1" x14ac:dyDescent="0.2">
      <c r="A303" s="1098"/>
      <c r="B303" s="835"/>
      <c r="C303" s="888"/>
      <c r="D303" s="1140" t="str">
        <f t="shared" si="6"/>
        <v/>
      </c>
      <c r="E303" s="1141"/>
      <c r="F303" s="918"/>
      <c r="G303" s="1142"/>
      <c r="H303" s="1143"/>
      <c r="I303" s="1143"/>
      <c r="J303" s="1144"/>
      <c r="K303" s="918"/>
      <c r="L303" s="1142"/>
      <c r="M303" s="1144"/>
      <c r="N303" s="891"/>
      <c r="O303" s="920" t="str">
        <f t="shared" si="0"/>
        <v/>
      </c>
      <c r="P303" s="921" t="str">
        <f t="shared" si="10"/>
        <v/>
      </c>
      <c r="Q303" s="892" t="str">
        <f t="shared" si="1"/>
        <v/>
      </c>
      <c r="R303" s="892"/>
      <c r="S303" s="924">
        <v>25</v>
      </c>
      <c r="T303" s="925" t="str">
        <f>IF(S303&gt;H274,"",S303)</f>
        <v/>
      </c>
      <c r="U303" s="926" t="str">
        <f t="shared" si="7"/>
        <v/>
      </c>
      <c r="V303" s="926" t="str">
        <f t="shared" si="2"/>
        <v/>
      </c>
      <c r="W303" s="926" t="str">
        <f t="shared" si="3"/>
        <v/>
      </c>
      <c r="X303" s="926" t="str">
        <f t="shared" si="4"/>
        <v/>
      </c>
      <c r="Y303" s="888"/>
      <c r="Z303" s="925" t="str">
        <f t="shared" si="5"/>
        <v/>
      </c>
      <c r="AA303" s="888"/>
      <c r="AB303" s="924">
        <v>25</v>
      </c>
      <c r="AC303" s="925" t="str">
        <f>IF(AB303&gt;AF274,"",AB303)</f>
        <v/>
      </c>
      <c r="AD303" s="926" t="str">
        <f t="shared" si="8"/>
        <v/>
      </c>
      <c r="AE303" s="926" t="str">
        <f>IF(AB303&gt;AF274,"",$AD303*$AF$273)</f>
        <v/>
      </c>
      <c r="AF303" s="926" t="str">
        <f>IF(AB303&gt;AF274,"",AG303-AE303)</f>
        <v/>
      </c>
      <c r="AG303" s="926" t="str">
        <f>IF(AB303&gt;AF274,"",$AF$272*$AE$276)</f>
        <v/>
      </c>
      <c r="AH303" s="926" t="str">
        <f t="shared" si="9"/>
        <v/>
      </c>
      <c r="AI303" s="888"/>
      <c r="AJ303" s="927" t="str">
        <f>IF(AND($D303="Bilanz",$F303=""),0,IF($D303="","",IF(ROUND(F303,Korrektur!R1)=ROUND(U303,Korrektur!R1),0.25,0)))</f>
        <v/>
      </c>
      <c r="AK303" s="927" t="str">
        <f>IF($D303="","",IF(ROUND(G303,Korrektur!R1)=ROUND(V303,Korrektur!R1),0.25,0))</f>
        <v/>
      </c>
      <c r="AL303" s="927" t="str">
        <f>IF($D303="","",IF(ROUND(K303,Korrektur!R1)=ROUND(W303,Korrektur!R1),0.25,0))</f>
        <v/>
      </c>
      <c r="AM303" s="927" t="str">
        <f>IF($D303="","",IF(ROUND(L303,Korrektur!R1)=ROUND(X303,Korrektur!R1),0.25,0))</f>
        <v/>
      </c>
    </row>
    <row r="304" spans="1:39" hidden="1" x14ac:dyDescent="0.2">
      <c r="A304" s="1098"/>
      <c r="B304" s="835"/>
      <c r="C304" s="888"/>
      <c r="D304" s="1140" t="str">
        <f t="shared" si="6"/>
        <v/>
      </c>
      <c r="E304" s="1141"/>
      <c r="F304" s="918"/>
      <c r="G304" s="1142"/>
      <c r="H304" s="1143"/>
      <c r="I304" s="1143"/>
      <c r="J304" s="1144"/>
      <c r="K304" s="918"/>
      <c r="L304" s="1142"/>
      <c r="M304" s="1144"/>
      <c r="N304" s="891"/>
      <c r="O304" s="920" t="str">
        <f t="shared" si="0"/>
        <v/>
      </c>
      <c r="P304" s="921" t="str">
        <f t="shared" si="10"/>
        <v/>
      </c>
      <c r="Q304" s="892" t="str">
        <f t="shared" si="1"/>
        <v/>
      </c>
      <c r="R304" s="892"/>
      <c r="S304" s="924">
        <v>26</v>
      </c>
      <c r="T304" s="925" t="str">
        <f>IF(S304&gt;H274,"",S304)</f>
        <v/>
      </c>
      <c r="U304" s="926" t="str">
        <f t="shared" si="7"/>
        <v/>
      </c>
      <c r="V304" s="926" t="str">
        <f t="shared" si="2"/>
        <v/>
      </c>
      <c r="W304" s="926" t="str">
        <f t="shared" si="3"/>
        <v/>
      </c>
      <c r="X304" s="926" t="str">
        <f t="shared" si="4"/>
        <v/>
      </c>
      <c r="Y304" s="888"/>
      <c r="Z304" s="925" t="str">
        <f t="shared" si="5"/>
        <v/>
      </c>
      <c r="AA304" s="888"/>
      <c r="AB304" s="924">
        <v>26</v>
      </c>
      <c r="AC304" s="925" t="str">
        <f>IF(AB304&gt;AF274,"",AB304)</f>
        <v/>
      </c>
      <c r="AD304" s="926" t="str">
        <f t="shared" si="8"/>
        <v/>
      </c>
      <c r="AE304" s="926" t="str">
        <f>IF(AB304&gt;AF274,"",$AD304*$AF$273)</f>
        <v/>
      </c>
      <c r="AF304" s="926" t="str">
        <f>IF(AB304&gt;AF274,"",AG304-AE304)</f>
        <v/>
      </c>
      <c r="AG304" s="926" t="str">
        <f>IF(AB304&gt;AF274,"",$AF$272*$AE$276)</f>
        <v/>
      </c>
      <c r="AH304" s="926" t="str">
        <f t="shared" si="9"/>
        <v/>
      </c>
      <c r="AI304" s="888"/>
      <c r="AJ304" s="927" t="str">
        <f>IF(AND($D304="Bilanz",$F304=""),0,IF($D304="","",IF(ROUND(F304,Korrektur!R1)=ROUND(U304,Korrektur!R1),0.25,0)))</f>
        <v/>
      </c>
      <c r="AK304" s="927" t="str">
        <f>IF($D304="","",IF(ROUND(G304,Korrektur!R1)=ROUND(V304,Korrektur!R1),0.25,0))</f>
        <v/>
      </c>
      <c r="AL304" s="927" t="str">
        <f>IF($D304="","",IF(ROUND(K304,Korrektur!R1)=ROUND(W304,Korrektur!R1),0.25,0))</f>
        <v/>
      </c>
      <c r="AM304" s="927" t="str">
        <f>IF($D304="","",IF(ROUND(L304,Korrektur!R1)=ROUND(X304,Korrektur!R1),0.25,0))</f>
        <v/>
      </c>
    </row>
    <row r="305" spans="1:39" hidden="1" x14ac:dyDescent="0.2">
      <c r="A305" s="1098"/>
      <c r="B305" s="835"/>
      <c r="C305" s="888"/>
      <c r="D305" s="1140" t="str">
        <f t="shared" si="6"/>
        <v/>
      </c>
      <c r="E305" s="1141"/>
      <c r="F305" s="918"/>
      <c r="G305" s="1142"/>
      <c r="H305" s="1143"/>
      <c r="I305" s="1143"/>
      <c r="J305" s="1144"/>
      <c r="K305" s="918"/>
      <c r="L305" s="1142"/>
      <c r="M305" s="1144"/>
      <c r="N305" s="891"/>
      <c r="O305" s="920" t="str">
        <f t="shared" si="0"/>
        <v/>
      </c>
      <c r="P305" s="921" t="str">
        <f t="shared" si="10"/>
        <v/>
      </c>
      <c r="Q305" s="892" t="str">
        <f t="shared" si="1"/>
        <v/>
      </c>
      <c r="R305" s="892"/>
      <c r="S305" s="924">
        <v>27</v>
      </c>
      <c r="T305" s="925" t="str">
        <f>IF(S305&gt;H274,"",S305)</f>
        <v/>
      </c>
      <c r="U305" s="926" t="str">
        <f t="shared" si="7"/>
        <v/>
      </c>
      <c r="V305" s="926" t="str">
        <f t="shared" si="2"/>
        <v/>
      </c>
      <c r="W305" s="926" t="str">
        <f t="shared" si="3"/>
        <v/>
      </c>
      <c r="X305" s="926" t="str">
        <f t="shared" si="4"/>
        <v/>
      </c>
      <c r="Y305" s="888"/>
      <c r="Z305" s="925" t="str">
        <f t="shared" si="5"/>
        <v/>
      </c>
      <c r="AA305" s="888"/>
      <c r="AB305" s="924">
        <v>27</v>
      </c>
      <c r="AC305" s="925" t="str">
        <f>IF(AB305&gt;AF274,"",AB305)</f>
        <v/>
      </c>
      <c r="AD305" s="926" t="str">
        <f t="shared" si="8"/>
        <v/>
      </c>
      <c r="AE305" s="926" t="str">
        <f>IF(AB305&gt;AF274,"",$AD305*$AF$273)</f>
        <v/>
      </c>
      <c r="AF305" s="926" t="str">
        <f>IF(AB305&gt;AF274,"",AG305-AE305)</f>
        <v/>
      </c>
      <c r="AG305" s="926" t="str">
        <f>IF(AB305&gt;AF274,"",$AF$272*$AE$276)</f>
        <v/>
      </c>
      <c r="AH305" s="926" t="str">
        <f t="shared" si="9"/>
        <v/>
      </c>
      <c r="AI305" s="888"/>
      <c r="AJ305" s="927" t="str">
        <f>IF(AND($D305="Bilanz",$F305=""),0,IF($D305="","",IF(ROUND(F305,Korrektur!R1)=ROUND(U305,Korrektur!R1),0.25,0)))</f>
        <v/>
      </c>
      <c r="AK305" s="927" t="str">
        <f>IF($D305="","",IF(ROUND(G305,Korrektur!R1)=ROUND(V305,Korrektur!R1),0.25,0))</f>
        <v/>
      </c>
      <c r="AL305" s="927" t="str">
        <f>IF($D305="","",IF(ROUND(K305,Korrektur!R1)=ROUND(W305,Korrektur!R1),0.25,0))</f>
        <v/>
      </c>
      <c r="AM305" s="927" t="str">
        <f>IF($D305="","",IF(ROUND(L305,Korrektur!R1)=ROUND(X305,Korrektur!R1),0.25,0))</f>
        <v/>
      </c>
    </row>
    <row r="306" spans="1:39" hidden="1" x14ac:dyDescent="0.2">
      <c r="A306" s="1098"/>
      <c r="B306" s="835"/>
      <c r="C306" s="888"/>
      <c r="D306" s="1140" t="str">
        <f t="shared" si="6"/>
        <v/>
      </c>
      <c r="E306" s="1141"/>
      <c r="F306" s="918"/>
      <c r="G306" s="1142"/>
      <c r="H306" s="1143"/>
      <c r="I306" s="1143"/>
      <c r="J306" s="1144"/>
      <c r="K306" s="918"/>
      <c r="L306" s="1142"/>
      <c r="M306" s="1144"/>
      <c r="N306" s="891"/>
      <c r="O306" s="920" t="str">
        <f t="shared" si="0"/>
        <v/>
      </c>
      <c r="P306" s="921" t="str">
        <f t="shared" si="10"/>
        <v/>
      </c>
      <c r="Q306" s="892" t="str">
        <f t="shared" si="1"/>
        <v/>
      </c>
      <c r="R306" s="892"/>
      <c r="S306" s="924">
        <v>28</v>
      </c>
      <c r="T306" s="925" t="str">
        <f>IF(S306&gt;H274,"",S306)</f>
        <v/>
      </c>
      <c r="U306" s="926" t="str">
        <f t="shared" si="7"/>
        <v/>
      </c>
      <c r="V306" s="926" t="str">
        <f t="shared" si="2"/>
        <v/>
      </c>
      <c r="W306" s="926" t="str">
        <f t="shared" si="3"/>
        <v/>
      </c>
      <c r="X306" s="926" t="str">
        <f t="shared" si="4"/>
        <v/>
      </c>
      <c r="Y306" s="888"/>
      <c r="Z306" s="925" t="str">
        <f t="shared" si="5"/>
        <v/>
      </c>
      <c r="AA306" s="888"/>
      <c r="AB306" s="924">
        <v>28</v>
      </c>
      <c r="AC306" s="925" t="str">
        <f>IF(AB306&gt;AF274,"",AB306)</f>
        <v/>
      </c>
      <c r="AD306" s="926" t="str">
        <f t="shared" si="8"/>
        <v/>
      </c>
      <c r="AE306" s="926" t="str">
        <f>IF(AB306&gt;AF274,"",$AD306*$AF$273)</f>
        <v/>
      </c>
      <c r="AF306" s="926" t="str">
        <f>IF(AB306&gt;AF274,"",AG306-AE306)</f>
        <v/>
      </c>
      <c r="AG306" s="926" t="str">
        <f>IF(AB306&gt;AF274,"",$AF$272*$AE$276)</f>
        <v/>
      </c>
      <c r="AH306" s="926" t="str">
        <f t="shared" si="9"/>
        <v/>
      </c>
      <c r="AI306" s="888"/>
      <c r="AJ306" s="927" t="str">
        <f>IF(AND($D306="Bilanz",$F306=""),0,IF($D306="","",IF(ROUND(F306,Korrektur!R1)=ROUND(U306,Korrektur!R1),0.25,0)))</f>
        <v/>
      </c>
      <c r="AK306" s="927" t="str">
        <f>IF($D306="","",IF(ROUND(G306,Korrektur!R1)=ROUND(V306,Korrektur!R1),0.25,0))</f>
        <v/>
      </c>
      <c r="AL306" s="927" t="str">
        <f>IF($D306="","",IF(ROUND(K306,Korrektur!R1)=ROUND(W306,Korrektur!R1),0.25,0))</f>
        <v/>
      </c>
      <c r="AM306" s="927" t="str">
        <f>IF($D306="","",IF(ROUND(L306,Korrektur!R1)=ROUND(X306,Korrektur!R1),0.25,0))</f>
        <v/>
      </c>
    </row>
    <row r="307" spans="1:39" hidden="1" x14ac:dyDescent="0.2">
      <c r="A307" s="1098"/>
      <c r="B307" s="835"/>
      <c r="C307" s="888"/>
      <c r="D307" s="1140" t="str">
        <f t="shared" si="6"/>
        <v/>
      </c>
      <c r="E307" s="1141"/>
      <c r="F307" s="918"/>
      <c r="G307" s="1142"/>
      <c r="H307" s="1143"/>
      <c r="I307" s="1143"/>
      <c r="J307" s="1144"/>
      <c r="K307" s="918"/>
      <c r="L307" s="1142"/>
      <c r="M307" s="1144"/>
      <c r="N307" s="891"/>
      <c r="O307" s="920" t="str">
        <f t="shared" si="0"/>
        <v/>
      </c>
      <c r="P307" s="921" t="str">
        <f t="shared" si="10"/>
        <v/>
      </c>
      <c r="Q307" s="892" t="str">
        <f t="shared" si="1"/>
        <v/>
      </c>
      <c r="R307" s="892"/>
      <c r="S307" s="924">
        <v>29</v>
      </c>
      <c r="T307" s="925" t="str">
        <f>IF(S307&gt;H274,"",S307)</f>
        <v/>
      </c>
      <c r="U307" s="926" t="str">
        <f t="shared" si="7"/>
        <v/>
      </c>
      <c r="V307" s="926" t="str">
        <f t="shared" si="2"/>
        <v/>
      </c>
      <c r="W307" s="926" t="str">
        <f t="shared" si="3"/>
        <v/>
      </c>
      <c r="X307" s="926" t="str">
        <f t="shared" si="4"/>
        <v/>
      </c>
      <c r="Y307" s="888"/>
      <c r="Z307" s="925" t="str">
        <f t="shared" si="5"/>
        <v/>
      </c>
      <c r="AA307" s="888"/>
      <c r="AB307" s="924">
        <v>29</v>
      </c>
      <c r="AC307" s="925" t="str">
        <f>IF(AB307&gt;AF274,"",AB307)</f>
        <v/>
      </c>
      <c r="AD307" s="926" t="str">
        <f t="shared" si="8"/>
        <v/>
      </c>
      <c r="AE307" s="926" t="str">
        <f>IF(AB307&gt;AF274,"",$AD307*$AF$273)</f>
        <v/>
      </c>
      <c r="AF307" s="926" t="str">
        <f>IF(AB307&gt;AF274,"",AG307-AE307)</f>
        <v/>
      </c>
      <c r="AG307" s="926" t="str">
        <f>IF(AB307&gt;AF274,"",$AF$272*$AE$276)</f>
        <v/>
      </c>
      <c r="AH307" s="926" t="str">
        <f t="shared" si="9"/>
        <v/>
      </c>
      <c r="AI307" s="888"/>
      <c r="AJ307" s="927" t="str">
        <f>IF(AND($D307="Bilanz",$F307=""),0,IF($D307="","",IF(ROUND(F307,Korrektur!R1)=ROUND(U307,Korrektur!R1),0.25,0)))</f>
        <v/>
      </c>
      <c r="AK307" s="927" t="str">
        <f>IF($D307="","",IF(ROUND(G307,Korrektur!R1)=ROUND(V307,Korrektur!R1),0.25,0))</f>
        <v/>
      </c>
      <c r="AL307" s="927" t="str">
        <f>IF($D307="","",IF(ROUND(K307,Korrektur!R1)=ROUND(W307,Korrektur!R1),0.25,0))</f>
        <v/>
      </c>
      <c r="AM307" s="927" t="str">
        <f>IF($D307="","",IF(ROUND(L307,Korrektur!R1)=ROUND(X307,Korrektur!R1),0.25,0))</f>
        <v/>
      </c>
    </row>
    <row r="308" spans="1:39" hidden="1" x14ac:dyDescent="0.2">
      <c r="A308" s="1098"/>
      <c r="B308" s="835"/>
      <c r="C308" s="888"/>
      <c r="D308" s="1140" t="str">
        <f t="shared" si="6"/>
        <v/>
      </c>
      <c r="E308" s="1141"/>
      <c r="F308" s="918"/>
      <c r="G308" s="1142"/>
      <c r="H308" s="1143"/>
      <c r="I308" s="1143"/>
      <c r="J308" s="1144"/>
      <c r="K308" s="918"/>
      <c r="L308" s="1142"/>
      <c r="M308" s="1144"/>
      <c r="N308" s="891"/>
      <c r="O308" s="920" t="str">
        <f t="shared" si="0"/>
        <v/>
      </c>
      <c r="P308" s="921" t="str">
        <f t="shared" si="10"/>
        <v/>
      </c>
      <c r="Q308" s="892" t="str">
        <f t="shared" si="1"/>
        <v/>
      </c>
      <c r="R308" s="892"/>
      <c r="S308" s="924">
        <v>30</v>
      </c>
      <c r="T308" s="925" t="str">
        <f>IF(S308&gt;H274,"",S308)</f>
        <v/>
      </c>
      <c r="U308" s="926" t="str">
        <f t="shared" si="7"/>
        <v/>
      </c>
      <c r="V308" s="926" t="str">
        <f t="shared" si="2"/>
        <v/>
      </c>
      <c r="W308" s="926" t="str">
        <f t="shared" si="3"/>
        <v/>
      </c>
      <c r="X308" s="926" t="str">
        <f t="shared" si="4"/>
        <v/>
      </c>
      <c r="Y308" s="888"/>
      <c r="Z308" s="925" t="str">
        <f t="shared" si="5"/>
        <v/>
      </c>
      <c r="AA308" s="888"/>
      <c r="AB308" s="924">
        <v>30</v>
      </c>
      <c r="AC308" s="925" t="str">
        <f>IF(AB308&gt;AF274,"",AB308)</f>
        <v/>
      </c>
      <c r="AD308" s="926" t="str">
        <f t="shared" si="8"/>
        <v/>
      </c>
      <c r="AE308" s="926" t="str">
        <f>IF(AB308&gt;AF274,"",$AD308*$AF$273)</f>
        <v/>
      </c>
      <c r="AF308" s="926" t="str">
        <f>IF(AB308&gt;AF274,"",AG308-AE308)</f>
        <v/>
      </c>
      <c r="AG308" s="926" t="str">
        <f>IF(AB308&gt;AF274,"",$AF$272*$AE$276)</f>
        <v/>
      </c>
      <c r="AH308" s="926" t="str">
        <f t="shared" si="9"/>
        <v/>
      </c>
      <c r="AI308" s="888"/>
      <c r="AJ308" s="927" t="str">
        <f>IF(AND($D308="Bilanz",$F308=""),0,IF($D308="","",IF(ROUND(F308,Korrektur!R1)=ROUND(U308,Korrektur!R1),0.25,0)))</f>
        <v/>
      </c>
      <c r="AK308" s="927" t="str">
        <f>IF($D308="","",IF(ROUND(G308,Korrektur!R1)=ROUND(V308,Korrektur!R1),0.25,0))</f>
        <v/>
      </c>
      <c r="AL308" s="927" t="str">
        <f>IF($D308="","",IF(ROUND(K308,Korrektur!R1)=ROUND(W308,Korrektur!R1),0.25,0))</f>
        <v/>
      </c>
      <c r="AM308" s="927" t="str">
        <f>IF($D308="","",IF(ROUND(L308,Korrektur!R1)=ROUND(X308,Korrektur!R1),0.25,0))</f>
        <v/>
      </c>
    </row>
    <row r="309" spans="1:39" hidden="1" x14ac:dyDescent="0.2">
      <c r="A309" s="1098"/>
      <c r="B309" s="835"/>
      <c r="C309" s="888"/>
      <c r="D309" s="1140" t="str">
        <f t="shared" si="6"/>
        <v/>
      </c>
      <c r="E309" s="1141"/>
      <c r="F309" s="918"/>
      <c r="G309" s="1142"/>
      <c r="H309" s="1143"/>
      <c r="I309" s="1143"/>
      <c r="J309" s="1144"/>
      <c r="K309" s="918"/>
      <c r="L309" s="1142"/>
      <c r="M309" s="1144"/>
      <c r="N309" s="891"/>
      <c r="O309" s="920" t="str">
        <f t="shared" si="0"/>
        <v/>
      </c>
      <c r="P309" s="921" t="str">
        <f t="shared" si="10"/>
        <v/>
      </c>
      <c r="Q309" s="892" t="str">
        <f t="shared" si="1"/>
        <v/>
      </c>
      <c r="R309" s="892"/>
      <c r="S309" s="924">
        <v>31</v>
      </c>
      <c r="T309" s="925" t="str">
        <f>IF(S309&gt;H274,"",S309)</f>
        <v/>
      </c>
      <c r="U309" s="926" t="str">
        <f t="shared" si="7"/>
        <v/>
      </c>
      <c r="V309" s="926" t="str">
        <f t="shared" si="2"/>
        <v/>
      </c>
      <c r="W309" s="926" t="str">
        <f t="shared" si="3"/>
        <v/>
      </c>
      <c r="X309" s="926" t="str">
        <f t="shared" si="4"/>
        <v/>
      </c>
      <c r="Y309" s="888"/>
      <c r="Z309" s="925" t="str">
        <f t="shared" si="5"/>
        <v/>
      </c>
      <c r="AA309" s="888"/>
      <c r="AB309" s="924">
        <v>31</v>
      </c>
      <c r="AC309" s="925" t="str">
        <f>IF(AB309&gt;AF274,"",AB309)</f>
        <v/>
      </c>
      <c r="AD309" s="926" t="str">
        <f t="shared" si="8"/>
        <v/>
      </c>
      <c r="AE309" s="926" t="str">
        <f>IF(AB309&gt;AF274,"",$AD309*$AF$273)</f>
        <v/>
      </c>
      <c r="AF309" s="926" t="str">
        <f>IF(AB309&gt;AF274,"",AG309-AE309)</f>
        <v/>
      </c>
      <c r="AG309" s="926" t="str">
        <f>IF(AB309&gt;AF274,"",$AF$272*$AE$276)</f>
        <v/>
      </c>
      <c r="AH309" s="926" t="str">
        <f t="shared" si="9"/>
        <v/>
      </c>
      <c r="AI309" s="888"/>
      <c r="AJ309" s="927" t="str">
        <f>IF(AND($D309="Bilanz",$F309=""),0,IF($D309="","",IF(ROUND(F309,Korrektur!R1)=ROUND(U309,Korrektur!R1),0.25,0)))</f>
        <v/>
      </c>
      <c r="AK309" s="927" t="str">
        <f>IF($D309="","",IF(ROUND(G309,Korrektur!R1)=ROUND(V309,Korrektur!R1),0.25,0))</f>
        <v/>
      </c>
      <c r="AL309" s="927" t="str">
        <f>IF($D309="","",IF(ROUND(K309,Korrektur!R1)=ROUND(W309,Korrektur!R1),0.25,0))</f>
        <v/>
      </c>
      <c r="AM309" s="927" t="str">
        <f>IF($D309="","",IF(ROUND(L309,Korrektur!R1)=ROUND(X309,Korrektur!R1),0.25,0))</f>
        <v/>
      </c>
    </row>
    <row r="310" spans="1:39" hidden="1" x14ac:dyDescent="0.2">
      <c r="A310" s="1098"/>
      <c r="B310" s="835"/>
      <c r="C310" s="888"/>
      <c r="D310" s="1140" t="str">
        <f t="shared" si="6"/>
        <v/>
      </c>
      <c r="E310" s="1141"/>
      <c r="F310" s="918"/>
      <c r="G310" s="1142"/>
      <c r="H310" s="1143"/>
      <c r="I310" s="1143"/>
      <c r="J310" s="1144"/>
      <c r="K310" s="918"/>
      <c r="L310" s="1142"/>
      <c r="M310" s="1144"/>
      <c r="N310" s="891"/>
      <c r="O310" s="920" t="str">
        <f t="shared" si="0"/>
        <v/>
      </c>
      <c r="P310" s="921" t="str">
        <f t="shared" si="10"/>
        <v/>
      </c>
      <c r="Q310" s="892" t="str">
        <f t="shared" si="1"/>
        <v/>
      </c>
      <c r="R310" s="892"/>
      <c r="S310" s="924">
        <v>32</v>
      </c>
      <c r="T310" s="925" t="str">
        <f>IF(S310&gt;H274,"",S310)</f>
        <v/>
      </c>
      <c r="U310" s="926" t="str">
        <f t="shared" si="7"/>
        <v/>
      </c>
      <c r="V310" s="926" t="str">
        <f t="shared" si="2"/>
        <v/>
      </c>
      <c r="W310" s="926" t="str">
        <f t="shared" si="3"/>
        <v/>
      </c>
      <c r="X310" s="926" t="str">
        <f t="shared" si="4"/>
        <v/>
      </c>
      <c r="Y310" s="888"/>
      <c r="Z310" s="925" t="str">
        <f t="shared" si="5"/>
        <v/>
      </c>
      <c r="AA310" s="888"/>
      <c r="AB310" s="924">
        <v>32</v>
      </c>
      <c r="AC310" s="925" t="str">
        <f>IF(AB310&gt;AF274,"",AB310)</f>
        <v/>
      </c>
      <c r="AD310" s="926" t="str">
        <f t="shared" si="8"/>
        <v/>
      </c>
      <c r="AE310" s="926" t="str">
        <f>IF(AB310&gt;AF274,"",$AD310*$AF$273)</f>
        <v/>
      </c>
      <c r="AF310" s="926" t="str">
        <f>IF(AB310&gt;AF274,"",AG310-AE310)</f>
        <v/>
      </c>
      <c r="AG310" s="926" t="str">
        <f>IF(AB310&gt;AF274,"",$AF$272*$AE$276)</f>
        <v/>
      </c>
      <c r="AH310" s="926" t="str">
        <f t="shared" si="9"/>
        <v/>
      </c>
      <c r="AI310" s="888"/>
      <c r="AJ310" s="927" t="str">
        <f>IF(AND($D310="Bilanz",$F310=""),0,IF($D310="","",IF(ROUND(F310,Korrektur!R1)=ROUND(U310,Korrektur!R1),0.25,0)))</f>
        <v/>
      </c>
      <c r="AK310" s="927" t="str">
        <f>IF($D310="","",IF(ROUND(G310,Korrektur!R1)=ROUND(V310,Korrektur!R1),0.25,0))</f>
        <v/>
      </c>
      <c r="AL310" s="927" t="str">
        <f>IF($D310="","",IF(ROUND(K310,Korrektur!R1)=ROUND(W310,Korrektur!R1),0.25,0))</f>
        <v/>
      </c>
      <c r="AM310" s="927" t="str">
        <f>IF($D310="","",IF(ROUND(L310,Korrektur!R1)=ROUND(X310,Korrektur!R1),0.25,0))</f>
        <v/>
      </c>
    </row>
    <row r="311" spans="1:39" hidden="1" x14ac:dyDescent="0.2">
      <c r="A311" s="1098"/>
      <c r="B311" s="835"/>
      <c r="C311" s="888"/>
      <c r="D311" s="1140" t="str">
        <f t="shared" si="6"/>
        <v/>
      </c>
      <c r="E311" s="1141"/>
      <c r="F311" s="918"/>
      <c r="G311" s="1142"/>
      <c r="H311" s="1143"/>
      <c r="I311" s="1143"/>
      <c r="J311" s="1144"/>
      <c r="K311" s="918"/>
      <c r="L311" s="1142"/>
      <c r="M311" s="1144"/>
      <c r="N311" s="891"/>
      <c r="O311" s="920" t="str">
        <f t="shared" ref="O311:O329" si="11">IF(SUM(F311:M311)=0,"",IF(S311&gt;$H$274+1,"",SUM(AJ311:AM311)))</f>
        <v/>
      </c>
      <c r="P311" s="921" t="str">
        <f t="shared" si="10"/>
        <v/>
      </c>
      <c r="Q311" s="892" t="str">
        <f t="shared" ref="Q311:Q329" si="12">IF(S311&gt;$H$274+1,"",1)</f>
        <v/>
      </c>
      <c r="R311" s="892"/>
      <c r="S311" s="924">
        <v>33</v>
      </c>
      <c r="T311" s="925" t="str">
        <f>IF(S311&gt;H274,"",S311)</f>
        <v/>
      </c>
      <c r="U311" s="926" t="str">
        <f t="shared" si="7"/>
        <v/>
      </c>
      <c r="V311" s="926" t="str">
        <f t="shared" ref="V311:V328" si="13">IF($D311="Bilanz",V$329,AE311)</f>
        <v/>
      </c>
      <c r="W311" s="926" t="str">
        <f t="shared" ref="W311:W328" si="14">IF($D311="Bilanz",W$329,AF311)</f>
        <v/>
      </c>
      <c r="X311" s="926" t="str">
        <f t="shared" ref="X311:X328" si="15">IF($D311="Bilanz",X$329,AG311)</f>
        <v/>
      </c>
      <c r="Y311" s="888"/>
      <c r="Z311" s="925" t="str">
        <f t="shared" ref="Z311:Z329" si="16">IF(AB311&gt;$AF$274+1,"",IF(AB311&gt;$AF$274,$AC$329,AB311))</f>
        <v/>
      </c>
      <c r="AA311" s="888"/>
      <c r="AB311" s="924">
        <v>33</v>
      </c>
      <c r="AC311" s="925" t="str">
        <f>IF(AB311&gt;AF274,"",AB311)</f>
        <v/>
      </c>
      <c r="AD311" s="926" t="str">
        <f t="shared" si="8"/>
        <v/>
      </c>
      <c r="AE311" s="926" t="str">
        <f>IF(AB311&gt;AF274,"",$AD311*$AF$273)</f>
        <v/>
      </c>
      <c r="AF311" s="926" t="str">
        <f>IF(AB311&gt;AF274,"",AG311-AE311)</f>
        <v/>
      </c>
      <c r="AG311" s="926" t="str">
        <f>IF(AB311&gt;AF274,"",$AF$272*$AE$276)</f>
        <v/>
      </c>
      <c r="AH311" s="926" t="str">
        <f t="shared" si="9"/>
        <v/>
      </c>
      <c r="AI311" s="888"/>
      <c r="AJ311" s="927" t="str">
        <f>IF(AND($D311="Bilanz",$F311=""),0,IF($D311="","",IF(ROUND(F311,Korrektur!R1)=ROUND(U311,Korrektur!R1),0.25,0)))</f>
        <v/>
      </c>
      <c r="AK311" s="927" t="str">
        <f>IF($D311="","",IF(ROUND(G311,Korrektur!R1)=ROUND(V311,Korrektur!R1),0.25,0))</f>
        <v/>
      </c>
      <c r="AL311" s="927" t="str">
        <f>IF($D311="","",IF(ROUND(K311,Korrektur!R1)=ROUND(W311,Korrektur!R1),0.25,0))</f>
        <v/>
      </c>
      <c r="AM311" s="927" t="str">
        <f>IF($D311="","",IF(ROUND(L311,Korrektur!R1)=ROUND(X311,Korrektur!R1),0.25,0))</f>
        <v/>
      </c>
    </row>
    <row r="312" spans="1:39" hidden="1" x14ac:dyDescent="0.2">
      <c r="A312" s="1098"/>
      <c r="B312" s="835"/>
      <c r="C312" s="888"/>
      <c r="D312" s="1140" t="str">
        <f t="shared" ref="D312:D329" si="17">Z312</f>
        <v/>
      </c>
      <c r="E312" s="1141"/>
      <c r="F312" s="918"/>
      <c r="G312" s="1142"/>
      <c r="H312" s="1143"/>
      <c r="I312" s="1143"/>
      <c r="J312" s="1144"/>
      <c r="K312" s="918"/>
      <c r="L312" s="1142"/>
      <c r="M312" s="1144"/>
      <c r="N312" s="891"/>
      <c r="O312" s="920" t="str">
        <f t="shared" si="11"/>
        <v/>
      </c>
      <c r="P312" s="921" t="str">
        <f t="shared" si="10"/>
        <v/>
      </c>
      <c r="Q312" s="892" t="str">
        <f t="shared" si="12"/>
        <v/>
      </c>
      <c r="R312" s="892"/>
      <c r="S312" s="924">
        <v>34</v>
      </c>
      <c r="T312" s="925" t="str">
        <f>IF(S312&gt;H274,"",S312)</f>
        <v/>
      </c>
      <c r="U312" s="926" t="str">
        <f t="shared" ref="U312:U328" si="18">IF($D312="Bilanz",U$329,AD312)</f>
        <v/>
      </c>
      <c r="V312" s="926" t="str">
        <f t="shared" si="13"/>
        <v/>
      </c>
      <c r="W312" s="926" t="str">
        <f t="shared" si="14"/>
        <v/>
      </c>
      <c r="X312" s="926" t="str">
        <f t="shared" si="15"/>
        <v/>
      </c>
      <c r="Y312" s="888"/>
      <c r="Z312" s="925" t="str">
        <f t="shared" si="16"/>
        <v/>
      </c>
      <c r="AA312" s="888"/>
      <c r="AB312" s="924">
        <v>34</v>
      </c>
      <c r="AC312" s="925" t="str">
        <f>IF(AB312&gt;AF274,"",AB312)</f>
        <v/>
      </c>
      <c r="AD312" s="926" t="str">
        <f t="shared" ref="AD312:AD328" si="19">IF(AB312&gt;$AF$274,"",$AD311-$AF311)</f>
        <v/>
      </c>
      <c r="AE312" s="926" t="str">
        <f>IF(AB312&gt;AF274,"",$AD312*$AF$273)</f>
        <v/>
      </c>
      <c r="AF312" s="926" t="str">
        <f>IF(AB312&gt;AF274,"",AG312-AE312)</f>
        <v/>
      </c>
      <c r="AG312" s="926" t="str">
        <f>IF(AB312&gt;AF274,"",$AF$272*$AE$276)</f>
        <v/>
      </c>
      <c r="AH312" s="926" t="str">
        <f t="shared" ref="AH312:AH328" si="20">IF(TYPE($AD311-$AF311)=16,"",$AD311-$AF311)</f>
        <v/>
      </c>
      <c r="AI312" s="888"/>
      <c r="AJ312" s="927" t="str">
        <f>IF(AND($D312="Bilanz",$F312=""),0,IF($D312="","",IF(ROUND(F312,Korrektur!R1)=ROUND(U312,Korrektur!R1),0.25,0)))</f>
        <v/>
      </c>
      <c r="AK312" s="927" t="str">
        <f>IF($D312="","",IF(ROUND(G312,Korrektur!R1)=ROUND(V312,Korrektur!R1),0.25,0))</f>
        <v/>
      </c>
      <c r="AL312" s="927" t="str">
        <f>IF($D312="","",IF(ROUND(K312,Korrektur!R1)=ROUND(W312,Korrektur!R1),0.25,0))</f>
        <v/>
      </c>
      <c r="AM312" s="927" t="str">
        <f>IF($D312="","",IF(ROUND(L312,Korrektur!R1)=ROUND(X312,Korrektur!R1),0.25,0))</f>
        <v/>
      </c>
    </row>
    <row r="313" spans="1:39" hidden="1" x14ac:dyDescent="0.2">
      <c r="A313" s="1098"/>
      <c r="B313" s="835"/>
      <c r="C313" s="888"/>
      <c r="D313" s="1140" t="str">
        <f t="shared" si="17"/>
        <v/>
      </c>
      <c r="E313" s="1141"/>
      <c r="F313" s="918"/>
      <c r="G313" s="1142"/>
      <c r="H313" s="1143"/>
      <c r="I313" s="1143"/>
      <c r="J313" s="1144"/>
      <c r="K313" s="918"/>
      <c r="L313" s="1142"/>
      <c r="M313" s="1144"/>
      <c r="N313" s="891"/>
      <c r="O313" s="920" t="str">
        <f t="shared" si="11"/>
        <v/>
      </c>
      <c r="P313" s="921" t="str">
        <f t="shared" ref="P313:P329" si="21">IF(S313&gt;$H$274+1,"","/")</f>
        <v/>
      </c>
      <c r="Q313" s="892" t="str">
        <f t="shared" si="12"/>
        <v/>
      </c>
      <c r="R313" s="892"/>
      <c r="S313" s="924">
        <v>35</v>
      </c>
      <c r="T313" s="925" t="str">
        <f>IF(S313&gt;H274,"",S313)</f>
        <v/>
      </c>
      <c r="U313" s="926" t="str">
        <f t="shared" si="18"/>
        <v/>
      </c>
      <c r="V313" s="926" t="str">
        <f t="shared" si="13"/>
        <v/>
      </c>
      <c r="W313" s="926" t="str">
        <f t="shared" si="14"/>
        <v/>
      </c>
      <c r="X313" s="926" t="str">
        <f t="shared" si="15"/>
        <v/>
      </c>
      <c r="Y313" s="888"/>
      <c r="Z313" s="925" t="str">
        <f t="shared" si="16"/>
        <v/>
      </c>
      <c r="AA313" s="888"/>
      <c r="AB313" s="924">
        <v>35</v>
      </c>
      <c r="AC313" s="925" t="str">
        <f>IF(AB313&gt;AF274,"",AB313)</f>
        <v/>
      </c>
      <c r="AD313" s="926" t="str">
        <f t="shared" si="19"/>
        <v/>
      </c>
      <c r="AE313" s="926" t="str">
        <f>IF(AB313&gt;AF274,"",$AD313*$AF$273)</f>
        <v/>
      </c>
      <c r="AF313" s="926" t="str">
        <f>IF(AB313&gt;AF274,"",AG313-AE313)</f>
        <v/>
      </c>
      <c r="AG313" s="926" t="str">
        <f>IF(AB313&gt;AF274,"",$AF$272*$AE$276)</f>
        <v/>
      </c>
      <c r="AH313" s="926" t="str">
        <f t="shared" si="20"/>
        <v/>
      </c>
      <c r="AI313" s="888"/>
      <c r="AJ313" s="927" t="str">
        <f>IF(AND($D313="Bilanz",$F313=""),0,IF($D313="","",IF(ROUND(F313,Korrektur!R1)=ROUND(U313,Korrektur!R1),0.25,0)))</f>
        <v/>
      </c>
      <c r="AK313" s="927" t="str">
        <f>IF($D313="","",IF(ROUND(G313,Korrektur!R1)=ROUND(V313,Korrektur!R1),0.25,0))</f>
        <v/>
      </c>
      <c r="AL313" s="927" t="str">
        <f>IF($D313="","",IF(ROUND(K313,Korrektur!R1)=ROUND(W313,Korrektur!R1),0.25,0))</f>
        <v/>
      </c>
      <c r="AM313" s="927" t="str">
        <f>IF($D313="","",IF(ROUND(L313,Korrektur!R1)=ROUND(X313,Korrektur!R1),0.25,0))</f>
        <v/>
      </c>
    </row>
    <row r="314" spans="1:39" hidden="1" x14ac:dyDescent="0.2">
      <c r="A314" s="1098"/>
      <c r="B314" s="835"/>
      <c r="C314" s="888"/>
      <c r="D314" s="1140" t="str">
        <f t="shared" si="17"/>
        <v/>
      </c>
      <c r="E314" s="1141"/>
      <c r="F314" s="918"/>
      <c r="G314" s="1142"/>
      <c r="H314" s="1143"/>
      <c r="I314" s="1143"/>
      <c r="J314" s="1144"/>
      <c r="K314" s="918"/>
      <c r="L314" s="1142"/>
      <c r="M314" s="1144"/>
      <c r="N314" s="891"/>
      <c r="O314" s="920" t="str">
        <f t="shared" si="11"/>
        <v/>
      </c>
      <c r="P314" s="921" t="str">
        <f t="shared" si="21"/>
        <v/>
      </c>
      <c r="Q314" s="892" t="str">
        <f t="shared" si="12"/>
        <v/>
      </c>
      <c r="R314" s="892"/>
      <c r="S314" s="924">
        <v>36</v>
      </c>
      <c r="T314" s="925" t="str">
        <f>IF(S314&gt;H274,"",S314)</f>
        <v/>
      </c>
      <c r="U314" s="926" t="str">
        <f t="shared" si="18"/>
        <v/>
      </c>
      <c r="V314" s="926" t="str">
        <f t="shared" si="13"/>
        <v/>
      </c>
      <c r="W314" s="926" t="str">
        <f t="shared" si="14"/>
        <v/>
      </c>
      <c r="X314" s="926" t="str">
        <f t="shared" si="15"/>
        <v/>
      </c>
      <c r="Y314" s="888"/>
      <c r="Z314" s="925" t="str">
        <f t="shared" si="16"/>
        <v/>
      </c>
      <c r="AA314" s="888"/>
      <c r="AB314" s="924">
        <v>36</v>
      </c>
      <c r="AC314" s="925" t="str">
        <f>IF(AB314&gt;AF274,"",AB314)</f>
        <v/>
      </c>
      <c r="AD314" s="926" t="str">
        <f t="shared" si="19"/>
        <v/>
      </c>
      <c r="AE314" s="926" t="str">
        <f>IF(AB314&gt;AF274,"",$AD314*$AF$273)</f>
        <v/>
      </c>
      <c r="AF314" s="926" t="str">
        <f>IF(AB314&gt;AF274,"",AG314-AE314)</f>
        <v/>
      </c>
      <c r="AG314" s="926" t="str">
        <f>IF(AB314&gt;AF274,"",$AF$272*$AE$276)</f>
        <v/>
      </c>
      <c r="AH314" s="926" t="str">
        <f t="shared" si="20"/>
        <v/>
      </c>
      <c r="AI314" s="888"/>
      <c r="AJ314" s="927" t="str">
        <f>IF(AND($D314="Bilanz",$F314=""),0,IF($D314="","",IF(ROUND(F314,Korrektur!R1)=ROUND(U314,Korrektur!R1),0.25,0)))</f>
        <v/>
      </c>
      <c r="AK314" s="927" t="str">
        <f>IF($D314="","",IF(ROUND(G314,Korrektur!R1)=ROUND(V314,Korrektur!R1),0.25,0))</f>
        <v/>
      </c>
      <c r="AL314" s="927" t="str">
        <f>IF($D314="","",IF(ROUND(K314,Korrektur!R1)=ROUND(W314,Korrektur!R1),0.25,0))</f>
        <v/>
      </c>
      <c r="AM314" s="927" t="str">
        <f>IF($D314="","",IF(ROUND(L314,Korrektur!R1)=ROUND(X314,Korrektur!R1),0.25,0))</f>
        <v/>
      </c>
    </row>
    <row r="315" spans="1:39" hidden="1" x14ac:dyDescent="0.2">
      <c r="A315" s="1098"/>
      <c r="B315" s="835"/>
      <c r="C315" s="888"/>
      <c r="D315" s="1140" t="str">
        <f t="shared" si="17"/>
        <v/>
      </c>
      <c r="E315" s="1141"/>
      <c r="F315" s="918"/>
      <c r="G315" s="1142"/>
      <c r="H315" s="1143"/>
      <c r="I315" s="1143"/>
      <c r="J315" s="1144"/>
      <c r="K315" s="918"/>
      <c r="L315" s="1142"/>
      <c r="M315" s="1144"/>
      <c r="N315" s="891"/>
      <c r="O315" s="920" t="str">
        <f t="shared" si="11"/>
        <v/>
      </c>
      <c r="P315" s="921" t="str">
        <f t="shared" si="21"/>
        <v/>
      </c>
      <c r="Q315" s="892" t="str">
        <f t="shared" si="12"/>
        <v/>
      </c>
      <c r="R315" s="892"/>
      <c r="S315" s="924">
        <v>37</v>
      </c>
      <c r="T315" s="925" t="str">
        <f>IF(S315&gt;H274,"",S315)</f>
        <v/>
      </c>
      <c r="U315" s="926" t="str">
        <f t="shared" si="18"/>
        <v/>
      </c>
      <c r="V315" s="926" t="str">
        <f t="shared" si="13"/>
        <v/>
      </c>
      <c r="W315" s="926" t="str">
        <f t="shared" si="14"/>
        <v/>
      </c>
      <c r="X315" s="926" t="str">
        <f t="shared" si="15"/>
        <v/>
      </c>
      <c r="Y315" s="888"/>
      <c r="Z315" s="925" t="str">
        <f t="shared" si="16"/>
        <v/>
      </c>
      <c r="AA315" s="888"/>
      <c r="AB315" s="924">
        <v>37</v>
      </c>
      <c r="AC315" s="925" t="str">
        <f>IF(AB315&gt;AF274,"",AB315)</f>
        <v/>
      </c>
      <c r="AD315" s="926" t="str">
        <f t="shared" si="19"/>
        <v/>
      </c>
      <c r="AE315" s="926" t="str">
        <f>IF(AB315&gt;AF274,"",$AD315*$AF$273)</f>
        <v/>
      </c>
      <c r="AF315" s="926" t="str">
        <f>IF(AB315&gt;AF274,"",AG315-AE315)</f>
        <v/>
      </c>
      <c r="AG315" s="926" t="str">
        <f>IF(AB315&gt;AF274,"",$AF$272*$AE$276)</f>
        <v/>
      </c>
      <c r="AH315" s="926" t="str">
        <f t="shared" si="20"/>
        <v/>
      </c>
      <c r="AI315" s="888"/>
      <c r="AJ315" s="927" t="str">
        <f>IF(AND($D315="Bilanz",$F315=""),0,IF($D315="","",IF(ROUND(F315,Korrektur!R1)=ROUND(U315,Korrektur!R1),0.25,0)))</f>
        <v/>
      </c>
      <c r="AK315" s="927" t="str">
        <f>IF($D315="","",IF(ROUND(G315,Korrektur!R1)=ROUND(V315,Korrektur!R1),0.25,0))</f>
        <v/>
      </c>
      <c r="AL315" s="927" t="str">
        <f>IF($D315="","",IF(ROUND(K315,Korrektur!R1)=ROUND(W315,Korrektur!R1),0.25,0))</f>
        <v/>
      </c>
      <c r="AM315" s="927" t="str">
        <f>IF($D315="","",IF(ROUND(L315,Korrektur!R1)=ROUND(X315,Korrektur!R1),0.25,0))</f>
        <v/>
      </c>
    </row>
    <row r="316" spans="1:39" hidden="1" x14ac:dyDescent="0.2">
      <c r="A316" s="1098"/>
      <c r="B316" s="835"/>
      <c r="C316" s="888"/>
      <c r="D316" s="1140" t="str">
        <f t="shared" si="17"/>
        <v/>
      </c>
      <c r="E316" s="1141"/>
      <c r="F316" s="918"/>
      <c r="G316" s="1142"/>
      <c r="H316" s="1143"/>
      <c r="I316" s="1143"/>
      <c r="J316" s="1144"/>
      <c r="K316" s="918"/>
      <c r="L316" s="1142"/>
      <c r="M316" s="1144"/>
      <c r="N316" s="891"/>
      <c r="O316" s="920" t="str">
        <f t="shared" si="11"/>
        <v/>
      </c>
      <c r="P316" s="921" t="str">
        <f t="shared" si="21"/>
        <v/>
      </c>
      <c r="Q316" s="892" t="str">
        <f t="shared" si="12"/>
        <v/>
      </c>
      <c r="R316" s="892"/>
      <c r="S316" s="924">
        <v>38</v>
      </c>
      <c r="T316" s="925" t="str">
        <f>IF(S316&gt;H274,"",S316)</f>
        <v/>
      </c>
      <c r="U316" s="926" t="str">
        <f t="shared" si="18"/>
        <v/>
      </c>
      <c r="V316" s="926" t="str">
        <f t="shared" si="13"/>
        <v/>
      </c>
      <c r="W316" s="926" t="str">
        <f t="shared" si="14"/>
        <v/>
      </c>
      <c r="X316" s="926" t="str">
        <f t="shared" si="15"/>
        <v/>
      </c>
      <c r="Y316" s="888"/>
      <c r="Z316" s="925" t="str">
        <f t="shared" si="16"/>
        <v/>
      </c>
      <c r="AA316" s="888"/>
      <c r="AB316" s="924">
        <v>38</v>
      </c>
      <c r="AC316" s="925" t="str">
        <f>IF(AB316&gt;AF274,"",AB316)</f>
        <v/>
      </c>
      <c r="AD316" s="926" t="str">
        <f t="shared" si="19"/>
        <v/>
      </c>
      <c r="AE316" s="926" t="str">
        <f>IF(AB316&gt;AF274,"",$AD316*$AF$273)</f>
        <v/>
      </c>
      <c r="AF316" s="926" t="str">
        <f>IF(AB316&gt;AF274,"",AG316-AE316)</f>
        <v/>
      </c>
      <c r="AG316" s="926" t="str">
        <f>IF(AB316&gt;AF274,"",$AF$272*$AE$276)</f>
        <v/>
      </c>
      <c r="AH316" s="926" t="str">
        <f t="shared" si="20"/>
        <v/>
      </c>
      <c r="AI316" s="888"/>
      <c r="AJ316" s="927" t="str">
        <f>IF(AND($D316="Bilanz",$F316=""),0,IF($D316="","",IF(ROUND(F316,Korrektur!R1)=ROUND(U316,Korrektur!R1),0.25,0)))</f>
        <v/>
      </c>
      <c r="AK316" s="927" t="str">
        <f>IF($D316="","",IF(ROUND(G316,Korrektur!R1)=ROUND(V316,Korrektur!R1),0.25,0))</f>
        <v/>
      </c>
      <c r="AL316" s="927" t="str">
        <f>IF($D316="","",IF(ROUND(K316,Korrektur!R1)=ROUND(W316,Korrektur!R1),0.25,0))</f>
        <v/>
      </c>
      <c r="AM316" s="927" t="str">
        <f>IF($D316="","",IF(ROUND(L316,Korrektur!R1)=ROUND(X316,Korrektur!R1),0.25,0))</f>
        <v/>
      </c>
    </row>
    <row r="317" spans="1:39" hidden="1" x14ac:dyDescent="0.2">
      <c r="A317" s="1098"/>
      <c r="B317" s="835"/>
      <c r="C317" s="888"/>
      <c r="D317" s="1140" t="str">
        <f t="shared" si="17"/>
        <v/>
      </c>
      <c r="E317" s="1141"/>
      <c r="F317" s="918"/>
      <c r="G317" s="1142"/>
      <c r="H317" s="1143"/>
      <c r="I317" s="1143"/>
      <c r="J317" s="1144"/>
      <c r="K317" s="918"/>
      <c r="L317" s="1142"/>
      <c r="M317" s="1144"/>
      <c r="N317" s="891"/>
      <c r="O317" s="920" t="str">
        <f t="shared" si="11"/>
        <v/>
      </c>
      <c r="P317" s="921" t="str">
        <f t="shared" si="21"/>
        <v/>
      </c>
      <c r="Q317" s="892" t="str">
        <f t="shared" si="12"/>
        <v/>
      </c>
      <c r="R317" s="892"/>
      <c r="S317" s="924">
        <v>39</v>
      </c>
      <c r="T317" s="925" t="str">
        <f>IF(S317&gt;H274,"",S317)</f>
        <v/>
      </c>
      <c r="U317" s="926" t="str">
        <f t="shared" si="18"/>
        <v/>
      </c>
      <c r="V317" s="926" t="str">
        <f t="shared" si="13"/>
        <v/>
      </c>
      <c r="W317" s="926" t="str">
        <f t="shared" si="14"/>
        <v/>
      </c>
      <c r="X317" s="926" t="str">
        <f t="shared" si="15"/>
        <v/>
      </c>
      <c r="Y317" s="888"/>
      <c r="Z317" s="925" t="str">
        <f t="shared" si="16"/>
        <v/>
      </c>
      <c r="AA317" s="888"/>
      <c r="AB317" s="924">
        <v>39</v>
      </c>
      <c r="AC317" s="925" t="str">
        <f>IF(AB317&gt;AF274,"",AB317)</f>
        <v/>
      </c>
      <c r="AD317" s="926" t="str">
        <f t="shared" si="19"/>
        <v/>
      </c>
      <c r="AE317" s="926" t="str">
        <f>IF(AB317&gt;AF274,"",$AD317*$AF$273)</f>
        <v/>
      </c>
      <c r="AF317" s="926" t="str">
        <f>IF(AB317&gt;AF274,"",AG317-AE317)</f>
        <v/>
      </c>
      <c r="AG317" s="926" t="str">
        <f>IF(AB317&gt;AF274,"",$AF$272*$AE$276)</f>
        <v/>
      </c>
      <c r="AH317" s="926" t="str">
        <f t="shared" si="20"/>
        <v/>
      </c>
      <c r="AI317" s="888"/>
      <c r="AJ317" s="927" t="str">
        <f>IF(AND($D317="Bilanz",$F317=""),0,IF($D317="","",IF(ROUND(F317,Korrektur!R1)=ROUND(U317,Korrektur!R1),0.25,0)))</f>
        <v/>
      </c>
      <c r="AK317" s="927" t="str">
        <f>IF($D317="","",IF(ROUND(G317,Korrektur!R1)=ROUND(V317,Korrektur!R1),0.25,0))</f>
        <v/>
      </c>
      <c r="AL317" s="927" t="str">
        <f>IF($D317="","",IF(ROUND(K317,Korrektur!R1)=ROUND(W317,Korrektur!R1),0.25,0))</f>
        <v/>
      </c>
      <c r="AM317" s="927" t="str">
        <f>IF($D317="","",IF(ROUND(L317,Korrektur!R1)=ROUND(X317,Korrektur!R1),0.25,0))</f>
        <v/>
      </c>
    </row>
    <row r="318" spans="1:39" hidden="1" x14ac:dyDescent="0.2">
      <c r="A318" s="1098"/>
      <c r="B318" s="835"/>
      <c r="C318" s="888"/>
      <c r="D318" s="1140" t="str">
        <f t="shared" si="17"/>
        <v/>
      </c>
      <c r="E318" s="1141"/>
      <c r="F318" s="918"/>
      <c r="G318" s="1142"/>
      <c r="H318" s="1143"/>
      <c r="I318" s="1143"/>
      <c r="J318" s="1144"/>
      <c r="K318" s="918"/>
      <c r="L318" s="1142"/>
      <c r="M318" s="1144"/>
      <c r="N318" s="891"/>
      <c r="O318" s="920" t="str">
        <f t="shared" si="11"/>
        <v/>
      </c>
      <c r="P318" s="921" t="str">
        <f t="shared" si="21"/>
        <v/>
      </c>
      <c r="Q318" s="892" t="str">
        <f t="shared" si="12"/>
        <v/>
      </c>
      <c r="R318" s="892"/>
      <c r="S318" s="924">
        <v>40</v>
      </c>
      <c r="T318" s="925" t="str">
        <f>IF(S318&gt;H274,"",S318)</f>
        <v/>
      </c>
      <c r="U318" s="926" t="str">
        <f t="shared" si="18"/>
        <v/>
      </c>
      <c r="V318" s="926" t="str">
        <f t="shared" si="13"/>
        <v/>
      </c>
      <c r="W318" s="926" t="str">
        <f t="shared" si="14"/>
        <v/>
      </c>
      <c r="X318" s="926" t="str">
        <f t="shared" si="15"/>
        <v/>
      </c>
      <c r="Y318" s="888"/>
      <c r="Z318" s="925" t="str">
        <f t="shared" si="16"/>
        <v/>
      </c>
      <c r="AA318" s="888"/>
      <c r="AB318" s="924">
        <v>40</v>
      </c>
      <c r="AC318" s="925" t="str">
        <f>IF(AB318&gt;AF274,"",AB318)</f>
        <v/>
      </c>
      <c r="AD318" s="926" t="str">
        <f t="shared" si="19"/>
        <v/>
      </c>
      <c r="AE318" s="926" t="str">
        <f>IF(AB318&gt;AF274,"",$AD318*$AF$273)</f>
        <v/>
      </c>
      <c r="AF318" s="926" t="str">
        <f>IF(AB318&gt;AF274,"",AG318-AE318)</f>
        <v/>
      </c>
      <c r="AG318" s="926" t="str">
        <f>IF(AB318&gt;AF274,"",$AF$272*$AE$276)</f>
        <v/>
      </c>
      <c r="AH318" s="926" t="str">
        <f t="shared" si="20"/>
        <v/>
      </c>
      <c r="AI318" s="888"/>
      <c r="AJ318" s="927" t="str">
        <f>IF(AND($D318="Bilanz",$F318=""),0,IF($D318="","",IF(ROUND(F318,Korrektur!R1)=ROUND(U318,Korrektur!R1),0.25,0)))</f>
        <v/>
      </c>
      <c r="AK318" s="927" t="str">
        <f>IF($D318="","",IF(ROUND(G318,Korrektur!R1)=ROUND(V318,Korrektur!R1),0.25,0))</f>
        <v/>
      </c>
      <c r="AL318" s="927" t="str">
        <f>IF($D318="","",IF(ROUND(K318,Korrektur!R1)=ROUND(W318,Korrektur!R1),0.25,0))</f>
        <v/>
      </c>
      <c r="AM318" s="927" t="str">
        <f>IF($D318="","",IF(ROUND(L318,Korrektur!R1)=ROUND(X318,Korrektur!R1),0.25,0))</f>
        <v/>
      </c>
    </row>
    <row r="319" spans="1:39" hidden="1" x14ac:dyDescent="0.2">
      <c r="A319" s="1098"/>
      <c r="B319" s="835"/>
      <c r="C319" s="888"/>
      <c r="D319" s="1140" t="str">
        <f t="shared" si="17"/>
        <v/>
      </c>
      <c r="E319" s="1141"/>
      <c r="F319" s="918"/>
      <c r="G319" s="1142"/>
      <c r="H319" s="1143"/>
      <c r="I319" s="1143"/>
      <c r="J319" s="1144"/>
      <c r="K319" s="918"/>
      <c r="L319" s="1142"/>
      <c r="M319" s="1144"/>
      <c r="N319" s="891"/>
      <c r="O319" s="920" t="str">
        <f t="shared" si="11"/>
        <v/>
      </c>
      <c r="P319" s="921" t="str">
        <f t="shared" si="21"/>
        <v/>
      </c>
      <c r="Q319" s="892" t="str">
        <f t="shared" si="12"/>
        <v/>
      </c>
      <c r="R319" s="892"/>
      <c r="S319" s="924">
        <v>41</v>
      </c>
      <c r="T319" s="925" t="str">
        <f>IF(S319&gt;H274,"",S319)</f>
        <v/>
      </c>
      <c r="U319" s="926" t="str">
        <f t="shared" si="18"/>
        <v/>
      </c>
      <c r="V319" s="926" t="str">
        <f t="shared" si="13"/>
        <v/>
      </c>
      <c r="W319" s="926" t="str">
        <f t="shared" si="14"/>
        <v/>
      </c>
      <c r="X319" s="926" t="str">
        <f t="shared" si="15"/>
        <v/>
      </c>
      <c r="Y319" s="888"/>
      <c r="Z319" s="925" t="str">
        <f t="shared" si="16"/>
        <v/>
      </c>
      <c r="AA319" s="888"/>
      <c r="AB319" s="924">
        <v>41</v>
      </c>
      <c r="AC319" s="925" t="str">
        <f>IF(AB319&gt;AF274,"",AB319)</f>
        <v/>
      </c>
      <c r="AD319" s="926" t="str">
        <f t="shared" si="19"/>
        <v/>
      </c>
      <c r="AE319" s="926" t="str">
        <f>IF(AB319&gt;AF274,"",$AD319*$AF$273)</f>
        <v/>
      </c>
      <c r="AF319" s="926" t="str">
        <f>IF(AB319&gt;AF274,"",AG319-AE319)</f>
        <v/>
      </c>
      <c r="AG319" s="926" t="str">
        <f>IF(AB319&gt;AF274,"",$AF$272*$AE$276)</f>
        <v/>
      </c>
      <c r="AH319" s="926" t="str">
        <f t="shared" si="20"/>
        <v/>
      </c>
      <c r="AI319" s="888"/>
      <c r="AJ319" s="927" t="str">
        <f>IF(AND($D319="Bilanz",$F319=""),0,IF($D319="","",IF(ROUND(F319,Korrektur!R1)=ROUND(U319,Korrektur!R1),0.25,0)))</f>
        <v/>
      </c>
      <c r="AK319" s="927" t="str">
        <f>IF($D319="","",IF(ROUND(G319,Korrektur!R1)=ROUND(V319,Korrektur!R1),0.25,0))</f>
        <v/>
      </c>
      <c r="AL319" s="927" t="str">
        <f>IF($D319="","",IF(ROUND(K319,Korrektur!R1)=ROUND(W319,Korrektur!R1),0.25,0))</f>
        <v/>
      </c>
      <c r="AM319" s="927" t="str">
        <f>IF($D319="","",IF(ROUND(L319,Korrektur!R1)=ROUND(X319,Korrektur!R1),0.25,0))</f>
        <v/>
      </c>
    </row>
    <row r="320" spans="1:39" hidden="1" x14ac:dyDescent="0.2">
      <c r="A320" s="1098"/>
      <c r="B320" s="835"/>
      <c r="C320" s="888"/>
      <c r="D320" s="1140" t="str">
        <f t="shared" si="17"/>
        <v/>
      </c>
      <c r="E320" s="1141"/>
      <c r="F320" s="918"/>
      <c r="G320" s="1142"/>
      <c r="H320" s="1143"/>
      <c r="I320" s="1143"/>
      <c r="J320" s="1144"/>
      <c r="K320" s="918"/>
      <c r="L320" s="1142"/>
      <c r="M320" s="1144"/>
      <c r="N320" s="891"/>
      <c r="O320" s="920" t="str">
        <f t="shared" si="11"/>
        <v/>
      </c>
      <c r="P320" s="921" t="str">
        <f t="shared" si="21"/>
        <v/>
      </c>
      <c r="Q320" s="892" t="str">
        <f t="shared" si="12"/>
        <v/>
      </c>
      <c r="R320" s="892"/>
      <c r="S320" s="924">
        <v>42</v>
      </c>
      <c r="T320" s="925" t="str">
        <f>IF(S320&gt;H274,"",S320)</f>
        <v/>
      </c>
      <c r="U320" s="926" t="str">
        <f t="shared" si="18"/>
        <v/>
      </c>
      <c r="V320" s="926" t="str">
        <f t="shared" si="13"/>
        <v/>
      </c>
      <c r="W320" s="926" t="str">
        <f t="shared" si="14"/>
        <v/>
      </c>
      <c r="X320" s="926" t="str">
        <f t="shared" si="15"/>
        <v/>
      </c>
      <c r="Y320" s="888"/>
      <c r="Z320" s="925" t="str">
        <f t="shared" si="16"/>
        <v/>
      </c>
      <c r="AA320" s="888"/>
      <c r="AB320" s="924">
        <v>42</v>
      </c>
      <c r="AC320" s="925" t="str">
        <f>IF(AB320&gt;AF274,"",AB320)</f>
        <v/>
      </c>
      <c r="AD320" s="926" t="str">
        <f t="shared" si="19"/>
        <v/>
      </c>
      <c r="AE320" s="926" t="str">
        <f>IF(AB320&gt;AF274,"",$AD320*$AF$273)</f>
        <v/>
      </c>
      <c r="AF320" s="926" t="str">
        <f>IF(AB320&gt;AF274,"",AG320-AE320)</f>
        <v/>
      </c>
      <c r="AG320" s="926" t="str">
        <f>IF(AB320&gt;AF274,"",$AF$272*$AE$276)</f>
        <v/>
      </c>
      <c r="AH320" s="926" t="str">
        <f t="shared" si="20"/>
        <v/>
      </c>
      <c r="AI320" s="888"/>
      <c r="AJ320" s="927" t="str">
        <f>IF(AND($D320="Bilanz",$F320=""),0,IF($D320="","",IF(ROUND(F320,Korrektur!R1)=ROUND(U320,Korrektur!R1),0.25,0)))</f>
        <v/>
      </c>
      <c r="AK320" s="927" t="str">
        <f>IF($D320="","",IF(ROUND(G320,Korrektur!R1)=ROUND(V320,Korrektur!R1),0.25,0))</f>
        <v/>
      </c>
      <c r="AL320" s="927" t="str">
        <f>IF($D320="","",IF(ROUND(K320,Korrektur!R1)=ROUND(W320,Korrektur!R1),0.25,0))</f>
        <v/>
      </c>
      <c r="AM320" s="927" t="str">
        <f>IF($D320="","",IF(ROUND(L320,Korrektur!R1)=ROUND(X320,Korrektur!R1),0.25,0))</f>
        <v/>
      </c>
    </row>
    <row r="321" spans="1:39" hidden="1" x14ac:dyDescent="0.2">
      <c r="A321" s="1098"/>
      <c r="B321" s="835"/>
      <c r="C321" s="888"/>
      <c r="D321" s="1140" t="str">
        <f t="shared" si="17"/>
        <v/>
      </c>
      <c r="E321" s="1141"/>
      <c r="F321" s="918"/>
      <c r="G321" s="1142"/>
      <c r="H321" s="1143"/>
      <c r="I321" s="1143"/>
      <c r="J321" s="1144"/>
      <c r="K321" s="918"/>
      <c r="L321" s="1142"/>
      <c r="M321" s="1144"/>
      <c r="N321" s="891"/>
      <c r="O321" s="920" t="str">
        <f t="shared" si="11"/>
        <v/>
      </c>
      <c r="P321" s="921" t="str">
        <f t="shared" si="21"/>
        <v/>
      </c>
      <c r="Q321" s="892" t="str">
        <f t="shared" si="12"/>
        <v/>
      </c>
      <c r="R321" s="892"/>
      <c r="S321" s="924">
        <v>43</v>
      </c>
      <c r="T321" s="925" t="str">
        <f>IF(S321&gt;H274,"",S321)</f>
        <v/>
      </c>
      <c r="U321" s="926" t="str">
        <f t="shared" si="18"/>
        <v/>
      </c>
      <c r="V321" s="926" t="str">
        <f t="shared" si="13"/>
        <v/>
      </c>
      <c r="W321" s="926" t="str">
        <f t="shared" si="14"/>
        <v/>
      </c>
      <c r="X321" s="926" t="str">
        <f t="shared" si="15"/>
        <v/>
      </c>
      <c r="Y321" s="888"/>
      <c r="Z321" s="925" t="str">
        <f t="shared" si="16"/>
        <v/>
      </c>
      <c r="AA321" s="888"/>
      <c r="AB321" s="924">
        <v>43</v>
      </c>
      <c r="AC321" s="925" t="str">
        <f>IF(AB321&gt;AF274,"",AB321)</f>
        <v/>
      </c>
      <c r="AD321" s="926" t="str">
        <f t="shared" si="19"/>
        <v/>
      </c>
      <c r="AE321" s="926" t="str">
        <f>IF(AB321&gt;AF274,"",$AD321*$AF$273)</f>
        <v/>
      </c>
      <c r="AF321" s="926" t="str">
        <f>IF(AB321&gt;AF274,"",AG321-AE321)</f>
        <v/>
      </c>
      <c r="AG321" s="926" t="str">
        <f>IF(AB321&gt;AF274,"",$AF$272*$AE$276)</f>
        <v/>
      </c>
      <c r="AH321" s="926" t="str">
        <f t="shared" si="20"/>
        <v/>
      </c>
      <c r="AI321" s="888"/>
      <c r="AJ321" s="927" t="str">
        <f>IF(AND($D321="Bilanz",$F321=""),0,IF($D321="","",IF(ROUND(F321,Korrektur!R1)=ROUND(U321,Korrektur!R1),0.25,0)))</f>
        <v/>
      </c>
      <c r="AK321" s="927" t="str">
        <f>IF($D321="","",IF(ROUND(G321,Korrektur!R1)=ROUND(V321,Korrektur!R1),0.25,0))</f>
        <v/>
      </c>
      <c r="AL321" s="927" t="str">
        <f>IF($D321="","",IF(ROUND(K321,Korrektur!R1)=ROUND(W321,Korrektur!R1),0.25,0))</f>
        <v/>
      </c>
      <c r="AM321" s="927" t="str">
        <f>IF($D321="","",IF(ROUND(L321,Korrektur!R1)=ROUND(X321,Korrektur!R1),0.25,0))</f>
        <v/>
      </c>
    </row>
    <row r="322" spans="1:39" hidden="1" x14ac:dyDescent="0.2">
      <c r="A322" s="1098"/>
      <c r="B322" s="835"/>
      <c r="C322" s="888"/>
      <c r="D322" s="1140" t="str">
        <f t="shared" si="17"/>
        <v/>
      </c>
      <c r="E322" s="1141"/>
      <c r="F322" s="918"/>
      <c r="G322" s="1142"/>
      <c r="H322" s="1143"/>
      <c r="I322" s="1143"/>
      <c r="J322" s="1144"/>
      <c r="K322" s="918"/>
      <c r="L322" s="1142"/>
      <c r="M322" s="1144"/>
      <c r="N322" s="891"/>
      <c r="O322" s="920" t="str">
        <f t="shared" si="11"/>
        <v/>
      </c>
      <c r="P322" s="921" t="str">
        <f t="shared" si="21"/>
        <v/>
      </c>
      <c r="Q322" s="892" t="str">
        <f t="shared" si="12"/>
        <v/>
      </c>
      <c r="R322" s="892"/>
      <c r="S322" s="924">
        <v>44</v>
      </c>
      <c r="T322" s="925" t="str">
        <f>IF(S322&gt;H274,"",S322)</f>
        <v/>
      </c>
      <c r="U322" s="926" t="str">
        <f t="shared" si="18"/>
        <v/>
      </c>
      <c r="V322" s="926" t="str">
        <f t="shared" si="13"/>
        <v/>
      </c>
      <c r="W322" s="926" t="str">
        <f t="shared" si="14"/>
        <v/>
      </c>
      <c r="X322" s="926" t="str">
        <f t="shared" si="15"/>
        <v/>
      </c>
      <c r="Y322" s="888"/>
      <c r="Z322" s="925" t="str">
        <f t="shared" si="16"/>
        <v/>
      </c>
      <c r="AA322" s="888"/>
      <c r="AB322" s="924">
        <v>44</v>
      </c>
      <c r="AC322" s="925" t="str">
        <f>IF(AB322&gt;AF274,"",AB322)</f>
        <v/>
      </c>
      <c r="AD322" s="926" t="str">
        <f t="shared" si="19"/>
        <v/>
      </c>
      <c r="AE322" s="926" t="str">
        <f>IF(AB322&gt;AF274,"",$AD322*$AF$273)</f>
        <v/>
      </c>
      <c r="AF322" s="926" t="str">
        <f>IF(AB322&gt;AF274,"",AG322-AE322)</f>
        <v/>
      </c>
      <c r="AG322" s="926" t="str">
        <f>IF(AB322&gt;AF274,"",$AF$272*$AE$276)</f>
        <v/>
      </c>
      <c r="AH322" s="926" t="str">
        <f t="shared" si="20"/>
        <v/>
      </c>
      <c r="AI322" s="888"/>
      <c r="AJ322" s="927" t="str">
        <f>IF(AND($D322="Bilanz",$F322=""),0,IF($D322="","",IF(ROUND(F322,Korrektur!R1)=ROUND(U322,Korrektur!R1),0.25,0)))</f>
        <v/>
      </c>
      <c r="AK322" s="927" t="str">
        <f>IF($D322="","",IF(ROUND(G322,Korrektur!R1)=ROUND(V322,Korrektur!R1),0.25,0))</f>
        <v/>
      </c>
      <c r="AL322" s="927" t="str">
        <f>IF($D322="","",IF(ROUND(K322,Korrektur!R1)=ROUND(W322,Korrektur!R1),0.25,0))</f>
        <v/>
      </c>
      <c r="AM322" s="927" t="str">
        <f>IF($D322="","",IF(ROUND(L322,Korrektur!R1)=ROUND(X322,Korrektur!R1),0.25,0))</f>
        <v/>
      </c>
    </row>
    <row r="323" spans="1:39" hidden="1" x14ac:dyDescent="0.2">
      <c r="A323" s="1098"/>
      <c r="B323" s="835"/>
      <c r="C323" s="888"/>
      <c r="D323" s="1140" t="str">
        <f t="shared" si="17"/>
        <v/>
      </c>
      <c r="E323" s="1141"/>
      <c r="F323" s="918"/>
      <c r="G323" s="1142"/>
      <c r="H323" s="1143"/>
      <c r="I323" s="1143"/>
      <c r="J323" s="1144"/>
      <c r="K323" s="918"/>
      <c r="L323" s="1142"/>
      <c r="M323" s="1144"/>
      <c r="N323" s="891"/>
      <c r="O323" s="920" t="str">
        <f t="shared" si="11"/>
        <v/>
      </c>
      <c r="P323" s="921" t="str">
        <f t="shared" si="21"/>
        <v/>
      </c>
      <c r="Q323" s="892" t="str">
        <f t="shared" si="12"/>
        <v/>
      </c>
      <c r="R323" s="892"/>
      <c r="S323" s="924">
        <v>45</v>
      </c>
      <c r="T323" s="925" t="str">
        <f>IF(S323&gt;H274,"",S323)</f>
        <v/>
      </c>
      <c r="U323" s="926" t="str">
        <f t="shared" si="18"/>
        <v/>
      </c>
      <c r="V323" s="926" t="str">
        <f t="shared" si="13"/>
        <v/>
      </c>
      <c r="W323" s="926" t="str">
        <f t="shared" si="14"/>
        <v/>
      </c>
      <c r="X323" s="926" t="str">
        <f t="shared" si="15"/>
        <v/>
      </c>
      <c r="Y323" s="888"/>
      <c r="Z323" s="925" t="str">
        <f t="shared" si="16"/>
        <v/>
      </c>
      <c r="AA323" s="888"/>
      <c r="AB323" s="924">
        <v>45</v>
      </c>
      <c r="AC323" s="925" t="str">
        <f>IF(AB323&gt;AF274,"",AB323)</f>
        <v/>
      </c>
      <c r="AD323" s="926" t="str">
        <f t="shared" si="19"/>
        <v/>
      </c>
      <c r="AE323" s="926" t="str">
        <f>IF(AB323&gt;AF274,"",$AD323*$AF$273)</f>
        <v/>
      </c>
      <c r="AF323" s="926" t="str">
        <f>IF(AB323&gt;AF274,"",AG323-AE323)</f>
        <v/>
      </c>
      <c r="AG323" s="926" t="str">
        <f>IF(AB323&gt;AF274,"",$AF$272*$AE$276)</f>
        <v/>
      </c>
      <c r="AH323" s="926" t="str">
        <f t="shared" si="20"/>
        <v/>
      </c>
      <c r="AI323" s="888"/>
      <c r="AJ323" s="927" t="str">
        <f>IF(AND($D323="Bilanz",$F323=""),0,IF($D323="","",IF(ROUND(F323,Korrektur!R1)=ROUND(U323,Korrektur!R1),0.25,0)))</f>
        <v/>
      </c>
      <c r="AK323" s="927" t="str">
        <f>IF($D323="","",IF(ROUND(G323,Korrektur!R1)=ROUND(V323,Korrektur!R1),0.25,0))</f>
        <v/>
      </c>
      <c r="AL323" s="927" t="str">
        <f>IF($D323="","",IF(ROUND(K323,Korrektur!R1)=ROUND(W323,Korrektur!R1),0.25,0))</f>
        <v/>
      </c>
      <c r="AM323" s="927" t="str">
        <f>IF($D323="","",IF(ROUND(L323,Korrektur!R1)=ROUND(X323,Korrektur!R1),0.25,0))</f>
        <v/>
      </c>
    </row>
    <row r="324" spans="1:39" hidden="1" x14ac:dyDescent="0.2">
      <c r="A324" s="1098"/>
      <c r="B324" s="835"/>
      <c r="C324" s="888"/>
      <c r="D324" s="1140" t="str">
        <f t="shared" si="17"/>
        <v/>
      </c>
      <c r="E324" s="1141"/>
      <c r="F324" s="918"/>
      <c r="G324" s="1142"/>
      <c r="H324" s="1143"/>
      <c r="I324" s="1143"/>
      <c r="J324" s="1144"/>
      <c r="K324" s="918"/>
      <c r="L324" s="1142"/>
      <c r="M324" s="1144"/>
      <c r="N324" s="891"/>
      <c r="O324" s="920" t="str">
        <f t="shared" si="11"/>
        <v/>
      </c>
      <c r="P324" s="921" t="str">
        <f t="shared" si="21"/>
        <v/>
      </c>
      <c r="Q324" s="892" t="str">
        <f t="shared" si="12"/>
        <v/>
      </c>
      <c r="R324" s="892"/>
      <c r="S324" s="924">
        <v>46</v>
      </c>
      <c r="T324" s="925" t="str">
        <f>IF(S324&gt;H274,"",S324)</f>
        <v/>
      </c>
      <c r="U324" s="926" t="str">
        <f t="shared" si="18"/>
        <v/>
      </c>
      <c r="V324" s="926" t="str">
        <f t="shared" si="13"/>
        <v/>
      </c>
      <c r="W324" s="926" t="str">
        <f t="shared" si="14"/>
        <v/>
      </c>
      <c r="X324" s="926" t="str">
        <f t="shared" si="15"/>
        <v/>
      </c>
      <c r="Y324" s="888"/>
      <c r="Z324" s="925" t="str">
        <f t="shared" si="16"/>
        <v/>
      </c>
      <c r="AA324" s="888"/>
      <c r="AB324" s="924">
        <v>46</v>
      </c>
      <c r="AC324" s="925" t="str">
        <f>IF(AB324&gt;AF274,"",AB324)</f>
        <v/>
      </c>
      <c r="AD324" s="926" t="str">
        <f t="shared" si="19"/>
        <v/>
      </c>
      <c r="AE324" s="926" t="str">
        <f>IF(AB324&gt;AF274,"",$AD324*$AF$273)</f>
        <v/>
      </c>
      <c r="AF324" s="926" t="str">
        <f>IF(AB324&gt;AF274,"",AG324-AE324)</f>
        <v/>
      </c>
      <c r="AG324" s="926" t="str">
        <f>IF(AB324&gt;AF274,"",$AF$272*$AE$276)</f>
        <v/>
      </c>
      <c r="AH324" s="926" t="str">
        <f t="shared" si="20"/>
        <v/>
      </c>
      <c r="AI324" s="888"/>
      <c r="AJ324" s="927" t="str">
        <f>IF(AND($D324="Bilanz",$F324=""),0,IF($D324="","",IF(ROUND(F324,Korrektur!R1)=ROUND(U324,Korrektur!R1),0.25,0)))</f>
        <v/>
      </c>
      <c r="AK324" s="927" t="str">
        <f>IF($D324="","",IF(ROUND(G324,Korrektur!R1)=ROUND(V324,Korrektur!R1),0.25,0))</f>
        <v/>
      </c>
      <c r="AL324" s="927" t="str">
        <f>IF($D324="","",IF(ROUND(K324,Korrektur!R1)=ROUND(W324,Korrektur!R1),0.25,0))</f>
        <v/>
      </c>
      <c r="AM324" s="927" t="str">
        <f>IF($D324="","",IF(ROUND(L324,Korrektur!R1)=ROUND(X324,Korrektur!R1),0.25,0))</f>
        <v/>
      </c>
    </row>
    <row r="325" spans="1:39" hidden="1" x14ac:dyDescent="0.2">
      <c r="A325" s="1098"/>
      <c r="B325" s="835"/>
      <c r="C325" s="888"/>
      <c r="D325" s="1140" t="str">
        <f t="shared" si="17"/>
        <v/>
      </c>
      <c r="E325" s="1141"/>
      <c r="F325" s="918"/>
      <c r="G325" s="1142"/>
      <c r="H325" s="1143"/>
      <c r="I325" s="1143"/>
      <c r="J325" s="1144"/>
      <c r="K325" s="918"/>
      <c r="L325" s="1142"/>
      <c r="M325" s="1144"/>
      <c r="N325" s="891"/>
      <c r="O325" s="920" t="str">
        <f t="shared" si="11"/>
        <v/>
      </c>
      <c r="P325" s="921" t="str">
        <f t="shared" si="21"/>
        <v/>
      </c>
      <c r="Q325" s="892" t="str">
        <f t="shared" si="12"/>
        <v/>
      </c>
      <c r="R325" s="892"/>
      <c r="S325" s="924">
        <v>47</v>
      </c>
      <c r="T325" s="925" t="str">
        <f>IF(S325&gt;H274,"",S325)</f>
        <v/>
      </c>
      <c r="U325" s="926" t="str">
        <f t="shared" si="18"/>
        <v/>
      </c>
      <c r="V325" s="926" t="str">
        <f t="shared" si="13"/>
        <v/>
      </c>
      <c r="W325" s="926" t="str">
        <f t="shared" si="14"/>
        <v/>
      </c>
      <c r="X325" s="926" t="str">
        <f t="shared" si="15"/>
        <v/>
      </c>
      <c r="Y325" s="888"/>
      <c r="Z325" s="925" t="str">
        <f t="shared" si="16"/>
        <v/>
      </c>
      <c r="AA325" s="888"/>
      <c r="AB325" s="924">
        <v>47</v>
      </c>
      <c r="AC325" s="925" t="str">
        <f>IF(AB325&gt;AF274,"",AB325)</f>
        <v/>
      </c>
      <c r="AD325" s="926" t="str">
        <f t="shared" si="19"/>
        <v/>
      </c>
      <c r="AE325" s="926" t="str">
        <f>IF(AB325&gt;AF274,"",$AD325*$AF$273)</f>
        <v/>
      </c>
      <c r="AF325" s="926" t="str">
        <f>IF(AB325&gt;AF274,"",AG325-AE325)</f>
        <v/>
      </c>
      <c r="AG325" s="926" t="str">
        <f>IF(AB325&gt;AF274,"",$AF$272*$AE$276)</f>
        <v/>
      </c>
      <c r="AH325" s="926" t="str">
        <f t="shared" si="20"/>
        <v/>
      </c>
      <c r="AI325" s="888"/>
      <c r="AJ325" s="927" t="str">
        <f>IF(AND($D325="Bilanz",$F325=""),0,IF($D325="","",IF(ROUND(F325,Korrektur!R1)=ROUND(U325,Korrektur!R1),0.25,0)))</f>
        <v/>
      </c>
      <c r="AK325" s="927" t="str">
        <f>IF($D325="","",IF(ROUND(G325,Korrektur!R1)=ROUND(V325,Korrektur!R1),0.25,0))</f>
        <v/>
      </c>
      <c r="AL325" s="927" t="str">
        <f>IF($D325="","",IF(ROUND(K325,Korrektur!R1)=ROUND(W325,Korrektur!R1),0.25,0))</f>
        <v/>
      </c>
      <c r="AM325" s="927" t="str">
        <f>IF($D325="","",IF(ROUND(L325,Korrektur!R1)=ROUND(X325,Korrektur!R1),0.25,0))</f>
        <v/>
      </c>
    </row>
    <row r="326" spans="1:39" hidden="1" x14ac:dyDescent="0.2">
      <c r="A326" s="1098"/>
      <c r="B326" s="835"/>
      <c r="C326" s="888"/>
      <c r="D326" s="1140" t="str">
        <f t="shared" si="17"/>
        <v/>
      </c>
      <c r="E326" s="1141"/>
      <c r="F326" s="918"/>
      <c r="G326" s="1142"/>
      <c r="H326" s="1143"/>
      <c r="I326" s="1143"/>
      <c r="J326" s="1144"/>
      <c r="K326" s="918"/>
      <c r="L326" s="1142"/>
      <c r="M326" s="1144"/>
      <c r="N326" s="891"/>
      <c r="O326" s="920" t="str">
        <f t="shared" si="11"/>
        <v/>
      </c>
      <c r="P326" s="921" t="str">
        <f t="shared" si="21"/>
        <v/>
      </c>
      <c r="Q326" s="892" t="str">
        <f t="shared" si="12"/>
        <v/>
      </c>
      <c r="R326" s="892"/>
      <c r="S326" s="924">
        <v>48</v>
      </c>
      <c r="T326" s="925" t="str">
        <f>IF(S326&gt;H274,"",S326)</f>
        <v/>
      </c>
      <c r="U326" s="926" t="str">
        <f t="shared" si="18"/>
        <v/>
      </c>
      <c r="V326" s="926" t="str">
        <f t="shared" si="13"/>
        <v/>
      </c>
      <c r="W326" s="926" t="str">
        <f t="shared" si="14"/>
        <v/>
      </c>
      <c r="X326" s="926" t="str">
        <f t="shared" si="15"/>
        <v/>
      </c>
      <c r="Y326" s="888"/>
      <c r="Z326" s="925" t="str">
        <f t="shared" si="16"/>
        <v/>
      </c>
      <c r="AA326" s="888"/>
      <c r="AB326" s="924">
        <v>48</v>
      </c>
      <c r="AC326" s="925" t="str">
        <f>IF(AB326&gt;AF274,"",AB326)</f>
        <v/>
      </c>
      <c r="AD326" s="926" t="str">
        <f t="shared" si="19"/>
        <v/>
      </c>
      <c r="AE326" s="926" t="str">
        <f>IF(AB326&gt;AF274,"",$AD326*$AF$273)</f>
        <v/>
      </c>
      <c r="AF326" s="926" t="str">
        <f>IF(AB326&gt;AF274,"",AG326-AE326)</f>
        <v/>
      </c>
      <c r="AG326" s="926" t="str">
        <f>IF(AB326&gt;AF274,"",$AF$272*$AE$276)</f>
        <v/>
      </c>
      <c r="AH326" s="926" t="str">
        <f t="shared" si="20"/>
        <v/>
      </c>
      <c r="AI326" s="888"/>
      <c r="AJ326" s="927" t="str">
        <f>IF(AND($D326="Bilanz",$F326=""),0,IF($D326="","",IF(ROUND(F326,Korrektur!R1)=ROUND(U326,Korrektur!R1),0.25,0)))</f>
        <v/>
      </c>
      <c r="AK326" s="927" t="str">
        <f>IF($D326="","",IF(ROUND(G326,Korrektur!R1)=ROUND(V326,Korrektur!R1),0.25,0))</f>
        <v/>
      </c>
      <c r="AL326" s="927" t="str">
        <f>IF($D326="","",IF(ROUND(K326,Korrektur!R1)=ROUND(W326,Korrektur!R1),0.25,0))</f>
        <v/>
      </c>
      <c r="AM326" s="927" t="str">
        <f>IF($D326="","",IF(ROUND(L326,Korrektur!R1)=ROUND(X326,Korrektur!R1),0.25,0))</f>
        <v/>
      </c>
    </row>
    <row r="327" spans="1:39" hidden="1" x14ac:dyDescent="0.2">
      <c r="A327" s="1098"/>
      <c r="B327" s="835"/>
      <c r="C327" s="888"/>
      <c r="D327" s="1140" t="str">
        <f t="shared" si="17"/>
        <v/>
      </c>
      <c r="E327" s="1141"/>
      <c r="F327" s="918"/>
      <c r="G327" s="1142"/>
      <c r="H327" s="1143"/>
      <c r="I327" s="1143"/>
      <c r="J327" s="1144"/>
      <c r="K327" s="918"/>
      <c r="L327" s="1142"/>
      <c r="M327" s="1144"/>
      <c r="N327" s="891"/>
      <c r="O327" s="920" t="str">
        <f t="shared" si="11"/>
        <v/>
      </c>
      <c r="P327" s="921" t="str">
        <f t="shared" si="21"/>
        <v/>
      </c>
      <c r="Q327" s="892" t="str">
        <f t="shared" si="12"/>
        <v/>
      </c>
      <c r="R327" s="892"/>
      <c r="S327" s="924">
        <v>49</v>
      </c>
      <c r="T327" s="925" t="str">
        <f>IF(S327&gt;H274,"",S327)</f>
        <v/>
      </c>
      <c r="U327" s="926" t="str">
        <f t="shared" si="18"/>
        <v/>
      </c>
      <c r="V327" s="926" t="str">
        <f t="shared" si="13"/>
        <v/>
      </c>
      <c r="W327" s="926" t="str">
        <f t="shared" si="14"/>
        <v/>
      </c>
      <c r="X327" s="926" t="str">
        <f t="shared" si="15"/>
        <v/>
      </c>
      <c r="Y327" s="888"/>
      <c r="Z327" s="925" t="str">
        <f t="shared" si="16"/>
        <v/>
      </c>
      <c r="AA327" s="888"/>
      <c r="AB327" s="924">
        <v>49</v>
      </c>
      <c r="AC327" s="925" t="str">
        <f>IF(AB327&gt;AF274,"",AB327)</f>
        <v/>
      </c>
      <c r="AD327" s="926" t="str">
        <f t="shared" si="19"/>
        <v/>
      </c>
      <c r="AE327" s="926" t="str">
        <f>IF(AB327&gt;AF274,"",$AD327*$AF$273)</f>
        <v/>
      </c>
      <c r="AF327" s="926" t="str">
        <f>IF(AB327&gt;AF274,"",AG327-AE327)</f>
        <v/>
      </c>
      <c r="AG327" s="926" t="str">
        <f>IF(AB327&gt;AF274,"",$AF$272*$AE$276)</f>
        <v/>
      </c>
      <c r="AH327" s="926" t="str">
        <f t="shared" si="20"/>
        <v/>
      </c>
      <c r="AI327" s="888"/>
      <c r="AJ327" s="927" t="str">
        <f>IF(AND($D327="Bilanz",$F327=""),0,IF($D327="","",IF(ROUND(F327,Korrektur!R1)=ROUND(U327,Korrektur!R1),0.25,0)))</f>
        <v/>
      </c>
      <c r="AK327" s="927" t="str">
        <f>IF($D327="","",IF(ROUND(G327,Korrektur!R1)=ROUND(V327,Korrektur!R1),0.25,0))</f>
        <v/>
      </c>
      <c r="AL327" s="927" t="str">
        <f>IF($D327="","",IF(ROUND(K327,Korrektur!R1)=ROUND(W327,Korrektur!R1),0.25,0))</f>
        <v/>
      </c>
      <c r="AM327" s="927" t="str">
        <f>IF($D327="","",IF(ROUND(L327,Korrektur!R1)=ROUND(X327,Korrektur!R1),0.25,0))</f>
        <v/>
      </c>
    </row>
    <row r="328" spans="1:39" hidden="1" x14ac:dyDescent="0.2">
      <c r="A328" s="1098"/>
      <c r="B328" s="835"/>
      <c r="C328" s="888"/>
      <c r="D328" s="1140" t="str">
        <f t="shared" si="17"/>
        <v/>
      </c>
      <c r="E328" s="1141"/>
      <c r="F328" s="918"/>
      <c r="G328" s="1142"/>
      <c r="H328" s="1143"/>
      <c r="I328" s="1143"/>
      <c r="J328" s="1144"/>
      <c r="K328" s="918"/>
      <c r="L328" s="1142"/>
      <c r="M328" s="1144"/>
      <c r="N328" s="891"/>
      <c r="O328" s="920" t="str">
        <f t="shared" si="11"/>
        <v/>
      </c>
      <c r="P328" s="921" t="str">
        <f t="shared" si="21"/>
        <v/>
      </c>
      <c r="Q328" s="892" t="str">
        <f t="shared" si="12"/>
        <v/>
      </c>
      <c r="R328" s="892"/>
      <c r="S328" s="924">
        <v>50</v>
      </c>
      <c r="T328" s="925" t="str">
        <f>IF(S328&gt;H274,"",S328)</f>
        <v/>
      </c>
      <c r="U328" s="926" t="str">
        <f t="shared" si="18"/>
        <v/>
      </c>
      <c r="V328" s="926" t="str">
        <f t="shared" si="13"/>
        <v/>
      </c>
      <c r="W328" s="926" t="str">
        <f t="shared" si="14"/>
        <v/>
      </c>
      <c r="X328" s="926" t="str">
        <f t="shared" si="15"/>
        <v/>
      </c>
      <c r="Y328" s="888"/>
      <c r="Z328" s="925" t="str">
        <f t="shared" si="16"/>
        <v/>
      </c>
      <c r="AA328" s="888"/>
      <c r="AB328" s="924">
        <v>50</v>
      </c>
      <c r="AC328" s="925" t="str">
        <f>IF(AB328&gt;AF274,"",AB328)</f>
        <v/>
      </c>
      <c r="AD328" s="926" t="str">
        <f t="shared" si="19"/>
        <v/>
      </c>
      <c r="AE328" s="926" t="str">
        <f>IF(AB328&gt;AF274,"",$AD328*$AF$273)</f>
        <v/>
      </c>
      <c r="AF328" s="926" t="str">
        <f>IF(AB328&gt;AF274,"",AG328-AE328)</f>
        <v/>
      </c>
      <c r="AG328" s="926" t="str">
        <f>IF(AB328&gt;AF274,"",$AF$272*$AE$276)</f>
        <v/>
      </c>
      <c r="AH328" s="926" t="str">
        <f t="shared" si="20"/>
        <v/>
      </c>
      <c r="AI328" s="888"/>
      <c r="AJ328" s="927" t="str">
        <f>IF(AND($D328="Bilanz",$F328=""),0,IF($D328="","",IF(ROUND(F328,Korrektur!R1)=ROUND(U328,Korrektur!R1),0.25,0)))</f>
        <v/>
      </c>
      <c r="AK328" s="927" t="str">
        <f>IF($D328="","",IF(ROUND(G328,Korrektur!R1)=ROUND(V328,Korrektur!R1),0.25,0))</f>
        <v/>
      </c>
      <c r="AL328" s="927" t="str">
        <f>IF($D328="","",IF(ROUND(K328,Korrektur!R1)=ROUND(W328,Korrektur!R1),0.25,0))</f>
        <v/>
      </c>
      <c r="AM328" s="927" t="str">
        <f>IF($D328="","",IF(ROUND(L328,Korrektur!R1)=ROUND(X328,Korrektur!R1),0.25,0))</f>
        <v/>
      </c>
    </row>
    <row r="329" spans="1:39" hidden="1" x14ac:dyDescent="0.2">
      <c r="A329" s="1098"/>
      <c r="B329" s="835"/>
      <c r="C329" s="888"/>
      <c r="D329" s="1140" t="str">
        <f t="shared" si="17"/>
        <v/>
      </c>
      <c r="E329" s="1141"/>
      <c r="F329" s="918"/>
      <c r="G329" s="1142"/>
      <c r="H329" s="1143"/>
      <c r="I329" s="1143"/>
      <c r="J329" s="1144"/>
      <c r="K329" s="918"/>
      <c r="L329" s="1142"/>
      <c r="M329" s="1144"/>
      <c r="N329" s="891"/>
      <c r="O329" s="920" t="str">
        <f t="shared" si="11"/>
        <v/>
      </c>
      <c r="P329" s="921" t="str">
        <f t="shared" si="21"/>
        <v/>
      </c>
      <c r="Q329" s="892" t="str">
        <f t="shared" si="12"/>
        <v/>
      </c>
      <c r="R329" s="892"/>
      <c r="S329" s="924">
        <v>51</v>
      </c>
      <c r="T329" s="928" t="str">
        <f>IF(AC329="","",AC329)</f>
        <v>Bilanz</v>
      </c>
      <c r="U329" s="929">
        <f>IF(AD329="","",AD329)</f>
        <v>3.0013325158506632E-11</v>
      </c>
      <c r="V329" s="929">
        <f>IF(AE329="","",AE329)</f>
        <v>29169.116771742436</v>
      </c>
      <c r="W329" s="929">
        <f>IF(AF329="","",AF329)</f>
        <v>78241.999999999956</v>
      </c>
      <c r="X329" s="929">
        <f>IF(AG329="","",AG329)</f>
        <v>107411.1167717424</v>
      </c>
      <c r="Y329" s="888"/>
      <c r="Z329" s="928" t="str">
        <f t="shared" si="16"/>
        <v/>
      </c>
      <c r="AA329" s="888"/>
      <c r="AB329" s="924">
        <v>51</v>
      </c>
      <c r="AC329" s="928" t="s">
        <v>514</v>
      </c>
      <c r="AD329" s="929">
        <f>VLOOKUP(AF274+1,ANTilPla,7,0)</f>
        <v>3.0013325158506632E-11</v>
      </c>
      <c r="AE329" s="929">
        <f>SUM(AE279:AE328)</f>
        <v>29169.116771742436</v>
      </c>
      <c r="AF329" s="929">
        <f>SUM(AF279:AF328)</f>
        <v>78241.999999999956</v>
      </c>
      <c r="AG329" s="929">
        <f>SUM(AG279:AG328)</f>
        <v>107411.1167717424</v>
      </c>
      <c r="AH329" s="926">
        <f>IF(AF274&lt;50,0,IF(TYPE($AD328-$AF328)=16,"",$AD328-$AF328))</f>
        <v>0</v>
      </c>
      <c r="AI329" s="888"/>
      <c r="AJ329" s="927" t="str">
        <f>IF(AND($D329="Bilanz",$F329=""),0,IF($D329="","",IF(ROUND(F329,Korrektur!R1)=ROUND(U329,Korrektur!R1),0.25,0)))</f>
        <v/>
      </c>
      <c r="AK329" s="927" t="str">
        <f>IF($D329="","",IF(ROUND(G329,Korrektur!R1)=ROUND(V329,Korrektur!R1),0.25,0))</f>
        <v/>
      </c>
      <c r="AL329" s="927" t="str">
        <f>IF($D329="","",IF(ROUND(K329,Korrektur!R1)=ROUND(W329,Korrektur!R1),0.25,0))</f>
        <v/>
      </c>
      <c r="AM329" s="927" t="str">
        <f>IF($D329="","",IF(ROUND(L329,Korrektur!R1)=ROUND(X329,Korrektur!R1),0.25,0))</f>
        <v/>
      </c>
    </row>
    <row r="330" spans="1:39" ht="15" hidden="1" customHeight="1" x14ac:dyDescent="0.2">
      <c r="A330" s="603"/>
      <c r="B330" s="835"/>
      <c r="Y330" s="888"/>
      <c r="AI330" s="888"/>
    </row>
    <row r="331" spans="1:39" s="888" customFormat="1" x14ac:dyDescent="0.2">
      <c r="A331" s="1098"/>
      <c r="B331" s="835"/>
      <c r="D331" s="707" t="s">
        <v>467</v>
      </c>
      <c r="E331" s="707" t="s">
        <v>515</v>
      </c>
      <c r="F331" s="890"/>
      <c r="G331" s="890"/>
      <c r="H331" s="890"/>
      <c r="I331" s="890"/>
      <c r="J331" s="890"/>
      <c r="K331" s="890"/>
      <c r="L331" s="890"/>
      <c r="M331" s="890"/>
      <c r="N331" s="891"/>
      <c r="O331" s="1147"/>
      <c r="P331" s="1147"/>
      <c r="Q331" s="906"/>
      <c r="R331" s="907"/>
      <c r="S331" s="908"/>
      <c r="T331" s="890"/>
      <c r="U331" s="890"/>
      <c r="V331" s="890"/>
      <c r="W331" s="890"/>
      <c r="X331" s="890"/>
      <c r="Y331" s="890"/>
      <c r="Z331" s="930"/>
      <c r="AA331" s="930"/>
      <c r="AB331" s="930"/>
      <c r="AC331" s="930"/>
      <c r="AD331" s="930"/>
    </row>
    <row r="332" spans="1:39" s="888" customFormat="1" x14ac:dyDescent="0.2">
      <c r="A332" s="1098"/>
      <c r="B332" s="835"/>
      <c r="D332" s="890"/>
      <c r="E332" s="890"/>
      <c r="F332" s="903" t="s">
        <v>504</v>
      </c>
      <c r="H332" s="931">
        <f>IF(ErgInt!H272="","",ErgInt!H272)</f>
        <v>78242</v>
      </c>
      <c r="I332" s="931"/>
      <c r="J332" s="931"/>
      <c r="K332" s="890"/>
      <c r="L332" s="890"/>
      <c r="M332" s="890"/>
      <c r="N332" s="891"/>
      <c r="O332" s="1147"/>
      <c r="P332" s="1147"/>
      <c r="Q332" s="906"/>
      <c r="R332" s="907"/>
      <c r="S332" s="908"/>
      <c r="T332" s="890"/>
      <c r="U332" s="903"/>
      <c r="V332" s="890"/>
      <c r="W332" s="930"/>
      <c r="X332" s="890"/>
      <c r="Y332" s="890"/>
      <c r="Z332" s="930"/>
      <c r="AA332" s="930"/>
      <c r="AB332" s="930"/>
      <c r="AC332" s="930"/>
      <c r="AD332" s="930"/>
    </row>
    <row r="333" spans="1:39" s="888" customFormat="1" x14ac:dyDescent="0.2">
      <c r="A333" s="1098"/>
      <c r="B333" s="835"/>
      <c r="D333" s="890"/>
      <c r="E333" s="890"/>
      <c r="F333" s="903" t="s">
        <v>505</v>
      </c>
      <c r="H333" s="932">
        <f>IF(ErgInt!H273="","",ErgInt!H273)</f>
        <v>4.2500000000000003E-2</v>
      </c>
      <c r="I333" s="932"/>
      <c r="J333" s="932"/>
      <c r="K333" s="890"/>
      <c r="L333" s="890"/>
      <c r="M333" s="890"/>
      <c r="N333" s="891"/>
      <c r="O333" s="1147"/>
      <c r="P333" s="1147"/>
      <c r="Q333" s="906"/>
      <c r="R333" s="907"/>
      <c r="S333" s="908"/>
      <c r="T333" s="890"/>
      <c r="U333" s="903"/>
      <c r="V333" s="890"/>
      <c r="W333" s="930"/>
      <c r="X333" s="890"/>
      <c r="Y333" s="890"/>
      <c r="Z333" s="930"/>
      <c r="AA333" s="930"/>
      <c r="AB333" s="930"/>
      <c r="AC333" s="930"/>
      <c r="AD333" s="930"/>
    </row>
    <row r="334" spans="1:39" s="888" customFormat="1" x14ac:dyDescent="0.2">
      <c r="A334" s="1098"/>
      <c r="B334" s="835"/>
      <c r="D334" s="890"/>
      <c r="E334" s="890"/>
      <c r="F334" s="903" t="s">
        <v>506</v>
      </c>
      <c r="H334" s="933">
        <f>IF(ErgInt!H274="","",ErgInt!H274)</f>
        <v>15</v>
      </c>
      <c r="I334" s="933"/>
      <c r="J334" s="933"/>
      <c r="K334" s="890"/>
      <c r="L334" s="890"/>
      <c r="M334" s="890"/>
      <c r="N334" s="891"/>
      <c r="O334" s="1147"/>
      <c r="P334" s="1147"/>
      <c r="Q334" s="906"/>
      <c r="R334" s="907"/>
      <c r="S334" s="908"/>
      <c r="T334" s="890"/>
      <c r="U334" s="903"/>
      <c r="V334" s="890"/>
      <c r="W334" s="930"/>
      <c r="X334" s="890"/>
      <c r="Y334" s="890"/>
      <c r="Z334" s="930"/>
      <c r="AA334" s="930"/>
      <c r="AB334" s="930"/>
      <c r="AC334" s="930"/>
      <c r="AD334" s="930"/>
    </row>
    <row r="335" spans="1:39" s="888" customFormat="1" x14ac:dyDescent="0.2">
      <c r="A335" s="1098"/>
      <c r="B335" s="835"/>
      <c r="D335" s="903"/>
      <c r="E335" s="903"/>
      <c r="F335" s="904"/>
      <c r="G335" s="905"/>
      <c r="H335" s="905"/>
      <c r="I335" s="905"/>
      <c r="J335" s="905"/>
      <c r="K335" s="890"/>
      <c r="L335" s="890"/>
      <c r="M335" s="890"/>
      <c r="N335" s="891"/>
      <c r="O335" s="1147"/>
      <c r="P335" s="1147"/>
      <c r="Q335" s="906"/>
      <c r="R335" s="907"/>
      <c r="S335" s="908"/>
      <c r="T335" s="890"/>
      <c r="U335" s="890"/>
      <c r="V335" s="890"/>
      <c r="W335" s="890"/>
      <c r="X335" s="890"/>
      <c r="Y335" s="890"/>
      <c r="Z335" s="930"/>
      <c r="AA335" s="930"/>
      <c r="AB335" s="930"/>
      <c r="AC335" s="930"/>
      <c r="AD335" s="930"/>
    </row>
    <row r="336" spans="1:39" s="915" customFormat="1" ht="16.5" customHeight="1" x14ac:dyDescent="0.2">
      <c r="A336" s="1100"/>
      <c r="B336" s="835"/>
      <c r="D336" s="1146" t="s">
        <v>277</v>
      </c>
      <c r="E336" s="1146"/>
      <c r="F336" s="916" t="s">
        <v>509</v>
      </c>
      <c r="G336" s="1145" t="s">
        <v>510</v>
      </c>
      <c r="H336" s="1145"/>
      <c r="I336" s="1145"/>
      <c r="J336" s="1145"/>
      <c r="K336" s="916" t="s">
        <v>511</v>
      </c>
      <c r="L336" s="1145" t="s">
        <v>516</v>
      </c>
      <c r="M336" s="1145"/>
      <c r="N336" s="898"/>
      <c r="O336" s="934"/>
      <c r="P336" s="912"/>
      <c r="Q336" s="895"/>
      <c r="R336" s="898"/>
      <c r="S336" s="922"/>
      <c r="T336" s="922" t="s">
        <v>277</v>
      </c>
      <c r="U336" s="922" t="s">
        <v>509</v>
      </c>
      <c r="V336" s="922" t="s">
        <v>510</v>
      </c>
      <c r="W336" s="922" t="s">
        <v>511</v>
      </c>
      <c r="X336" s="922" t="s">
        <v>516</v>
      </c>
      <c r="Y336" s="935"/>
      <c r="Z336" s="923" t="s">
        <v>517</v>
      </c>
      <c r="AA336" s="936"/>
      <c r="AB336" s="936"/>
      <c r="AC336" s="936"/>
    </row>
    <row r="337" spans="1:29" s="888" customFormat="1" ht="15" customHeight="1" x14ac:dyDescent="0.2">
      <c r="A337" s="1098"/>
      <c r="B337" s="835"/>
      <c r="D337" s="1140">
        <v>1</v>
      </c>
      <c r="E337" s="1141"/>
      <c r="F337" s="918"/>
      <c r="G337" s="1142"/>
      <c r="H337" s="1143"/>
      <c r="I337" s="1143"/>
      <c r="J337" s="1144"/>
      <c r="K337" s="918"/>
      <c r="L337" s="1142"/>
      <c r="M337" s="1144"/>
      <c r="N337" s="919"/>
      <c r="O337" s="920" t="str">
        <f t="shared" ref="O337:O368" si="22">IF(SUM(F337:M337)=0,"",IF(S337&gt;$H$334+1,"",SUM(Z337:AC337)))</f>
        <v/>
      </c>
      <c r="P337" s="921" t="s">
        <v>463</v>
      </c>
      <c r="Q337" s="892">
        <f t="shared" ref="Q337:Q368" si="23">IF(S337&gt;$H$334+1,"",1)</f>
        <v>1</v>
      </c>
      <c r="R337" s="892"/>
      <c r="S337" s="924">
        <v>1</v>
      </c>
      <c r="T337" s="925">
        <f>IF(S337&gt;H334,"",S337)</f>
        <v>1</v>
      </c>
      <c r="U337" s="926">
        <f>H332</f>
        <v>78242</v>
      </c>
      <c r="V337" s="926">
        <f>IF(S337&gt;H334,"",$U337*H333)</f>
        <v>3325.2850000000003</v>
      </c>
      <c r="W337" s="926">
        <f t="shared" ref="W337:W368" si="24">IF(S337&gt;$H$334,"",$H$332/$H$334)</f>
        <v>5216.1333333333332</v>
      </c>
      <c r="X337" s="926">
        <f t="shared" ref="X337:X368" si="25">IF(S337&gt;$H$334,"",SUM(V337:W337))</f>
        <v>8541.4183333333331</v>
      </c>
      <c r="Y337" s="930"/>
      <c r="Z337" s="1129">
        <f>IF($D337="","",IF(OR(F337="",$S337&gt;$H$334+1),0,IF(ROUND(F337,Korrektur!R1)=IF(ROUND($S337,Korrektur!R1)&gt;ROUND($H$334,Korrektur!R1),ROUND(U$387,Korrektur!R1),ROUND(U337,Korrektur!R1)),0.25,"")))</f>
        <v>0</v>
      </c>
      <c r="AA337" s="1129">
        <f>IF($S337&gt;$H$334+1,"",IF(ROUND(G337,Korrektur!R1)=IF(ROUND($S337,Korrektur!R1)&gt;ROUND($H$334,Korrektur!R1),ROUND(V$387,Korrektur!R1),ROUND(V337,Korrektur!R1)),0.25,0))</f>
        <v>0</v>
      </c>
      <c r="AB337" s="1129">
        <f>IF($S337&gt;$H$334+1,"",IF(ROUND(K337,Korrektur!R1)=IF(ROUND($S337,Korrektur!R1)&gt;ROUND($H$334,Korrektur!R1),ROUND(W$387,Korrektur!R1),ROUND(W337,Korrektur!R1)),0.25,0))</f>
        <v>0</v>
      </c>
      <c r="AC337" s="1129">
        <f>IF($S337&gt;$H$334+1,"",IF(ROUND(L337,Korrektur!R1)=IF(ROUND($S337,Korrektur!R1)&gt;ROUND($H$334,Korrektur!R1),ROUND(X$387,Korrektur!R1),ROUND(X337,Korrektur!R1)),0.25,0))</f>
        <v>0</v>
      </c>
    </row>
    <row r="338" spans="1:29" s="888" customFormat="1" x14ac:dyDescent="0.2">
      <c r="A338" s="1098"/>
      <c r="B338" s="835"/>
      <c r="D338" s="1140">
        <f>IF(ErgInt!Z280="","",ErgInt!Z280)</f>
        <v>2</v>
      </c>
      <c r="E338" s="1141"/>
      <c r="F338" s="918"/>
      <c r="G338" s="1142"/>
      <c r="H338" s="1143"/>
      <c r="I338" s="1143"/>
      <c r="J338" s="1144"/>
      <c r="K338" s="918"/>
      <c r="L338" s="1142"/>
      <c r="M338" s="1144"/>
      <c r="N338" s="898"/>
      <c r="O338" s="920" t="str">
        <f t="shared" si="22"/>
        <v/>
      </c>
      <c r="P338" s="921" t="s">
        <v>463</v>
      </c>
      <c r="Q338" s="892">
        <f t="shared" si="23"/>
        <v>1</v>
      </c>
      <c r="R338" s="892"/>
      <c r="S338" s="924">
        <v>2</v>
      </c>
      <c r="T338" s="925">
        <f>IF(S338&gt;H334,"",S338)</f>
        <v>2</v>
      </c>
      <c r="U338" s="926">
        <f>IF(S338&gt;H334,"",$U337-$W337)</f>
        <v>73025.866666666669</v>
      </c>
      <c r="V338" s="926">
        <f>IF(S338&gt;H334,"",$U338*H333)</f>
        <v>3103.5993333333336</v>
      </c>
      <c r="W338" s="926">
        <f t="shared" si="24"/>
        <v>5216.1333333333332</v>
      </c>
      <c r="X338" s="926">
        <f t="shared" si="25"/>
        <v>8319.7326666666668</v>
      </c>
      <c r="Y338" s="930"/>
      <c r="Z338" s="1129">
        <f>IF($D338="","",IF(OR(F338="",$S338&gt;$H$334+1),0,IF(ROUND(F338,Korrektur!R1)=IF(ROUND($S338,Korrektur!R1)&gt;ROUND($H$334,Korrektur!R1),ROUND(U$387,Korrektur!R1),ROUND(U338,Korrektur!R1)),0.25,"")))</f>
        <v>0</v>
      </c>
      <c r="AA338" s="1129">
        <f>IF($S338&gt;$H$334+1,"",IF(ROUND(G338,Korrektur!R1)=IF(ROUND($S338,Korrektur!R1)&gt;ROUND($H$334,Korrektur!R1),ROUND(V$387,Korrektur!R1),ROUND(V338,Korrektur!R1)),0.25,0))</f>
        <v>0</v>
      </c>
      <c r="AB338" s="1129">
        <f>IF($S338&gt;$H$334+1,"",IF(ROUND(K338,Korrektur!R1)=IF(ROUND($S338,Korrektur!R1)&gt;ROUND($H$334,Korrektur!R1),ROUND(W$387,Korrektur!R1),ROUND(W338,Korrektur!R1)),0.25,0))</f>
        <v>0</v>
      </c>
      <c r="AC338" s="1129">
        <f>IF($S338&gt;$H$334+1,"",IF(ROUND(L338,Korrektur!R1)=IF(ROUND($S338,Korrektur!R1)&gt;ROUND($H$334,Korrektur!R1),ROUND(X$387,Korrektur!R1),ROUND(X338,Korrektur!R1)),0.25,0))</f>
        <v>0</v>
      </c>
    </row>
    <row r="339" spans="1:29" s="888" customFormat="1" x14ac:dyDescent="0.2">
      <c r="A339" s="1098"/>
      <c r="B339" s="835"/>
      <c r="D339" s="1140">
        <f>IF(ErgInt!Z281="","",ErgInt!Z281)</f>
        <v>3</v>
      </c>
      <c r="E339" s="1141"/>
      <c r="F339" s="918"/>
      <c r="G339" s="1142"/>
      <c r="H339" s="1143"/>
      <c r="I339" s="1143"/>
      <c r="J339" s="1144"/>
      <c r="K339" s="918"/>
      <c r="L339" s="1142"/>
      <c r="M339" s="1144"/>
      <c r="N339" s="898"/>
      <c r="O339" s="920" t="str">
        <f t="shared" si="22"/>
        <v/>
      </c>
      <c r="P339" s="921" t="s">
        <v>463</v>
      </c>
      <c r="Q339" s="892">
        <f t="shared" si="23"/>
        <v>1</v>
      </c>
      <c r="R339" s="892"/>
      <c r="S339" s="924">
        <v>3</v>
      </c>
      <c r="T339" s="925">
        <f>IF(S339&gt;H334,"",S339)</f>
        <v>3</v>
      </c>
      <c r="U339" s="926">
        <f>IF(S339&gt;H334,"",$U338-$W338)</f>
        <v>67809.733333333337</v>
      </c>
      <c r="V339" s="926">
        <f>IF(S339&gt;H334,"",$U339*H333)</f>
        <v>2881.9136666666668</v>
      </c>
      <c r="W339" s="926">
        <f t="shared" si="24"/>
        <v>5216.1333333333332</v>
      </c>
      <c r="X339" s="926">
        <f t="shared" si="25"/>
        <v>8098.0470000000005</v>
      </c>
      <c r="Y339" s="930"/>
      <c r="Z339" s="1129">
        <f>IF($D339="","",IF(OR(F339="",$S339&gt;$H$334+1),0,IF(ROUND(F339,Korrektur!R1)=IF(ROUND($S339,Korrektur!R1)&gt;ROUND($H$334,Korrektur!R1),ROUND(U$387,Korrektur!R1),ROUND(U339,Korrektur!R1)),0.25,"")))</f>
        <v>0</v>
      </c>
      <c r="AA339" s="1129">
        <f>IF($S339&gt;$H$334+1,"",IF(ROUND(G339,Korrektur!R1)=IF(ROUND($S339,Korrektur!R1)&gt;ROUND($H$334,Korrektur!R1),ROUND(V$387,Korrektur!R1),ROUND(V339,Korrektur!R1)),0.25,0))</f>
        <v>0</v>
      </c>
      <c r="AB339" s="1129">
        <f>IF($S339&gt;$H$334+1,"",IF(ROUND(K339,Korrektur!R1)=IF(ROUND($S339,Korrektur!R1)&gt;ROUND($H$334,Korrektur!R1),ROUND(W$387,Korrektur!R1),ROUND(W339,Korrektur!R1)),0.25,0))</f>
        <v>0</v>
      </c>
      <c r="AC339" s="1129">
        <f>IF($S339&gt;$H$334+1,"",IF(ROUND(L339,Korrektur!R1)=IF(ROUND($S339,Korrektur!R1)&gt;ROUND($H$334,Korrektur!R1),ROUND(X$387,Korrektur!R1),ROUND(X339,Korrektur!R1)),0.25,0))</f>
        <v>0</v>
      </c>
    </row>
    <row r="340" spans="1:29" s="888" customFormat="1" x14ac:dyDescent="0.2">
      <c r="A340" s="1098"/>
      <c r="B340" s="835"/>
      <c r="D340" s="1140">
        <f>IF(ErgInt!Z282="","",ErgInt!Z282)</f>
        <v>4</v>
      </c>
      <c r="E340" s="1141"/>
      <c r="F340" s="918"/>
      <c r="G340" s="1142"/>
      <c r="H340" s="1143"/>
      <c r="I340" s="1143"/>
      <c r="J340" s="1144"/>
      <c r="K340" s="918"/>
      <c r="L340" s="1142"/>
      <c r="M340" s="1144"/>
      <c r="N340" s="891"/>
      <c r="O340" s="920" t="str">
        <f t="shared" si="22"/>
        <v/>
      </c>
      <c r="P340" s="921" t="s">
        <v>463</v>
      </c>
      <c r="Q340" s="892">
        <f t="shared" si="23"/>
        <v>1</v>
      </c>
      <c r="R340" s="892"/>
      <c r="S340" s="924">
        <v>4</v>
      </c>
      <c r="T340" s="925">
        <f>IF(S340&gt;H334,"",S340)</f>
        <v>4</v>
      </c>
      <c r="U340" s="926">
        <f>IF(S340&gt;H334,"",$U339-$W339)</f>
        <v>62593.600000000006</v>
      </c>
      <c r="V340" s="926">
        <f>IF(S340&gt;H334,"",$U340*H333)</f>
        <v>2660.2280000000005</v>
      </c>
      <c r="W340" s="926">
        <f t="shared" si="24"/>
        <v>5216.1333333333332</v>
      </c>
      <c r="X340" s="926">
        <f t="shared" si="25"/>
        <v>7876.3613333333342</v>
      </c>
      <c r="Y340" s="930"/>
      <c r="Z340" s="1129">
        <f>IF($D340="","",IF(OR(F340="",$S340&gt;$H$334+1),0,IF(ROUND(F340,Korrektur!R1)=IF(ROUND($S340,Korrektur!R1)&gt;ROUND($H$334,Korrektur!R1),ROUND(U$387,Korrektur!R1),ROUND(U340,Korrektur!R1)),0.25,"")))</f>
        <v>0</v>
      </c>
      <c r="AA340" s="1129">
        <f>IF($S340&gt;$H$334+1,"",IF(ROUND(G340,Korrektur!R1)=IF(ROUND($S340,Korrektur!R1)&gt;ROUND($H$334,Korrektur!R1),ROUND(V$387,Korrektur!R1),ROUND(V340,Korrektur!R1)),0.25,0))</f>
        <v>0</v>
      </c>
      <c r="AB340" s="1129">
        <f>IF($S340&gt;$H$334+1,"",IF(ROUND(K340,Korrektur!R1)=IF(ROUND($S340,Korrektur!R1)&gt;ROUND($H$334,Korrektur!R1),ROUND(W$387,Korrektur!R1),ROUND(W340,Korrektur!R1)),0.25,0))</f>
        <v>0</v>
      </c>
      <c r="AC340" s="1129">
        <f>IF($S340&gt;$H$334+1,"",IF(ROUND(L340,Korrektur!R1)=IF(ROUND($S340,Korrektur!R1)&gt;ROUND($H$334,Korrektur!R1),ROUND(X$387,Korrektur!R1),ROUND(X340,Korrektur!R1)),0.25,0))</f>
        <v>0</v>
      </c>
    </row>
    <row r="341" spans="1:29" s="888" customFormat="1" x14ac:dyDescent="0.2">
      <c r="A341" s="1098"/>
      <c r="B341" s="835"/>
      <c r="D341" s="1140">
        <f>IF(ErgInt!Z283="","",ErgInt!Z283)</f>
        <v>5</v>
      </c>
      <c r="E341" s="1141"/>
      <c r="F341" s="918"/>
      <c r="G341" s="1142"/>
      <c r="H341" s="1143"/>
      <c r="I341" s="1143"/>
      <c r="J341" s="1144"/>
      <c r="K341" s="918"/>
      <c r="L341" s="1142"/>
      <c r="M341" s="1144"/>
      <c r="N341" s="891"/>
      <c r="O341" s="920" t="str">
        <f t="shared" si="22"/>
        <v/>
      </c>
      <c r="P341" s="921" t="s">
        <v>463</v>
      </c>
      <c r="Q341" s="892">
        <f t="shared" si="23"/>
        <v>1</v>
      </c>
      <c r="R341" s="892"/>
      <c r="S341" s="924">
        <v>5</v>
      </c>
      <c r="T341" s="925">
        <f>IF(S341&gt;H334,"",S341)</f>
        <v>5</v>
      </c>
      <c r="U341" s="926">
        <f>IF(S341&gt;H334,"",$U340-$W340)</f>
        <v>57377.466666666674</v>
      </c>
      <c r="V341" s="926">
        <f>IF(S341&gt;H334,"",$U341*H333)</f>
        <v>2438.5423333333338</v>
      </c>
      <c r="W341" s="926">
        <f t="shared" si="24"/>
        <v>5216.1333333333332</v>
      </c>
      <c r="X341" s="926">
        <f t="shared" si="25"/>
        <v>7654.675666666667</v>
      </c>
      <c r="Y341" s="930"/>
      <c r="Z341" s="1129">
        <f>IF($D341="","",IF(OR(F341="",$S341&gt;$H$334+1),0,IF(ROUND(F341,Korrektur!R1)=IF(ROUND($S341,Korrektur!R1)&gt;ROUND($H$334,Korrektur!R1),ROUND(U$387,Korrektur!R1),ROUND(U341,Korrektur!R1)),0.25,"")))</f>
        <v>0</v>
      </c>
      <c r="AA341" s="1129">
        <f>IF($S341&gt;$H$334+1,"",IF(ROUND(G341,Korrektur!R1)=IF(ROUND($S341,Korrektur!R1)&gt;ROUND($H$334,Korrektur!R1),ROUND(V$387,Korrektur!R1),ROUND(V341,Korrektur!R1)),0.25,0))</f>
        <v>0</v>
      </c>
      <c r="AB341" s="1129">
        <f>IF($S341&gt;$H$334+1,"",IF(ROUND(K341,Korrektur!R1)=IF(ROUND($S341,Korrektur!R1)&gt;ROUND($H$334,Korrektur!R1),ROUND(W$387,Korrektur!R1),ROUND(W341,Korrektur!R1)),0.25,0))</f>
        <v>0</v>
      </c>
      <c r="AC341" s="1129">
        <f>IF($S341&gt;$H$334+1,"",IF(ROUND(L341,Korrektur!R1)=IF(ROUND($S341,Korrektur!R1)&gt;ROUND($H$334,Korrektur!R1),ROUND(X$387,Korrektur!R1),ROUND(X341,Korrektur!R1)),0.25,0))</f>
        <v>0</v>
      </c>
    </row>
    <row r="342" spans="1:29" s="888" customFormat="1" x14ac:dyDescent="0.2">
      <c r="A342" s="1098"/>
      <c r="B342" s="835"/>
      <c r="D342" s="1140">
        <f>IF(ErgInt!Z284="","",ErgInt!Z284)</f>
        <v>6</v>
      </c>
      <c r="E342" s="1141"/>
      <c r="F342" s="918"/>
      <c r="G342" s="1142"/>
      <c r="H342" s="1143"/>
      <c r="I342" s="1143"/>
      <c r="J342" s="1144"/>
      <c r="K342" s="918"/>
      <c r="L342" s="1142"/>
      <c r="M342" s="1144"/>
      <c r="N342" s="891"/>
      <c r="O342" s="920" t="str">
        <f t="shared" si="22"/>
        <v/>
      </c>
      <c r="P342" s="921" t="s">
        <v>463</v>
      </c>
      <c r="Q342" s="892">
        <f t="shared" si="23"/>
        <v>1</v>
      </c>
      <c r="R342" s="892"/>
      <c r="S342" s="924">
        <v>6</v>
      </c>
      <c r="T342" s="925">
        <f>IF(S342&gt;H334,"",S342)</f>
        <v>6</v>
      </c>
      <c r="U342" s="926">
        <f>IF(S342&gt;H334,"",$U341-$W341)</f>
        <v>52161.333333333343</v>
      </c>
      <c r="V342" s="926">
        <f>IF(S342&gt;H334,"",$U342*H333)</f>
        <v>2216.856666666667</v>
      </c>
      <c r="W342" s="926">
        <f t="shared" si="24"/>
        <v>5216.1333333333332</v>
      </c>
      <c r="X342" s="926">
        <f t="shared" si="25"/>
        <v>7432.99</v>
      </c>
      <c r="Y342" s="930"/>
      <c r="Z342" s="1129">
        <f>IF($D342="","",IF(OR(F342="",$S342&gt;$H$334+1),0,IF(ROUND(F342,Korrektur!R1)=IF(ROUND($S342,Korrektur!R1)&gt;ROUND($H$334,Korrektur!R1),ROUND(U$387,Korrektur!R1),ROUND(U342,Korrektur!R1)),0.25,"")))</f>
        <v>0</v>
      </c>
      <c r="AA342" s="1129">
        <f>IF($S342&gt;$H$334+1,"",IF(ROUND(G342,Korrektur!R1)=IF(ROUND($S342,Korrektur!R1)&gt;ROUND($H$334,Korrektur!R1),ROUND(V$387,Korrektur!R1),ROUND(V342,Korrektur!R1)),0.25,0))</f>
        <v>0</v>
      </c>
      <c r="AB342" s="1129">
        <f>IF($S342&gt;$H$334+1,"",IF(ROUND(K342,Korrektur!R1)=IF(ROUND($S342,Korrektur!R1)&gt;ROUND($H$334,Korrektur!R1),ROUND(W$387,Korrektur!R1),ROUND(W342,Korrektur!R1)),0.25,0))</f>
        <v>0</v>
      </c>
      <c r="AC342" s="1129">
        <f>IF($S342&gt;$H$334+1,"",IF(ROUND(L342,Korrektur!R1)=IF(ROUND($S342,Korrektur!R1)&gt;ROUND($H$334,Korrektur!R1),ROUND(X$387,Korrektur!R1),ROUND(X342,Korrektur!R1)),0.25,0))</f>
        <v>0</v>
      </c>
    </row>
    <row r="343" spans="1:29" s="888" customFormat="1" x14ac:dyDescent="0.2">
      <c r="A343" s="1098"/>
      <c r="B343" s="835"/>
      <c r="D343" s="1140">
        <f>IF(ErgInt!Z285="","",ErgInt!Z285)</f>
        <v>7</v>
      </c>
      <c r="E343" s="1141"/>
      <c r="F343" s="918"/>
      <c r="G343" s="1142"/>
      <c r="H343" s="1143"/>
      <c r="I343" s="1143"/>
      <c r="J343" s="1144"/>
      <c r="K343" s="918"/>
      <c r="L343" s="1142"/>
      <c r="M343" s="1144"/>
      <c r="N343" s="891"/>
      <c r="O343" s="920" t="str">
        <f t="shared" si="22"/>
        <v/>
      </c>
      <c r="P343" s="921" t="s">
        <v>463</v>
      </c>
      <c r="Q343" s="892">
        <f t="shared" si="23"/>
        <v>1</v>
      </c>
      <c r="R343" s="892"/>
      <c r="S343" s="924">
        <v>7</v>
      </c>
      <c r="T343" s="925">
        <f>IF(S343&gt;H334,"",S343)</f>
        <v>7</v>
      </c>
      <c r="U343" s="926">
        <f>IF(S343&gt;H334,"",$U342-$W342)</f>
        <v>46945.200000000012</v>
      </c>
      <c r="V343" s="926">
        <f>IF(S343&gt;H334,"",$U343*H333)</f>
        <v>1995.1710000000007</v>
      </c>
      <c r="W343" s="926">
        <f t="shared" si="24"/>
        <v>5216.1333333333332</v>
      </c>
      <c r="X343" s="926">
        <f t="shared" si="25"/>
        <v>7211.3043333333335</v>
      </c>
      <c r="Y343" s="930"/>
      <c r="Z343" s="1129">
        <f>IF($D343="","",IF(OR(F343="",$S343&gt;$H$334+1),0,IF(ROUND(F343,Korrektur!R1)=IF(ROUND($S343,Korrektur!R1)&gt;ROUND($H$334,Korrektur!R1),ROUND(U$387,Korrektur!R1),ROUND(U343,Korrektur!R1)),0.25,"")))</f>
        <v>0</v>
      </c>
      <c r="AA343" s="1129">
        <f>IF($S343&gt;$H$334+1,"",IF(ROUND(G343,Korrektur!R1)=IF(ROUND($S343,Korrektur!R1)&gt;ROUND($H$334,Korrektur!R1),ROUND(V$387,Korrektur!R1),ROUND(V343,Korrektur!R1)),0.25,0))</f>
        <v>0</v>
      </c>
      <c r="AB343" s="1129">
        <f>IF($S343&gt;$H$334+1,"",IF(ROUND(K343,Korrektur!R1)=IF(ROUND($S343,Korrektur!R1)&gt;ROUND($H$334,Korrektur!R1),ROUND(W$387,Korrektur!R1),ROUND(W343,Korrektur!R1)),0.25,0))</f>
        <v>0</v>
      </c>
      <c r="AC343" s="1129">
        <f>IF($S343&gt;$H$334+1,"",IF(ROUND(L343,Korrektur!R1)=IF(ROUND($S343,Korrektur!R1)&gt;ROUND($H$334,Korrektur!R1),ROUND(X$387,Korrektur!R1),ROUND(X343,Korrektur!R1)),0.25,0))</f>
        <v>0</v>
      </c>
    </row>
    <row r="344" spans="1:29" s="888" customFormat="1" x14ac:dyDescent="0.2">
      <c r="A344" s="1098"/>
      <c r="B344" s="835"/>
      <c r="D344" s="1140">
        <f>IF(ErgInt!Z286="","",ErgInt!Z286)</f>
        <v>8</v>
      </c>
      <c r="E344" s="1141"/>
      <c r="F344" s="918"/>
      <c r="G344" s="1142"/>
      <c r="H344" s="1143"/>
      <c r="I344" s="1143"/>
      <c r="J344" s="1144"/>
      <c r="K344" s="918"/>
      <c r="L344" s="1142"/>
      <c r="M344" s="1144"/>
      <c r="N344" s="891"/>
      <c r="O344" s="920" t="str">
        <f t="shared" si="22"/>
        <v/>
      </c>
      <c r="P344" s="921" t="s">
        <v>463</v>
      </c>
      <c r="Q344" s="892">
        <f t="shared" si="23"/>
        <v>1</v>
      </c>
      <c r="R344" s="892"/>
      <c r="S344" s="924">
        <v>8</v>
      </c>
      <c r="T344" s="925">
        <f>IF(S344&gt;H334,"",S344)</f>
        <v>8</v>
      </c>
      <c r="U344" s="926">
        <f>IF(S344&gt;H334,"",$U343-$W343)</f>
        <v>41729.06666666668</v>
      </c>
      <c r="V344" s="926">
        <f>IF(S344&gt;H334,"",$U344*H333)</f>
        <v>1773.485333333334</v>
      </c>
      <c r="W344" s="926">
        <f t="shared" si="24"/>
        <v>5216.1333333333332</v>
      </c>
      <c r="X344" s="926">
        <f t="shared" si="25"/>
        <v>6989.6186666666672</v>
      </c>
      <c r="Y344" s="930"/>
      <c r="Z344" s="1129">
        <f>IF($D344="","",IF(OR(F344="",$S344&gt;$H$334+1),0,IF(ROUND(F344,Korrektur!R1)=IF(ROUND($S344,Korrektur!R1)&gt;ROUND($H$334,Korrektur!R1),ROUND(U$387,Korrektur!R1),ROUND(U344,Korrektur!R1)),0.25,"")))</f>
        <v>0</v>
      </c>
      <c r="AA344" s="1129">
        <f>IF($S344&gt;$H$334+1,"",IF(ROUND(G344,Korrektur!R1)=IF(ROUND($S344,Korrektur!R1)&gt;ROUND($H$334,Korrektur!R1),ROUND(V$387,Korrektur!R1),ROUND(V344,Korrektur!R1)),0.25,0))</f>
        <v>0</v>
      </c>
      <c r="AB344" s="1129">
        <f>IF($S344&gt;$H$334+1,"",IF(ROUND(K344,Korrektur!R1)=IF(ROUND($S344,Korrektur!R1)&gt;ROUND($H$334,Korrektur!R1),ROUND(W$387,Korrektur!R1),ROUND(W344,Korrektur!R1)),0.25,0))</f>
        <v>0</v>
      </c>
      <c r="AC344" s="1129">
        <f>IF($S344&gt;$H$334+1,"",IF(ROUND(L344,Korrektur!R1)=IF(ROUND($S344,Korrektur!R1)&gt;ROUND($H$334,Korrektur!R1),ROUND(X$387,Korrektur!R1),ROUND(X344,Korrektur!R1)),0.25,0))</f>
        <v>0</v>
      </c>
    </row>
    <row r="345" spans="1:29" s="888" customFormat="1" x14ac:dyDescent="0.2">
      <c r="A345" s="1098"/>
      <c r="B345" s="835"/>
      <c r="D345" s="1140">
        <f>IF(ErgInt!Z287="","",ErgInt!Z287)</f>
        <v>9</v>
      </c>
      <c r="E345" s="1141"/>
      <c r="F345" s="918"/>
      <c r="G345" s="1142"/>
      <c r="H345" s="1143"/>
      <c r="I345" s="1143"/>
      <c r="J345" s="1144"/>
      <c r="K345" s="918"/>
      <c r="L345" s="1142"/>
      <c r="M345" s="1144"/>
      <c r="N345" s="891"/>
      <c r="O345" s="920" t="str">
        <f t="shared" si="22"/>
        <v/>
      </c>
      <c r="P345" s="921" t="s">
        <v>463</v>
      </c>
      <c r="Q345" s="892">
        <f t="shared" si="23"/>
        <v>1</v>
      </c>
      <c r="R345" s="892"/>
      <c r="S345" s="924">
        <v>9</v>
      </c>
      <c r="T345" s="925">
        <f>IF(S345&gt;H334,"",S345)</f>
        <v>9</v>
      </c>
      <c r="U345" s="926">
        <f>IF(S345&gt;H334,"",$U344-$W344)</f>
        <v>36512.933333333349</v>
      </c>
      <c r="V345" s="926">
        <f>IF(S345&gt;H334,"",$U345*H333)</f>
        <v>1551.7996666666675</v>
      </c>
      <c r="W345" s="926">
        <f t="shared" si="24"/>
        <v>5216.1333333333332</v>
      </c>
      <c r="X345" s="926">
        <f t="shared" si="25"/>
        <v>6767.9330000000009</v>
      </c>
      <c r="Y345" s="930"/>
      <c r="Z345" s="1129">
        <f>IF($D345="","",IF(OR(F345="",$S345&gt;$H$334+1),0,IF(ROUND(F345,Korrektur!R1)=IF(ROUND($S345,Korrektur!R1)&gt;ROUND($H$334,Korrektur!R1),ROUND(U$387,Korrektur!R1),ROUND(U345,Korrektur!R1)),0.25,"")))</f>
        <v>0</v>
      </c>
      <c r="AA345" s="1129">
        <f>IF($S345&gt;$H$334+1,"",IF(ROUND(G345,Korrektur!R1)=IF(ROUND($S345,Korrektur!R1)&gt;ROUND($H$334,Korrektur!R1),ROUND(V$387,Korrektur!R1),ROUND(V345,Korrektur!R1)),0.25,0))</f>
        <v>0</v>
      </c>
      <c r="AB345" s="1129">
        <f>IF($S345&gt;$H$334+1,"",IF(ROUND(K345,Korrektur!R1)=IF(ROUND($S345,Korrektur!R1)&gt;ROUND($H$334,Korrektur!R1),ROUND(W$387,Korrektur!R1),ROUND(W345,Korrektur!R1)),0.25,0))</f>
        <v>0</v>
      </c>
      <c r="AC345" s="1129">
        <f>IF($S345&gt;$H$334+1,"",IF(ROUND(L345,Korrektur!R1)=IF(ROUND($S345,Korrektur!R1)&gt;ROUND($H$334,Korrektur!R1),ROUND(X$387,Korrektur!R1),ROUND(X345,Korrektur!R1)),0.25,0))</f>
        <v>0</v>
      </c>
    </row>
    <row r="346" spans="1:29" s="888" customFormat="1" x14ac:dyDescent="0.2">
      <c r="A346" s="1098"/>
      <c r="B346" s="835"/>
      <c r="D346" s="1140">
        <f>IF(ErgInt!Z288="","",ErgInt!Z288)</f>
        <v>10</v>
      </c>
      <c r="E346" s="1141"/>
      <c r="F346" s="918"/>
      <c r="G346" s="1142"/>
      <c r="H346" s="1143"/>
      <c r="I346" s="1143"/>
      <c r="J346" s="1144"/>
      <c r="K346" s="918"/>
      <c r="L346" s="1142"/>
      <c r="M346" s="1144"/>
      <c r="N346" s="891"/>
      <c r="O346" s="920" t="str">
        <f t="shared" si="22"/>
        <v/>
      </c>
      <c r="P346" s="921" t="s">
        <v>463</v>
      </c>
      <c r="Q346" s="892">
        <f t="shared" si="23"/>
        <v>1</v>
      </c>
      <c r="R346" s="892"/>
      <c r="S346" s="924">
        <v>10</v>
      </c>
      <c r="T346" s="925">
        <f>IF(S346&gt;H334,"",S346)</f>
        <v>10</v>
      </c>
      <c r="U346" s="926">
        <f>IF(S346&gt;H334,"",$U345-$W345)</f>
        <v>31296.800000000017</v>
      </c>
      <c r="V346" s="926">
        <f>IF(S346&gt;H334,"",$U346*H333)</f>
        <v>1330.1140000000009</v>
      </c>
      <c r="W346" s="926">
        <f t="shared" si="24"/>
        <v>5216.1333333333332</v>
      </c>
      <c r="X346" s="926">
        <f t="shared" si="25"/>
        <v>6546.2473333333346</v>
      </c>
      <c r="Y346" s="930"/>
      <c r="Z346" s="1129">
        <f>IF($D346="","",IF(OR(F346="",$S346&gt;$H$334+1),0,IF(ROUND(F346,Korrektur!R1)=IF(ROUND($S346,Korrektur!R1)&gt;ROUND($H$334,Korrektur!R1),ROUND(U$387,Korrektur!R1),ROUND(U346,Korrektur!R1)),0.25,"")))</f>
        <v>0</v>
      </c>
      <c r="AA346" s="1129">
        <f>IF($S346&gt;$H$334+1,"",IF(ROUND(G346,Korrektur!R1)=IF(ROUND($S346,Korrektur!R1)&gt;ROUND($H$334,Korrektur!R1),ROUND(V$387,Korrektur!R1),ROUND(V346,Korrektur!R1)),0.25,0))</f>
        <v>0</v>
      </c>
      <c r="AB346" s="1129">
        <f>IF($S346&gt;$H$334+1,"",IF(ROUND(K346,Korrektur!R1)=IF(ROUND($S346,Korrektur!R1)&gt;ROUND($H$334,Korrektur!R1),ROUND(W$387,Korrektur!R1),ROUND(W346,Korrektur!R1)),0.25,0))</f>
        <v>0</v>
      </c>
      <c r="AC346" s="1129">
        <f>IF($S346&gt;$H$334+1,"",IF(ROUND(L346,Korrektur!R1)=IF(ROUND($S346,Korrektur!R1)&gt;ROUND($H$334,Korrektur!R1),ROUND(X$387,Korrektur!R1),ROUND(X346,Korrektur!R1)),0.25,0))</f>
        <v>0</v>
      </c>
    </row>
    <row r="347" spans="1:29" s="888" customFormat="1" x14ac:dyDescent="0.2">
      <c r="A347" s="1098"/>
      <c r="B347" s="835"/>
      <c r="D347" s="1140">
        <f>IF(ErgInt!Z289="","",ErgInt!Z289)</f>
        <v>11</v>
      </c>
      <c r="E347" s="1141"/>
      <c r="F347" s="918"/>
      <c r="G347" s="1142"/>
      <c r="H347" s="1143"/>
      <c r="I347" s="1143"/>
      <c r="J347" s="1144"/>
      <c r="K347" s="918"/>
      <c r="L347" s="1142"/>
      <c r="M347" s="1144"/>
      <c r="N347" s="891"/>
      <c r="O347" s="920" t="str">
        <f t="shared" si="22"/>
        <v/>
      </c>
      <c r="P347" s="921" t="s">
        <v>463</v>
      </c>
      <c r="Q347" s="892">
        <f t="shared" si="23"/>
        <v>1</v>
      </c>
      <c r="R347" s="892"/>
      <c r="S347" s="924">
        <v>11</v>
      </c>
      <c r="T347" s="925">
        <f>IF(S347&gt;H334,"",S347)</f>
        <v>11</v>
      </c>
      <c r="U347" s="926">
        <f>IF(S347&gt;H334,"",$U346-$W346)</f>
        <v>26080.666666666686</v>
      </c>
      <c r="V347" s="926">
        <f>IF(S347&gt;H334,"",$U347*H333)</f>
        <v>1108.4283333333342</v>
      </c>
      <c r="W347" s="926">
        <f t="shared" si="24"/>
        <v>5216.1333333333332</v>
      </c>
      <c r="X347" s="926">
        <f t="shared" si="25"/>
        <v>6324.5616666666674</v>
      </c>
      <c r="Y347" s="930"/>
      <c r="Z347" s="1129">
        <f>IF($D347="","",IF(OR(F347="",$S347&gt;$H$334+1),0,IF(ROUND(F347,Korrektur!R1)=IF(ROUND($S347,Korrektur!R1)&gt;ROUND($H$334,Korrektur!R1),ROUND(U$387,Korrektur!R1),ROUND(U347,Korrektur!R1)),0.25,"")))</f>
        <v>0</v>
      </c>
      <c r="AA347" s="1129">
        <f>IF($S347&gt;$H$334+1,"",IF(ROUND(G347,Korrektur!R1)=IF(ROUND($S347,Korrektur!R1)&gt;ROUND($H$334,Korrektur!R1),ROUND(V$387,Korrektur!R1),ROUND(V347,Korrektur!R1)),0.25,0))</f>
        <v>0</v>
      </c>
      <c r="AB347" s="1129">
        <f>IF($S347&gt;$H$334+1,"",IF(ROUND(K347,Korrektur!R1)=IF(ROUND($S347,Korrektur!R1)&gt;ROUND($H$334,Korrektur!R1),ROUND(W$387,Korrektur!R1),ROUND(W347,Korrektur!R1)),0.25,0))</f>
        <v>0</v>
      </c>
      <c r="AC347" s="1129">
        <f>IF($S347&gt;$H$334+1,"",IF(ROUND(L347,Korrektur!R1)=IF(ROUND($S347,Korrektur!R1)&gt;ROUND($H$334,Korrektur!R1),ROUND(X$387,Korrektur!R1),ROUND(X347,Korrektur!R1)),0.25,0))</f>
        <v>0</v>
      </c>
    </row>
    <row r="348" spans="1:29" s="888" customFormat="1" x14ac:dyDescent="0.2">
      <c r="A348" s="1098"/>
      <c r="B348" s="835"/>
      <c r="D348" s="1140">
        <f>IF(ErgInt!Z290="","",ErgInt!Z290)</f>
        <v>12</v>
      </c>
      <c r="E348" s="1141"/>
      <c r="F348" s="918"/>
      <c r="G348" s="1142"/>
      <c r="H348" s="1143"/>
      <c r="I348" s="1143"/>
      <c r="J348" s="1144"/>
      <c r="K348" s="918"/>
      <c r="L348" s="1142"/>
      <c r="M348" s="1144"/>
      <c r="N348" s="891"/>
      <c r="O348" s="920" t="str">
        <f t="shared" si="22"/>
        <v/>
      </c>
      <c r="P348" s="921" t="s">
        <v>463</v>
      </c>
      <c r="Q348" s="892">
        <f t="shared" si="23"/>
        <v>1</v>
      </c>
      <c r="R348" s="892"/>
      <c r="S348" s="924">
        <v>12</v>
      </c>
      <c r="T348" s="925">
        <f>IF(S348&gt;H334,"",S348)</f>
        <v>12</v>
      </c>
      <c r="U348" s="926">
        <f>IF(S348&gt;H334,"",$U347-$W347)</f>
        <v>20864.533333333355</v>
      </c>
      <c r="V348" s="926">
        <f>IF(S348&gt;H334,"",$U348*H333)</f>
        <v>886.74266666666767</v>
      </c>
      <c r="W348" s="926">
        <f t="shared" si="24"/>
        <v>5216.1333333333332</v>
      </c>
      <c r="X348" s="926">
        <f t="shared" si="25"/>
        <v>6102.8760000000011</v>
      </c>
      <c r="Y348" s="930"/>
      <c r="Z348" s="1129">
        <f>IF($D348="","",IF(OR(F348="",$S348&gt;$H$334+1),0,IF(ROUND(F348,Korrektur!R1)=IF(ROUND($S348,Korrektur!R1)&gt;ROUND($H$334,Korrektur!R1),ROUND(U$387,Korrektur!R1),ROUND(U348,Korrektur!R1)),0.25,"")))</f>
        <v>0</v>
      </c>
      <c r="AA348" s="1129">
        <f>IF($S348&gt;$H$334+1,"",IF(ROUND(G348,Korrektur!R1)=IF(ROUND($S348,Korrektur!R1)&gt;ROUND($H$334,Korrektur!R1),ROUND(V$387,Korrektur!R1),ROUND(V348,Korrektur!R1)),0.25,0))</f>
        <v>0</v>
      </c>
      <c r="AB348" s="1129">
        <f>IF($S348&gt;$H$334+1,"",IF(ROUND(K348,Korrektur!R1)=IF(ROUND($S348,Korrektur!R1)&gt;ROUND($H$334,Korrektur!R1),ROUND(W$387,Korrektur!R1),ROUND(W348,Korrektur!R1)),0.25,0))</f>
        <v>0</v>
      </c>
      <c r="AC348" s="1129">
        <f>IF($S348&gt;$H$334+1,"",IF(ROUND(L348,Korrektur!R1)=IF(ROUND($S348,Korrektur!R1)&gt;ROUND($H$334,Korrektur!R1),ROUND(X$387,Korrektur!R1),ROUND(X348,Korrektur!R1)),0.25,0))</f>
        <v>0</v>
      </c>
    </row>
    <row r="349" spans="1:29" s="888" customFormat="1" x14ac:dyDescent="0.2">
      <c r="A349" s="1098"/>
      <c r="B349" s="835"/>
      <c r="D349" s="1140">
        <f>IF(ErgInt!Z291="","",ErgInt!Z291)</f>
        <v>13</v>
      </c>
      <c r="E349" s="1141"/>
      <c r="F349" s="918"/>
      <c r="G349" s="1142"/>
      <c r="H349" s="1143"/>
      <c r="I349" s="1143"/>
      <c r="J349" s="1144"/>
      <c r="K349" s="918"/>
      <c r="L349" s="1142"/>
      <c r="M349" s="1144"/>
      <c r="N349" s="891"/>
      <c r="O349" s="920" t="str">
        <f t="shared" si="22"/>
        <v/>
      </c>
      <c r="P349" s="921" t="s">
        <v>463</v>
      </c>
      <c r="Q349" s="892">
        <f t="shared" si="23"/>
        <v>1</v>
      </c>
      <c r="R349" s="892"/>
      <c r="S349" s="924">
        <v>13</v>
      </c>
      <c r="T349" s="925">
        <f>IF(S349&gt;H334,"",S349)</f>
        <v>13</v>
      </c>
      <c r="U349" s="926">
        <f>IF(S349&gt;H334,"",$U348-$W348)</f>
        <v>15648.400000000021</v>
      </c>
      <c r="V349" s="926">
        <f>IF(S349&gt;H334,"",$U349*H333)</f>
        <v>665.05700000000093</v>
      </c>
      <c r="W349" s="926">
        <f t="shared" si="24"/>
        <v>5216.1333333333332</v>
      </c>
      <c r="X349" s="926">
        <f t="shared" si="25"/>
        <v>5881.1903333333339</v>
      </c>
      <c r="Y349" s="930"/>
      <c r="Z349" s="1129">
        <f>IF($D349="","",IF(OR(F349="",$S349&gt;$H$334+1),0,IF(ROUND(F349,Korrektur!R1)=IF(ROUND($S349,Korrektur!R1)&gt;ROUND($H$334,Korrektur!R1),ROUND(U$387,Korrektur!R1),ROUND(U349,Korrektur!R1)),0.25,"")))</f>
        <v>0</v>
      </c>
      <c r="AA349" s="1129">
        <f>IF($S349&gt;$H$334+1,"",IF(ROUND(G349,Korrektur!R1)=IF(ROUND($S349,Korrektur!R1)&gt;ROUND($H$334,Korrektur!R1),ROUND(V$387,Korrektur!R1),ROUND(V349,Korrektur!R1)),0.25,0))</f>
        <v>0</v>
      </c>
      <c r="AB349" s="1129">
        <f>IF($S349&gt;$H$334+1,"",IF(ROUND(K349,Korrektur!R1)=IF(ROUND($S349,Korrektur!R1)&gt;ROUND($H$334,Korrektur!R1),ROUND(W$387,Korrektur!R1),ROUND(W349,Korrektur!R1)),0.25,0))</f>
        <v>0</v>
      </c>
      <c r="AC349" s="1129">
        <f>IF($S349&gt;$H$334+1,"",IF(ROUND(L349,Korrektur!R1)=IF(ROUND($S349,Korrektur!R1)&gt;ROUND($H$334,Korrektur!R1),ROUND(X$387,Korrektur!R1),ROUND(X349,Korrektur!R1)),0.25,0))</f>
        <v>0</v>
      </c>
    </row>
    <row r="350" spans="1:29" s="888" customFormat="1" x14ac:dyDescent="0.2">
      <c r="A350" s="1098"/>
      <c r="B350" s="835"/>
      <c r="D350" s="1140">
        <f>IF(ErgInt!Z292="","",ErgInt!Z292)</f>
        <v>14</v>
      </c>
      <c r="E350" s="1141"/>
      <c r="F350" s="918"/>
      <c r="G350" s="1142"/>
      <c r="H350" s="1143"/>
      <c r="I350" s="1143"/>
      <c r="J350" s="1144"/>
      <c r="K350" s="918"/>
      <c r="L350" s="1142"/>
      <c r="M350" s="1144"/>
      <c r="N350" s="891"/>
      <c r="O350" s="920" t="str">
        <f t="shared" si="22"/>
        <v/>
      </c>
      <c r="P350" s="921" t="s">
        <v>463</v>
      </c>
      <c r="Q350" s="892">
        <f t="shared" si="23"/>
        <v>1</v>
      </c>
      <c r="R350" s="892"/>
      <c r="S350" s="924">
        <v>14</v>
      </c>
      <c r="T350" s="925">
        <f>IF(S350&gt;H334,"",S350)</f>
        <v>14</v>
      </c>
      <c r="U350" s="926">
        <f>IF(S350&gt;H334,"",$U349-$W349)</f>
        <v>10432.266666666688</v>
      </c>
      <c r="V350" s="926">
        <f>IF(S350&gt;H334,"",$U350*H333)</f>
        <v>443.37133333333429</v>
      </c>
      <c r="W350" s="926">
        <f t="shared" si="24"/>
        <v>5216.1333333333332</v>
      </c>
      <c r="X350" s="926">
        <f t="shared" si="25"/>
        <v>5659.5046666666676</v>
      </c>
      <c r="Y350" s="930"/>
      <c r="Z350" s="1129">
        <f>IF($D350="","",IF(OR(F350="",$S350&gt;$H$334+1),0,IF(ROUND(F350,Korrektur!R1)=IF(ROUND($S350,Korrektur!R1)&gt;ROUND($H$334,Korrektur!R1),ROUND(U$387,Korrektur!R1),ROUND(U350,Korrektur!R1)),0.25,"")))</f>
        <v>0</v>
      </c>
      <c r="AA350" s="1129">
        <f>IF($S350&gt;$H$334+1,"",IF(ROUND(G350,Korrektur!R1)=IF(ROUND($S350,Korrektur!R1)&gt;ROUND($H$334,Korrektur!R1),ROUND(V$387,Korrektur!R1),ROUND(V350,Korrektur!R1)),0.25,0))</f>
        <v>0</v>
      </c>
      <c r="AB350" s="1129">
        <f>IF($S350&gt;$H$334+1,"",IF(ROUND(K350,Korrektur!R1)=IF(ROUND($S350,Korrektur!R1)&gt;ROUND($H$334,Korrektur!R1),ROUND(W$387,Korrektur!R1),ROUND(W350,Korrektur!R1)),0.25,0))</f>
        <v>0</v>
      </c>
      <c r="AC350" s="1129">
        <f>IF($S350&gt;$H$334+1,"",IF(ROUND(L350,Korrektur!R1)=IF(ROUND($S350,Korrektur!R1)&gt;ROUND($H$334,Korrektur!R1),ROUND(X$387,Korrektur!R1),ROUND(X350,Korrektur!R1)),0.25,0))</f>
        <v>0</v>
      </c>
    </row>
    <row r="351" spans="1:29" s="888" customFormat="1" x14ac:dyDescent="0.2">
      <c r="A351" s="1098"/>
      <c r="B351" s="835"/>
      <c r="D351" s="1140">
        <f>IF(ErgInt!Z293="","",ErgInt!Z293)</f>
        <v>15</v>
      </c>
      <c r="E351" s="1141"/>
      <c r="F351" s="918"/>
      <c r="G351" s="1142"/>
      <c r="H351" s="1143"/>
      <c r="I351" s="1143"/>
      <c r="J351" s="1144"/>
      <c r="K351" s="918"/>
      <c r="L351" s="1142"/>
      <c r="M351" s="1144"/>
      <c r="N351" s="891"/>
      <c r="O351" s="920" t="str">
        <f t="shared" si="22"/>
        <v/>
      </c>
      <c r="P351" s="921" t="s">
        <v>463</v>
      </c>
      <c r="Q351" s="892">
        <f t="shared" si="23"/>
        <v>1</v>
      </c>
      <c r="R351" s="892"/>
      <c r="S351" s="924">
        <v>15</v>
      </c>
      <c r="T351" s="925">
        <f>IF(S351&gt;H334,"",S351)</f>
        <v>15</v>
      </c>
      <c r="U351" s="926">
        <f>IF(S351&gt;H334,"",$U350-$W350)</f>
        <v>5216.133333333355</v>
      </c>
      <c r="V351" s="926">
        <f>IF(S351&gt;H334,"",$U351*H333)</f>
        <v>221.6856666666676</v>
      </c>
      <c r="W351" s="926">
        <f t="shared" si="24"/>
        <v>5216.1333333333332</v>
      </c>
      <c r="X351" s="926">
        <f t="shared" si="25"/>
        <v>5437.8190000000004</v>
      </c>
      <c r="Y351" s="930"/>
      <c r="Z351" s="1129">
        <f>IF($D351="","",IF(OR(F351="",$S351&gt;$H$334+1),0,IF(ROUND(F351,Korrektur!R1)=IF(ROUND($S351,Korrektur!R1)&gt;ROUND($H$334,Korrektur!R1),ROUND(U$387,Korrektur!R1),ROUND(U351,Korrektur!R1)),0.25,"")))</f>
        <v>0</v>
      </c>
      <c r="AA351" s="1129">
        <f>IF($S351&gt;$H$334+1,"",IF(ROUND(G351,Korrektur!R1)=IF(ROUND($S351,Korrektur!R1)&gt;ROUND($H$334,Korrektur!R1),ROUND(V$387,Korrektur!R1),ROUND(V351,Korrektur!R1)),0.25,0))</f>
        <v>0</v>
      </c>
      <c r="AB351" s="1129">
        <f>IF($S351&gt;$H$334+1,"",IF(ROUND(K351,Korrektur!R1)=IF(ROUND($S351,Korrektur!R1)&gt;ROUND($H$334,Korrektur!R1),ROUND(W$387,Korrektur!R1),ROUND(W351,Korrektur!R1)),0.25,0))</f>
        <v>0</v>
      </c>
      <c r="AC351" s="1129">
        <f>IF($S351&gt;$H$334+1,"",IF(ROUND(L351,Korrektur!R1)=IF(ROUND($S351,Korrektur!R1)&gt;ROUND($H$334,Korrektur!R1),ROUND(X$387,Korrektur!R1),ROUND(X351,Korrektur!R1)),0.25,0))</f>
        <v>0</v>
      </c>
    </row>
    <row r="352" spans="1:29" s="888" customFormat="1" x14ac:dyDescent="0.2">
      <c r="A352" s="1098"/>
      <c r="B352" s="835"/>
      <c r="D352" s="1140" t="str">
        <f>IF(ErgInt!Z294="","",ErgInt!Z294)</f>
        <v>Bilanz</v>
      </c>
      <c r="E352" s="1141"/>
      <c r="F352" s="918"/>
      <c r="G352" s="1142"/>
      <c r="H352" s="1143"/>
      <c r="I352" s="1143"/>
      <c r="J352" s="1144"/>
      <c r="K352" s="918"/>
      <c r="L352" s="1142"/>
      <c r="M352" s="1144"/>
      <c r="N352" s="891"/>
      <c r="O352" s="920" t="str">
        <f t="shared" si="22"/>
        <v/>
      </c>
      <c r="P352" s="921" t="s">
        <v>463</v>
      </c>
      <c r="Q352" s="892">
        <f t="shared" si="23"/>
        <v>1</v>
      </c>
      <c r="R352" s="892"/>
      <c r="S352" s="924">
        <v>16</v>
      </c>
      <c r="T352" s="925" t="str">
        <f>IF(S352&gt;H334,"",S352)</f>
        <v/>
      </c>
      <c r="U352" s="926" t="str">
        <f>IF(S352&gt;H334,"",$U351-$W351)</f>
        <v/>
      </c>
      <c r="V352" s="926" t="str">
        <f>IF(S352&gt;H334,"",$U352*H333)</f>
        <v/>
      </c>
      <c r="W352" s="926" t="str">
        <f t="shared" si="24"/>
        <v/>
      </c>
      <c r="X352" s="926" t="str">
        <f t="shared" si="25"/>
        <v/>
      </c>
      <c r="Y352" s="930"/>
      <c r="Z352" s="1129">
        <f>IF($D352="","",IF(OR(F352="",$S352&gt;$H$334+1),0,IF(ROUND(F352,Korrektur!R1)=IF(ROUND($S352,Korrektur!R1)&gt;ROUND($H$334,Korrektur!R1),ROUND(U$387,Korrektur!R1),ROUND(U352,Korrektur!R1)),0.25,"")))</f>
        <v>0</v>
      </c>
      <c r="AA352" s="1129">
        <f>IF($S352&gt;$H$334+1,"",IF(ROUND(G352,Korrektur!R1)=IF(ROUND($S352,Korrektur!R1)&gt;ROUND($H$334,Korrektur!R1),ROUND(V$387,Korrektur!R1),ROUND(V352,Korrektur!R1)),0.25,0))</f>
        <v>0</v>
      </c>
      <c r="AB352" s="1129">
        <f>IF($S352&gt;$H$334+1,"",IF(ROUND(K352,Korrektur!R1)=IF(ROUND($S352,Korrektur!R1)&gt;ROUND($H$334,Korrektur!R1),ROUND(W$387,Korrektur!R1),ROUND(W352,Korrektur!R1)),0.25,0))</f>
        <v>0</v>
      </c>
      <c r="AC352" s="1129">
        <f>IF($S352&gt;$H$334+1,"",IF(ROUND(L352,Korrektur!R1)=IF(ROUND($S352,Korrektur!R1)&gt;ROUND($H$334,Korrektur!R1),ROUND(X$387,Korrektur!R1),ROUND(X352,Korrektur!R1)),0.25,0))</f>
        <v>0</v>
      </c>
    </row>
    <row r="353" spans="1:29" s="888" customFormat="1" hidden="1" x14ac:dyDescent="0.2">
      <c r="A353" s="1098"/>
      <c r="B353" s="835"/>
      <c r="D353" s="1140" t="str">
        <f>IF(ErgInt!Z295="","",ErgInt!Z295)</f>
        <v/>
      </c>
      <c r="E353" s="1141"/>
      <c r="F353" s="918"/>
      <c r="G353" s="1142"/>
      <c r="H353" s="1143"/>
      <c r="I353" s="1143"/>
      <c r="J353" s="1144"/>
      <c r="K353" s="918"/>
      <c r="L353" s="1142"/>
      <c r="M353" s="1144"/>
      <c r="N353" s="891"/>
      <c r="O353" s="920" t="str">
        <f t="shared" si="22"/>
        <v/>
      </c>
      <c r="P353" s="921" t="s">
        <v>463</v>
      </c>
      <c r="Q353" s="892" t="str">
        <f t="shared" si="23"/>
        <v/>
      </c>
      <c r="R353" s="892"/>
      <c r="S353" s="924">
        <v>17</v>
      </c>
      <c r="T353" s="925" t="str">
        <f>IF(S353&gt;H334,"",S353)</f>
        <v/>
      </c>
      <c r="U353" s="926" t="str">
        <f>IF(S353&gt;H334,"",$U352-$W352)</f>
        <v/>
      </c>
      <c r="V353" s="926" t="str">
        <f>IF(S353&gt;H334,"",$U353*H333)</f>
        <v/>
      </c>
      <c r="W353" s="926" t="str">
        <f t="shared" si="24"/>
        <v/>
      </c>
      <c r="X353" s="926" t="str">
        <f t="shared" si="25"/>
        <v/>
      </c>
      <c r="Y353" s="930"/>
      <c r="Z353" s="1129" t="str">
        <f>IF($D353="","",IF(OR(F353="",$S353&gt;$H$334+1),0,IF(ROUND(F353,Korrektur!R1)=IF(ROUND($S353,Korrektur!R1)&gt;ROUND($H$334,Korrektur!R1),ROUND(U$387,Korrektur!R1),ROUND(U353,Korrektur!R1)),0.25,"")))</f>
        <v/>
      </c>
      <c r="AA353" s="1129" t="str">
        <f>IF($S353&gt;$H$334+1,"",IF(ROUND(G353,Korrektur!R1)=IF(ROUND($S353,Korrektur!R1)&gt;ROUND($H$334,Korrektur!R1),ROUND(V$387,Korrektur!R1),ROUND(V353,Korrektur!R1)),0.25,0))</f>
        <v/>
      </c>
      <c r="AB353" s="1129" t="str">
        <f>IF($S353&gt;$H$334+1,"",IF(ROUND(K353,Korrektur!R1)=IF(ROUND($S353,Korrektur!R1)&gt;ROUND($H$334,Korrektur!R1),ROUND(W$387,Korrektur!R1),ROUND(W353,Korrektur!R1)),0.25,0))</f>
        <v/>
      </c>
      <c r="AC353" s="1129" t="str">
        <f>IF($S353&gt;$H$334+1,"",IF(ROUND(L353,Korrektur!R1)=IF(ROUND($S353,Korrektur!R1)&gt;ROUND($H$334,Korrektur!R1),ROUND(X$387,Korrektur!R1),ROUND(X353,Korrektur!R1)),0.25,0))</f>
        <v/>
      </c>
    </row>
    <row r="354" spans="1:29" s="888" customFormat="1" hidden="1" x14ac:dyDescent="0.2">
      <c r="A354" s="1098"/>
      <c r="B354" s="835"/>
      <c r="D354" s="1140" t="str">
        <f>IF(ErgInt!Z296="","",ErgInt!Z296)</f>
        <v/>
      </c>
      <c r="E354" s="1141"/>
      <c r="F354" s="918"/>
      <c r="G354" s="1142"/>
      <c r="H354" s="1143"/>
      <c r="I354" s="1143"/>
      <c r="J354" s="1144"/>
      <c r="K354" s="918"/>
      <c r="L354" s="1142"/>
      <c r="M354" s="1144"/>
      <c r="N354" s="891"/>
      <c r="O354" s="920" t="str">
        <f t="shared" si="22"/>
        <v/>
      </c>
      <c r="P354" s="921" t="s">
        <v>463</v>
      </c>
      <c r="Q354" s="892" t="str">
        <f t="shared" si="23"/>
        <v/>
      </c>
      <c r="R354" s="892"/>
      <c r="S354" s="924">
        <v>18</v>
      </c>
      <c r="T354" s="925" t="str">
        <f>IF(S354&gt;H334,"",S354)</f>
        <v/>
      </c>
      <c r="U354" s="926" t="str">
        <f>IF(S354&gt;H334,"",$U353-$W353)</f>
        <v/>
      </c>
      <c r="V354" s="926" t="str">
        <f>IF(S354&gt;H334,"",$U354*H333)</f>
        <v/>
      </c>
      <c r="W354" s="926" t="str">
        <f t="shared" si="24"/>
        <v/>
      </c>
      <c r="X354" s="926" t="str">
        <f t="shared" si="25"/>
        <v/>
      </c>
      <c r="Y354" s="930"/>
      <c r="Z354" s="1129" t="str">
        <f>IF($D354="","",IF(OR(F354="",$S354&gt;$H$334+1),0,IF(ROUND(F354,Korrektur!R1)=IF(ROUND($S354,Korrektur!R1)&gt;ROUND($H$334,Korrektur!R1),ROUND(U$387,Korrektur!R1),ROUND(U354,Korrektur!R1)),0.25,"")))</f>
        <v/>
      </c>
      <c r="AA354" s="1129" t="str">
        <f>IF($S354&gt;$H$334+1,"",IF(ROUND(G354,Korrektur!R1)=IF(ROUND($S354,Korrektur!R1)&gt;ROUND($H$334,Korrektur!R1),ROUND(V$387,Korrektur!R1),ROUND(V354,Korrektur!R1)),0.25,0))</f>
        <v/>
      </c>
      <c r="AB354" s="1129" t="str">
        <f>IF($S354&gt;$H$334+1,"",IF(ROUND(K354,Korrektur!R1)=IF(ROUND($S354,Korrektur!R1)&gt;ROUND($H$334,Korrektur!R1),ROUND(W$387,Korrektur!R1),ROUND(W354,Korrektur!R1)),0.25,0))</f>
        <v/>
      </c>
      <c r="AC354" s="1129" t="str">
        <f>IF($S354&gt;$H$334+1,"",IF(ROUND(L354,Korrektur!R1)=IF(ROUND($S354,Korrektur!R1)&gt;ROUND($H$334,Korrektur!R1),ROUND(X$387,Korrektur!R1),ROUND(X354,Korrektur!R1)),0.25,0))</f>
        <v/>
      </c>
    </row>
    <row r="355" spans="1:29" s="888" customFormat="1" hidden="1" x14ac:dyDescent="0.2">
      <c r="A355" s="1098"/>
      <c r="B355" s="835"/>
      <c r="D355" s="1140" t="str">
        <f>IF(ErgInt!Z297="","",ErgInt!Z297)</f>
        <v/>
      </c>
      <c r="E355" s="1141"/>
      <c r="F355" s="918"/>
      <c r="G355" s="1142"/>
      <c r="H355" s="1143"/>
      <c r="I355" s="1143"/>
      <c r="J355" s="1144"/>
      <c r="K355" s="918"/>
      <c r="L355" s="1142"/>
      <c r="M355" s="1144"/>
      <c r="N355" s="891"/>
      <c r="O355" s="920" t="str">
        <f t="shared" si="22"/>
        <v/>
      </c>
      <c r="P355" s="921" t="s">
        <v>463</v>
      </c>
      <c r="Q355" s="892" t="str">
        <f t="shared" si="23"/>
        <v/>
      </c>
      <c r="R355" s="892"/>
      <c r="S355" s="924">
        <v>19</v>
      </c>
      <c r="T355" s="925" t="str">
        <f>IF(S355&gt;H334,"",S355)</f>
        <v/>
      </c>
      <c r="U355" s="926" t="str">
        <f>IF(S355&gt;H334,"",$U354-$W354)</f>
        <v/>
      </c>
      <c r="V355" s="926" t="str">
        <f>IF(S355&gt;H334,"",$U355*H333)</f>
        <v/>
      </c>
      <c r="W355" s="926" t="str">
        <f t="shared" si="24"/>
        <v/>
      </c>
      <c r="X355" s="926" t="str">
        <f t="shared" si="25"/>
        <v/>
      </c>
      <c r="Y355" s="930"/>
      <c r="Z355" s="1129" t="str">
        <f>IF($D355="","",IF(OR(F355="",$S355&gt;$H$334+1),0,IF(ROUND(F355,Korrektur!R1)=IF(ROUND($S355,Korrektur!R1)&gt;ROUND($H$334,Korrektur!R1),ROUND(U$387,Korrektur!R1),ROUND(U355,Korrektur!R1)),0.25,"")))</f>
        <v/>
      </c>
      <c r="AA355" s="1129" t="str">
        <f>IF($S355&gt;$H$334+1,"",IF(ROUND(G355,Korrektur!R1)=IF(ROUND($S355,Korrektur!R1)&gt;ROUND($H$334,Korrektur!R1),ROUND(V$387,Korrektur!R1),ROUND(V355,Korrektur!R1)),0.25,0))</f>
        <v/>
      </c>
      <c r="AB355" s="1129" t="str">
        <f>IF($S355&gt;$H$334+1,"",IF(ROUND(K355,Korrektur!R1)=IF(ROUND($S355,Korrektur!R1)&gt;ROUND($H$334,Korrektur!R1),ROUND(W$387,Korrektur!R1),ROUND(W355,Korrektur!R1)),0.25,0))</f>
        <v/>
      </c>
      <c r="AC355" s="1129" t="str">
        <f>IF($S355&gt;$H$334+1,"",IF(ROUND(L355,Korrektur!R1)=IF(ROUND($S355,Korrektur!R1)&gt;ROUND($H$334,Korrektur!R1),ROUND(X$387,Korrektur!R1),ROUND(X355,Korrektur!R1)),0.25,0))</f>
        <v/>
      </c>
    </row>
    <row r="356" spans="1:29" s="888" customFormat="1" hidden="1" x14ac:dyDescent="0.2">
      <c r="A356" s="1098"/>
      <c r="B356" s="835"/>
      <c r="D356" s="1140" t="str">
        <f>IF(ErgInt!Z298="","",ErgInt!Z298)</f>
        <v/>
      </c>
      <c r="E356" s="1141"/>
      <c r="F356" s="918"/>
      <c r="G356" s="1142"/>
      <c r="H356" s="1143"/>
      <c r="I356" s="1143"/>
      <c r="J356" s="1144"/>
      <c r="K356" s="918"/>
      <c r="L356" s="1142"/>
      <c r="M356" s="1144"/>
      <c r="N356" s="891"/>
      <c r="O356" s="920" t="str">
        <f t="shared" si="22"/>
        <v/>
      </c>
      <c r="P356" s="921" t="s">
        <v>463</v>
      </c>
      <c r="Q356" s="892" t="str">
        <f t="shared" si="23"/>
        <v/>
      </c>
      <c r="R356" s="892"/>
      <c r="S356" s="924">
        <v>20</v>
      </c>
      <c r="T356" s="925" t="str">
        <f>IF(S356&gt;H334,"",S356)</f>
        <v/>
      </c>
      <c r="U356" s="926" t="str">
        <f>IF(S356&gt;H334,"",$U355-$W355)</f>
        <v/>
      </c>
      <c r="V356" s="926" t="str">
        <f>IF(S356&gt;H334,"",$U356*H333)</f>
        <v/>
      </c>
      <c r="W356" s="926" t="str">
        <f t="shared" si="24"/>
        <v/>
      </c>
      <c r="X356" s="926" t="str">
        <f t="shared" si="25"/>
        <v/>
      </c>
      <c r="Y356" s="930"/>
      <c r="Z356" s="1129" t="str">
        <f>IF($D356="","",IF(OR(F356="",$S356&gt;$H$334+1),0,IF(ROUND(F356,Korrektur!R1)=IF(ROUND($S356,Korrektur!R1)&gt;ROUND($H$334,Korrektur!R1),ROUND(U$387,Korrektur!R1),ROUND(U356,Korrektur!R1)),0.25,"")))</f>
        <v/>
      </c>
      <c r="AA356" s="1129" t="str">
        <f>IF($S356&gt;$H$334+1,"",IF(ROUND(G356,Korrektur!R1)=IF(ROUND($S356,Korrektur!R1)&gt;ROUND($H$334,Korrektur!R1),ROUND(V$387,Korrektur!R1),ROUND(V356,Korrektur!R1)),0.25,0))</f>
        <v/>
      </c>
      <c r="AB356" s="1129" t="str">
        <f>IF($S356&gt;$H$334+1,"",IF(ROUND(K356,Korrektur!R1)=IF(ROUND($S356,Korrektur!R1)&gt;ROUND($H$334,Korrektur!R1),ROUND(W$387,Korrektur!R1),ROUND(W356,Korrektur!R1)),0.25,0))</f>
        <v/>
      </c>
      <c r="AC356" s="1129" t="str">
        <f>IF($S356&gt;$H$334+1,"",IF(ROUND(L356,Korrektur!R1)=IF(ROUND($S356,Korrektur!R1)&gt;ROUND($H$334,Korrektur!R1),ROUND(X$387,Korrektur!R1),ROUND(X356,Korrektur!R1)),0.25,0))</f>
        <v/>
      </c>
    </row>
    <row r="357" spans="1:29" s="888" customFormat="1" hidden="1" x14ac:dyDescent="0.2">
      <c r="A357" s="1098"/>
      <c r="B357" s="835"/>
      <c r="D357" s="1140" t="str">
        <f>IF(ErgInt!Z299="","",ErgInt!Z299)</f>
        <v/>
      </c>
      <c r="E357" s="1141"/>
      <c r="F357" s="918"/>
      <c r="G357" s="1142"/>
      <c r="H357" s="1143"/>
      <c r="I357" s="1143"/>
      <c r="J357" s="1144"/>
      <c r="K357" s="918"/>
      <c r="L357" s="1142"/>
      <c r="M357" s="1144"/>
      <c r="N357" s="891"/>
      <c r="O357" s="920" t="str">
        <f t="shared" si="22"/>
        <v/>
      </c>
      <c r="P357" s="921" t="s">
        <v>463</v>
      </c>
      <c r="Q357" s="892" t="str">
        <f t="shared" si="23"/>
        <v/>
      </c>
      <c r="R357" s="892"/>
      <c r="S357" s="924">
        <v>21</v>
      </c>
      <c r="T357" s="925" t="str">
        <f>IF(S357&gt;H334,"",S357)</f>
        <v/>
      </c>
      <c r="U357" s="926" t="str">
        <f>IF(S357&gt;H334,"",$U356-$W356)</f>
        <v/>
      </c>
      <c r="V357" s="926" t="str">
        <f>IF(S357&gt;H334,"",$U357*H333)</f>
        <v/>
      </c>
      <c r="W357" s="926" t="str">
        <f t="shared" si="24"/>
        <v/>
      </c>
      <c r="X357" s="926" t="str">
        <f t="shared" si="25"/>
        <v/>
      </c>
      <c r="Y357" s="930"/>
      <c r="Z357" s="1129" t="str">
        <f>IF($D357="","",IF(OR(F357="",$S357&gt;$H$334+1),0,IF(ROUND(F357,Korrektur!R1)=IF(ROUND($S357,Korrektur!R1)&gt;ROUND($H$334,Korrektur!R1),ROUND(U$387,Korrektur!R1),ROUND(U357,Korrektur!R1)),0.25,"")))</f>
        <v/>
      </c>
      <c r="AA357" s="1129" t="str">
        <f>IF($S357&gt;$H$334+1,"",IF(ROUND(G357,Korrektur!R1)=IF(ROUND($S357,Korrektur!R1)&gt;ROUND($H$334,Korrektur!R1),ROUND(V$387,Korrektur!R1),ROUND(V357,Korrektur!R1)),0.25,0))</f>
        <v/>
      </c>
      <c r="AB357" s="1129" t="str">
        <f>IF($S357&gt;$H$334+1,"",IF(ROUND(K357,Korrektur!R1)=IF(ROUND($S357,Korrektur!R1)&gt;ROUND($H$334,Korrektur!R1),ROUND(W$387,Korrektur!R1),ROUND(W357,Korrektur!R1)),0.25,0))</f>
        <v/>
      </c>
      <c r="AC357" s="1129" t="str">
        <f>IF($S357&gt;$H$334+1,"",IF(ROUND(L357,Korrektur!R1)=IF(ROUND($S357,Korrektur!R1)&gt;ROUND($H$334,Korrektur!R1),ROUND(X$387,Korrektur!R1),ROUND(X357,Korrektur!R1)),0.25,0))</f>
        <v/>
      </c>
    </row>
    <row r="358" spans="1:29" s="888" customFormat="1" hidden="1" x14ac:dyDescent="0.2">
      <c r="A358" s="1098"/>
      <c r="B358" s="835"/>
      <c r="D358" s="1140" t="str">
        <f>IF(ErgInt!Z300="","",ErgInt!Z300)</f>
        <v/>
      </c>
      <c r="E358" s="1141"/>
      <c r="F358" s="918"/>
      <c r="G358" s="1142"/>
      <c r="H358" s="1143"/>
      <c r="I358" s="1143"/>
      <c r="J358" s="1144"/>
      <c r="K358" s="918"/>
      <c r="L358" s="1142"/>
      <c r="M358" s="1144"/>
      <c r="N358" s="891"/>
      <c r="O358" s="920" t="str">
        <f t="shared" si="22"/>
        <v/>
      </c>
      <c r="P358" s="921" t="s">
        <v>463</v>
      </c>
      <c r="Q358" s="892" t="str">
        <f t="shared" si="23"/>
        <v/>
      </c>
      <c r="R358" s="892"/>
      <c r="S358" s="924">
        <v>22</v>
      </c>
      <c r="T358" s="925" t="str">
        <f>IF(S358&gt;H334,"",S358)</f>
        <v/>
      </c>
      <c r="U358" s="926" t="str">
        <f>IF(S358&gt;H334,"",$U357-$W357)</f>
        <v/>
      </c>
      <c r="V358" s="926" t="str">
        <f>IF(S358&gt;H334,"",$U358*H333)</f>
        <v/>
      </c>
      <c r="W358" s="926" t="str">
        <f t="shared" si="24"/>
        <v/>
      </c>
      <c r="X358" s="926" t="str">
        <f t="shared" si="25"/>
        <v/>
      </c>
      <c r="Y358" s="930"/>
      <c r="Z358" s="1129" t="str">
        <f>IF($D358="","",IF(OR(F358="",$S358&gt;$H$334+1),0,IF(ROUND(F358,Korrektur!R1)=IF(ROUND($S358,Korrektur!R1)&gt;ROUND($H$334,Korrektur!R1),ROUND(U$387,Korrektur!R1),ROUND(U358,Korrektur!R1)),0.25,"")))</f>
        <v/>
      </c>
      <c r="AA358" s="1129" t="str">
        <f>IF($S358&gt;$H$334+1,"",IF(ROUND(G358,Korrektur!R1)=IF(ROUND($S358,Korrektur!R1)&gt;ROUND($H$334,Korrektur!R1),ROUND(V$387,Korrektur!R1),ROUND(V358,Korrektur!R1)),0.25,0))</f>
        <v/>
      </c>
      <c r="AB358" s="1129" t="str">
        <f>IF($S358&gt;$H$334+1,"",IF(ROUND(K358,Korrektur!R1)=IF(ROUND($S358,Korrektur!R1)&gt;ROUND($H$334,Korrektur!R1),ROUND(W$387,Korrektur!R1),ROUND(W358,Korrektur!R1)),0.25,0))</f>
        <v/>
      </c>
      <c r="AC358" s="1129" t="str">
        <f>IF($S358&gt;$H$334+1,"",IF(ROUND(L358,Korrektur!R1)=IF(ROUND($S358,Korrektur!R1)&gt;ROUND($H$334,Korrektur!R1),ROUND(X$387,Korrektur!R1),ROUND(X358,Korrektur!R1)),0.25,0))</f>
        <v/>
      </c>
    </row>
    <row r="359" spans="1:29" s="888" customFormat="1" hidden="1" x14ac:dyDescent="0.2">
      <c r="A359" s="1098"/>
      <c r="B359" s="835"/>
      <c r="D359" s="1140" t="str">
        <f>IF(ErgInt!Z301="","",ErgInt!Z301)</f>
        <v/>
      </c>
      <c r="E359" s="1141"/>
      <c r="F359" s="918"/>
      <c r="G359" s="1142"/>
      <c r="H359" s="1143"/>
      <c r="I359" s="1143"/>
      <c r="J359" s="1144"/>
      <c r="K359" s="918"/>
      <c r="L359" s="1142"/>
      <c r="M359" s="1144"/>
      <c r="N359" s="891"/>
      <c r="O359" s="920" t="str">
        <f t="shared" si="22"/>
        <v/>
      </c>
      <c r="P359" s="921" t="s">
        <v>463</v>
      </c>
      <c r="Q359" s="892" t="str">
        <f t="shared" si="23"/>
        <v/>
      </c>
      <c r="R359" s="892"/>
      <c r="S359" s="924">
        <v>23</v>
      </c>
      <c r="T359" s="925" t="str">
        <f>IF(S359&gt;H334,"",S359)</f>
        <v/>
      </c>
      <c r="U359" s="926" t="str">
        <f>IF(S359&gt;H334,"",$U358-$W358)</f>
        <v/>
      </c>
      <c r="V359" s="926" t="str">
        <f>IF(S359&gt;H334,"",$U359*H333)</f>
        <v/>
      </c>
      <c r="W359" s="926" t="str">
        <f t="shared" si="24"/>
        <v/>
      </c>
      <c r="X359" s="926" t="str">
        <f t="shared" si="25"/>
        <v/>
      </c>
      <c r="Y359" s="930"/>
      <c r="Z359" s="1129" t="str">
        <f>IF($D359="","",IF(OR(F359="",$S359&gt;$H$334+1),0,IF(ROUND(F359,Korrektur!R1)=IF(ROUND($S359,Korrektur!R1)&gt;ROUND($H$334,Korrektur!R1),ROUND(U$387,Korrektur!R1),ROUND(U359,Korrektur!R1)),0.25,"")))</f>
        <v/>
      </c>
      <c r="AA359" s="1129" t="str">
        <f>IF($S359&gt;$H$334+1,"",IF(ROUND(G359,Korrektur!R1)=IF(ROUND($S359,Korrektur!R1)&gt;ROUND($H$334,Korrektur!R1),ROUND(V$387,Korrektur!R1),ROUND(V359,Korrektur!R1)),0.25,0))</f>
        <v/>
      </c>
      <c r="AB359" s="1129" t="str">
        <f>IF($S359&gt;$H$334+1,"",IF(ROUND(K359,Korrektur!R1)=IF(ROUND($S359,Korrektur!R1)&gt;ROUND($H$334,Korrektur!R1),ROUND(W$387,Korrektur!R1),ROUND(W359,Korrektur!R1)),0.25,0))</f>
        <v/>
      </c>
      <c r="AC359" s="1129" t="str">
        <f>IF($S359&gt;$H$334+1,"",IF(ROUND(L359,Korrektur!R1)=IF(ROUND($S359,Korrektur!R1)&gt;ROUND($H$334,Korrektur!R1),ROUND(X$387,Korrektur!R1),ROUND(X359,Korrektur!R1)),0.25,0))</f>
        <v/>
      </c>
    </row>
    <row r="360" spans="1:29" s="888" customFormat="1" hidden="1" x14ac:dyDescent="0.2">
      <c r="A360" s="1098"/>
      <c r="B360" s="835"/>
      <c r="D360" s="1140" t="str">
        <f>IF(ErgInt!Z302="","",ErgInt!Z302)</f>
        <v/>
      </c>
      <c r="E360" s="1141"/>
      <c r="F360" s="918"/>
      <c r="G360" s="1142"/>
      <c r="H360" s="1143"/>
      <c r="I360" s="1143"/>
      <c r="J360" s="1144"/>
      <c r="K360" s="918"/>
      <c r="L360" s="1142"/>
      <c r="M360" s="1144"/>
      <c r="N360" s="891"/>
      <c r="O360" s="920" t="str">
        <f t="shared" si="22"/>
        <v/>
      </c>
      <c r="P360" s="921" t="s">
        <v>463</v>
      </c>
      <c r="Q360" s="892" t="str">
        <f t="shared" si="23"/>
        <v/>
      </c>
      <c r="R360" s="892"/>
      <c r="S360" s="924">
        <v>24</v>
      </c>
      <c r="T360" s="925" t="str">
        <f>IF(S360&gt;H334,"",S360)</f>
        <v/>
      </c>
      <c r="U360" s="926" t="str">
        <f>IF(S360&gt;H334,"",$U359-$W359)</f>
        <v/>
      </c>
      <c r="V360" s="926" t="str">
        <f>IF(S360&gt;H334,"",$U360*H333)</f>
        <v/>
      </c>
      <c r="W360" s="926" t="str">
        <f t="shared" si="24"/>
        <v/>
      </c>
      <c r="X360" s="926" t="str">
        <f t="shared" si="25"/>
        <v/>
      </c>
      <c r="Y360" s="930"/>
      <c r="Z360" s="1129" t="str">
        <f>IF($D360="","",IF(OR(F360="",$S360&gt;$H$334+1),0,IF(ROUND(F360,Korrektur!R1)=IF(ROUND($S360,Korrektur!R1)&gt;ROUND($H$334,Korrektur!R1),ROUND(U$387,Korrektur!R1),ROUND(U360,Korrektur!R1)),0.25,"")))</f>
        <v/>
      </c>
      <c r="AA360" s="1129" t="str">
        <f>IF($S360&gt;$H$334+1,"",IF(ROUND(G360,Korrektur!R1)=IF(ROUND($S360,Korrektur!R1)&gt;ROUND($H$334,Korrektur!R1),ROUND(V$387,Korrektur!R1),ROUND(V360,Korrektur!R1)),0.25,0))</f>
        <v/>
      </c>
      <c r="AB360" s="1129" t="str">
        <f>IF($S360&gt;$H$334+1,"",IF(ROUND(K360,Korrektur!R1)=IF(ROUND($S360,Korrektur!R1)&gt;ROUND($H$334,Korrektur!R1),ROUND(W$387,Korrektur!R1),ROUND(W360,Korrektur!R1)),0.25,0))</f>
        <v/>
      </c>
      <c r="AC360" s="1129" t="str">
        <f>IF($S360&gt;$H$334+1,"",IF(ROUND(L360,Korrektur!R1)=IF(ROUND($S360,Korrektur!R1)&gt;ROUND($H$334,Korrektur!R1),ROUND(X$387,Korrektur!R1),ROUND(X360,Korrektur!R1)),0.25,0))</f>
        <v/>
      </c>
    </row>
    <row r="361" spans="1:29" s="888" customFormat="1" hidden="1" x14ac:dyDescent="0.2">
      <c r="A361" s="1098"/>
      <c r="B361" s="835"/>
      <c r="D361" s="1140" t="str">
        <f>IF(ErgInt!Z303="","",ErgInt!Z303)</f>
        <v/>
      </c>
      <c r="E361" s="1141"/>
      <c r="F361" s="918"/>
      <c r="G361" s="1142"/>
      <c r="H361" s="1143"/>
      <c r="I361" s="1143"/>
      <c r="J361" s="1144"/>
      <c r="K361" s="918"/>
      <c r="L361" s="1142"/>
      <c r="M361" s="1144"/>
      <c r="N361" s="891"/>
      <c r="O361" s="920" t="str">
        <f t="shared" si="22"/>
        <v/>
      </c>
      <c r="P361" s="921" t="s">
        <v>463</v>
      </c>
      <c r="Q361" s="892" t="str">
        <f t="shared" si="23"/>
        <v/>
      </c>
      <c r="R361" s="892"/>
      <c r="S361" s="924">
        <v>25</v>
      </c>
      <c r="T361" s="925" t="str">
        <f>IF(S361&gt;H334,"",S361)</f>
        <v/>
      </c>
      <c r="U361" s="926" t="str">
        <f>IF(S361&gt;H334,"",$U360-$W360)</f>
        <v/>
      </c>
      <c r="V361" s="926" t="str">
        <f>IF(S361&gt;H334,"",$U361*H333)</f>
        <v/>
      </c>
      <c r="W361" s="926" t="str">
        <f t="shared" si="24"/>
        <v/>
      </c>
      <c r="X361" s="926" t="str">
        <f t="shared" si="25"/>
        <v/>
      </c>
      <c r="Y361" s="930"/>
      <c r="Z361" s="1129" t="str">
        <f>IF($D361="","",IF(OR(F361="",$S361&gt;$H$334+1),0,IF(ROUND(F361,Korrektur!R1)=IF(ROUND($S361,Korrektur!R1)&gt;ROUND($H$334,Korrektur!R1),ROUND(U$387,Korrektur!R1),ROUND(U361,Korrektur!R1)),0.25,"")))</f>
        <v/>
      </c>
      <c r="AA361" s="1129" t="str">
        <f>IF($S361&gt;$H$334+1,"",IF(ROUND(G361,Korrektur!R1)=IF(ROUND($S361,Korrektur!R1)&gt;ROUND($H$334,Korrektur!R1),ROUND(V$387,Korrektur!R1),ROUND(V361,Korrektur!R1)),0.25,0))</f>
        <v/>
      </c>
      <c r="AB361" s="1129" t="str">
        <f>IF($S361&gt;$H$334+1,"",IF(ROUND(K361,Korrektur!R1)=IF(ROUND($S361,Korrektur!R1)&gt;ROUND($H$334,Korrektur!R1),ROUND(W$387,Korrektur!R1),ROUND(W361,Korrektur!R1)),0.25,0))</f>
        <v/>
      </c>
      <c r="AC361" s="1129" t="str">
        <f>IF($S361&gt;$H$334+1,"",IF(ROUND(L361,Korrektur!R1)=IF(ROUND($S361,Korrektur!R1)&gt;ROUND($H$334,Korrektur!R1),ROUND(X$387,Korrektur!R1),ROUND(X361,Korrektur!R1)),0.25,0))</f>
        <v/>
      </c>
    </row>
    <row r="362" spans="1:29" s="888" customFormat="1" hidden="1" x14ac:dyDescent="0.2">
      <c r="A362" s="1098"/>
      <c r="B362" s="835"/>
      <c r="D362" s="1140" t="str">
        <f>IF(ErgInt!Z304="","",ErgInt!Z304)</f>
        <v/>
      </c>
      <c r="E362" s="1141"/>
      <c r="F362" s="918"/>
      <c r="G362" s="1142"/>
      <c r="H362" s="1143"/>
      <c r="I362" s="1143"/>
      <c r="J362" s="1144"/>
      <c r="K362" s="918"/>
      <c r="L362" s="1142"/>
      <c r="M362" s="1144"/>
      <c r="N362" s="891"/>
      <c r="O362" s="920" t="str">
        <f t="shared" si="22"/>
        <v/>
      </c>
      <c r="P362" s="921" t="s">
        <v>463</v>
      </c>
      <c r="Q362" s="892" t="str">
        <f t="shared" si="23"/>
        <v/>
      </c>
      <c r="R362" s="892"/>
      <c r="S362" s="924">
        <v>26</v>
      </c>
      <c r="T362" s="925" t="str">
        <f>IF(S362&gt;H334,"",S362)</f>
        <v/>
      </c>
      <c r="U362" s="926" t="str">
        <f>IF(S362&gt;H334,"",$U361-$W361)</f>
        <v/>
      </c>
      <c r="V362" s="926" t="str">
        <f>IF(S362&gt;H334,"",$U362*H333)</f>
        <v/>
      </c>
      <c r="W362" s="926" t="str">
        <f t="shared" si="24"/>
        <v/>
      </c>
      <c r="X362" s="926" t="str">
        <f t="shared" si="25"/>
        <v/>
      </c>
      <c r="Y362" s="930"/>
      <c r="Z362" s="1129" t="str">
        <f>IF($D362="","",IF(OR(F362="",$S362&gt;$H$334+1),0,IF(ROUND(F362,Korrektur!R1)=IF(ROUND($S362,Korrektur!R1)&gt;ROUND($H$334,Korrektur!R1),ROUND(U$387,Korrektur!R1),ROUND(U362,Korrektur!R1)),0.25,"")))</f>
        <v/>
      </c>
      <c r="AA362" s="1129" t="str">
        <f>IF($S362&gt;$H$334+1,"",IF(ROUND(G362,Korrektur!R1)=IF(ROUND($S362,Korrektur!R1)&gt;ROUND($H$334,Korrektur!R1),ROUND(V$387,Korrektur!R1),ROUND(V362,Korrektur!R1)),0.25,0))</f>
        <v/>
      </c>
      <c r="AB362" s="1129" t="str">
        <f>IF($S362&gt;$H$334+1,"",IF(ROUND(K362,Korrektur!R1)=IF(ROUND($S362,Korrektur!R1)&gt;ROUND($H$334,Korrektur!R1),ROUND(W$387,Korrektur!R1),ROUND(W362,Korrektur!R1)),0.25,0))</f>
        <v/>
      </c>
      <c r="AC362" s="1129" t="str">
        <f>IF($S362&gt;$H$334+1,"",IF(ROUND(L362,Korrektur!R1)=IF(ROUND($S362,Korrektur!R1)&gt;ROUND($H$334,Korrektur!R1),ROUND(X$387,Korrektur!R1),ROUND(X362,Korrektur!R1)),0.25,0))</f>
        <v/>
      </c>
    </row>
    <row r="363" spans="1:29" s="888" customFormat="1" hidden="1" x14ac:dyDescent="0.2">
      <c r="A363" s="1098"/>
      <c r="B363" s="835"/>
      <c r="D363" s="1140" t="str">
        <f>IF(ErgInt!Z305="","",ErgInt!Z305)</f>
        <v/>
      </c>
      <c r="E363" s="1141"/>
      <c r="F363" s="918"/>
      <c r="G363" s="1142"/>
      <c r="H363" s="1143"/>
      <c r="I363" s="1143"/>
      <c r="J363" s="1144"/>
      <c r="K363" s="918"/>
      <c r="L363" s="1142"/>
      <c r="M363" s="1144"/>
      <c r="N363" s="891"/>
      <c r="O363" s="920" t="str">
        <f t="shared" si="22"/>
        <v/>
      </c>
      <c r="P363" s="921" t="s">
        <v>463</v>
      </c>
      <c r="Q363" s="892" t="str">
        <f t="shared" si="23"/>
        <v/>
      </c>
      <c r="R363" s="892"/>
      <c r="S363" s="924">
        <v>27</v>
      </c>
      <c r="T363" s="925" t="str">
        <f>IF(S363&gt;H334,"",S363)</f>
        <v/>
      </c>
      <c r="U363" s="926" t="str">
        <f>IF(S363&gt;H334,"",$U362-$W362)</f>
        <v/>
      </c>
      <c r="V363" s="926" t="str">
        <f>IF(S363&gt;H334,"",$U363*H333)</f>
        <v/>
      </c>
      <c r="W363" s="926" t="str">
        <f t="shared" si="24"/>
        <v/>
      </c>
      <c r="X363" s="926" t="str">
        <f t="shared" si="25"/>
        <v/>
      </c>
      <c r="Y363" s="930"/>
      <c r="Z363" s="1129" t="str">
        <f>IF($D363="","",IF(OR(F363="",$S363&gt;$H$334+1),0,IF(ROUND(F363,Korrektur!R1)=IF(ROUND($S363,Korrektur!R1)&gt;ROUND($H$334,Korrektur!R1),ROUND(U$387,Korrektur!R1),ROUND(U363,Korrektur!R1)),0.25,"")))</f>
        <v/>
      </c>
      <c r="AA363" s="1129" t="str">
        <f>IF($S363&gt;$H$334+1,"",IF(ROUND(G363,Korrektur!R1)=IF(ROUND($S363,Korrektur!R1)&gt;ROUND($H$334,Korrektur!R1),ROUND(V$387,Korrektur!R1),ROUND(V363,Korrektur!R1)),0.25,0))</f>
        <v/>
      </c>
      <c r="AB363" s="1129" t="str">
        <f>IF($S363&gt;$H$334+1,"",IF(ROUND(K363,Korrektur!R1)=IF(ROUND($S363,Korrektur!R1)&gt;ROUND($H$334,Korrektur!R1),ROUND(W$387,Korrektur!R1),ROUND(W363,Korrektur!R1)),0.25,0))</f>
        <v/>
      </c>
      <c r="AC363" s="1129" t="str">
        <f>IF($S363&gt;$H$334+1,"",IF(ROUND(L363,Korrektur!R1)=IF(ROUND($S363,Korrektur!R1)&gt;ROUND($H$334,Korrektur!R1),ROUND(X$387,Korrektur!R1),ROUND(X363,Korrektur!R1)),0.25,0))</f>
        <v/>
      </c>
    </row>
    <row r="364" spans="1:29" s="888" customFormat="1" hidden="1" x14ac:dyDescent="0.2">
      <c r="A364" s="1098"/>
      <c r="B364" s="835"/>
      <c r="D364" s="1140" t="str">
        <f>IF(ErgInt!Z306="","",ErgInt!Z306)</f>
        <v/>
      </c>
      <c r="E364" s="1141"/>
      <c r="F364" s="918"/>
      <c r="G364" s="1142"/>
      <c r="H364" s="1143"/>
      <c r="I364" s="1143"/>
      <c r="J364" s="1144"/>
      <c r="K364" s="918"/>
      <c r="L364" s="1142"/>
      <c r="M364" s="1144"/>
      <c r="N364" s="891"/>
      <c r="O364" s="920" t="str">
        <f t="shared" si="22"/>
        <v/>
      </c>
      <c r="P364" s="921" t="s">
        <v>463</v>
      </c>
      <c r="Q364" s="892" t="str">
        <f t="shared" si="23"/>
        <v/>
      </c>
      <c r="R364" s="892"/>
      <c r="S364" s="924">
        <v>28</v>
      </c>
      <c r="T364" s="925" t="str">
        <f>IF(S364&gt;H334,"",S364)</f>
        <v/>
      </c>
      <c r="U364" s="926" t="str">
        <f>IF(S364&gt;H334,"",$U363-$W363)</f>
        <v/>
      </c>
      <c r="V364" s="926" t="str">
        <f>IF(S364&gt;H334,"",$U364*H333)</f>
        <v/>
      </c>
      <c r="W364" s="926" t="str">
        <f t="shared" si="24"/>
        <v/>
      </c>
      <c r="X364" s="926" t="str">
        <f t="shared" si="25"/>
        <v/>
      </c>
      <c r="Y364" s="930"/>
      <c r="Z364" s="1129" t="str">
        <f>IF($D364="","",IF(OR(F364="",$S364&gt;$H$334+1),0,IF(ROUND(F364,Korrektur!R1)=IF(ROUND($S364,Korrektur!R1)&gt;ROUND($H$334,Korrektur!R1),ROUND(U$387,Korrektur!R1),ROUND(U364,Korrektur!R1)),0.25,"")))</f>
        <v/>
      </c>
      <c r="AA364" s="1129" t="str">
        <f>IF($S364&gt;$H$334+1,"",IF(ROUND(G364,Korrektur!R1)=IF(ROUND($S364,Korrektur!R1)&gt;ROUND($H$334,Korrektur!R1),ROUND(V$387,Korrektur!R1),ROUND(V364,Korrektur!R1)),0.25,0))</f>
        <v/>
      </c>
      <c r="AB364" s="1129" t="str">
        <f>IF($S364&gt;$H$334+1,"",IF(ROUND(K364,Korrektur!R1)=IF(ROUND($S364,Korrektur!R1)&gt;ROUND($H$334,Korrektur!R1),ROUND(W$387,Korrektur!R1),ROUND(W364,Korrektur!R1)),0.25,0))</f>
        <v/>
      </c>
      <c r="AC364" s="1129" t="str">
        <f>IF($S364&gt;$H$334+1,"",IF(ROUND(L364,Korrektur!R1)=IF(ROUND($S364,Korrektur!R1)&gt;ROUND($H$334,Korrektur!R1),ROUND(X$387,Korrektur!R1),ROUND(X364,Korrektur!R1)),0.25,0))</f>
        <v/>
      </c>
    </row>
    <row r="365" spans="1:29" s="888" customFormat="1" hidden="1" x14ac:dyDescent="0.2">
      <c r="A365" s="1098"/>
      <c r="B365" s="835"/>
      <c r="D365" s="1140" t="str">
        <f>IF(ErgInt!Z307="","",ErgInt!Z307)</f>
        <v/>
      </c>
      <c r="E365" s="1141"/>
      <c r="F365" s="918"/>
      <c r="G365" s="1142"/>
      <c r="H365" s="1143"/>
      <c r="I365" s="1143"/>
      <c r="J365" s="1144"/>
      <c r="K365" s="918"/>
      <c r="L365" s="1142"/>
      <c r="M365" s="1144"/>
      <c r="N365" s="891"/>
      <c r="O365" s="920" t="str">
        <f t="shared" si="22"/>
        <v/>
      </c>
      <c r="P365" s="921" t="s">
        <v>463</v>
      </c>
      <c r="Q365" s="892" t="str">
        <f t="shared" si="23"/>
        <v/>
      </c>
      <c r="R365" s="892"/>
      <c r="S365" s="924">
        <v>29</v>
      </c>
      <c r="T365" s="925" t="str">
        <f>IF(S365&gt;H334,"",S365)</f>
        <v/>
      </c>
      <c r="U365" s="926" t="str">
        <f>IF(S365&gt;H334,"",$U364-$W364)</f>
        <v/>
      </c>
      <c r="V365" s="926" t="str">
        <f>IF(S365&gt;H334,"",$U365*H333)</f>
        <v/>
      </c>
      <c r="W365" s="926" t="str">
        <f t="shared" si="24"/>
        <v/>
      </c>
      <c r="X365" s="926" t="str">
        <f t="shared" si="25"/>
        <v/>
      </c>
      <c r="Y365" s="930"/>
      <c r="Z365" s="1129" t="str">
        <f>IF($D365="","",IF(OR(F365="",$S365&gt;$H$334+1),0,IF(ROUND(F365,Korrektur!R1)=IF(ROUND($S365,Korrektur!R1)&gt;ROUND($H$334,Korrektur!R1),ROUND(U$387,Korrektur!R1),ROUND(U365,Korrektur!R1)),0.25,"")))</f>
        <v/>
      </c>
      <c r="AA365" s="1129" t="str">
        <f>IF($S365&gt;$H$334+1,"",IF(ROUND(G365,Korrektur!R1)=IF(ROUND($S365,Korrektur!R1)&gt;ROUND($H$334,Korrektur!R1),ROUND(V$387,Korrektur!R1),ROUND(V365,Korrektur!R1)),0.25,0))</f>
        <v/>
      </c>
      <c r="AB365" s="1129" t="str">
        <f>IF($S365&gt;$H$334+1,"",IF(ROUND(K365,Korrektur!R1)=IF(ROUND($S365,Korrektur!R1)&gt;ROUND($H$334,Korrektur!R1),ROUND(W$387,Korrektur!R1),ROUND(W365,Korrektur!R1)),0.25,0))</f>
        <v/>
      </c>
      <c r="AC365" s="1129" t="str">
        <f>IF($S365&gt;$H$334+1,"",IF(ROUND(L365,Korrektur!R1)=IF(ROUND($S365,Korrektur!R1)&gt;ROUND($H$334,Korrektur!R1),ROUND(X$387,Korrektur!R1),ROUND(X365,Korrektur!R1)),0.25,0))</f>
        <v/>
      </c>
    </row>
    <row r="366" spans="1:29" s="888" customFormat="1" hidden="1" x14ac:dyDescent="0.2">
      <c r="A366" s="1098"/>
      <c r="B366" s="835"/>
      <c r="D366" s="1140" t="str">
        <f>IF(ErgInt!Z308="","",ErgInt!Z308)</f>
        <v/>
      </c>
      <c r="E366" s="1141"/>
      <c r="F366" s="918"/>
      <c r="G366" s="1142"/>
      <c r="H366" s="1143"/>
      <c r="I366" s="1143"/>
      <c r="J366" s="1144"/>
      <c r="K366" s="918"/>
      <c r="L366" s="1142"/>
      <c r="M366" s="1144"/>
      <c r="N366" s="891"/>
      <c r="O366" s="920" t="str">
        <f t="shared" si="22"/>
        <v/>
      </c>
      <c r="P366" s="921" t="s">
        <v>463</v>
      </c>
      <c r="Q366" s="892" t="str">
        <f t="shared" si="23"/>
        <v/>
      </c>
      <c r="R366" s="892"/>
      <c r="S366" s="924">
        <v>30</v>
      </c>
      <c r="T366" s="925" t="str">
        <f>IF(S366&gt;H334,"",S366)</f>
        <v/>
      </c>
      <c r="U366" s="926" t="str">
        <f>IF(S366&gt;H334,"",$U365-$W365)</f>
        <v/>
      </c>
      <c r="V366" s="926" t="str">
        <f>IF(S366&gt;H334,"",$U366*H333)</f>
        <v/>
      </c>
      <c r="W366" s="926" t="str">
        <f t="shared" si="24"/>
        <v/>
      </c>
      <c r="X366" s="926" t="str">
        <f t="shared" si="25"/>
        <v/>
      </c>
      <c r="Y366" s="930"/>
      <c r="Z366" s="1129" t="str">
        <f>IF($D366="","",IF(OR(F366="",$S366&gt;$H$334+1),0,IF(ROUND(F366,Korrektur!R1)=IF(ROUND($S366,Korrektur!R1)&gt;ROUND($H$334,Korrektur!R1),ROUND(U$387,Korrektur!R1),ROUND(U366,Korrektur!R1)),0.25,"")))</f>
        <v/>
      </c>
      <c r="AA366" s="1129" t="str">
        <f>IF($S366&gt;$H$334+1,"",IF(ROUND(G366,Korrektur!R1)=IF(ROUND($S366,Korrektur!R1)&gt;ROUND($H$334,Korrektur!R1),ROUND(V$387,Korrektur!R1),ROUND(V366,Korrektur!R1)),0.25,0))</f>
        <v/>
      </c>
      <c r="AB366" s="1129" t="str">
        <f>IF($S366&gt;$H$334+1,"",IF(ROUND(K366,Korrektur!R1)=IF(ROUND($S366,Korrektur!R1)&gt;ROUND($H$334,Korrektur!R1),ROUND(W$387,Korrektur!R1),ROUND(W366,Korrektur!R1)),0.25,0))</f>
        <v/>
      </c>
      <c r="AC366" s="1129" t="str">
        <f>IF($S366&gt;$H$334+1,"",IF(ROUND(L366,Korrektur!R1)=IF(ROUND($S366,Korrektur!R1)&gt;ROUND($H$334,Korrektur!R1),ROUND(X$387,Korrektur!R1),ROUND(X366,Korrektur!R1)),0.25,0))</f>
        <v/>
      </c>
    </row>
    <row r="367" spans="1:29" s="888" customFormat="1" hidden="1" x14ac:dyDescent="0.2">
      <c r="A367" s="1098"/>
      <c r="B367" s="835"/>
      <c r="D367" s="1140" t="str">
        <f>IF(ErgInt!Z309="","",ErgInt!Z309)</f>
        <v/>
      </c>
      <c r="E367" s="1141"/>
      <c r="F367" s="918"/>
      <c r="G367" s="1142"/>
      <c r="H367" s="1143"/>
      <c r="I367" s="1143"/>
      <c r="J367" s="1144"/>
      <c r="K367" s="918"/>
      <c r="L367" s="1142"/>
      <c r="M367" s="1144"/>
      <c r="N367" s="891"/>
      <c r="O367" s="920" t="str">
        <f t="shared" si="22"/>
        <v/>
      </c>
      <c r="P367" s="921" t="s">
        <v>463</v>
      </c>
      <c r="Q367" s="892" t="str">
        <f t="shared" si="23"/>
        <v/>
      </c>
      <c r="R367" s="892"/>
      <c r="S367" s="924">
        <v>31</v>
      </c>
      <c r="T367" s="925" t="str">
        <f>IF(S367&gt;H334,"",S367)</f>
        <v/>
      </c>
      <c r="U367" s="926" t="str">
        <f>IF(S367&gt;H334,"",$U366-$W366)</f>
        <v/>
      </c>
      <c r="V367" s="926" t="str">
        <f>IF(S367&gt;H334,"",$U367*H333)</f>
        <v/>
      </c>
      <c r="W367" s="926" t="str">
        <f t="shared" si="24"/>
        <v/>
      </c>
      <c r="X367" s="926" t="str">
        <f t="shared" si="25"/>
        <v/>
      </c>
      <c r="Y367" s="930"/>
      <c r="Z367" s="1129" t="str">
        <f>IF($D367="","",IF(OR(F367="",$S367&gt;$H$334+1),0,IF(ROUND(F367,Korrektur!R1)=IF(ROUND($S367,Korrektur!R1)&gt;ROUND($H$334,Korrektur!R1),ROUND(U$387,Korrektur!R1),ROUND(U367,Korrektur!R1)),0.25,"")))</f>
        <v/>
      </c>
      <c r="AA367" s="1129" t="str">
        <f>IF($S367&gt;$H$334+1,"",IF(ROUND(G367,Korrektur!R1)=IF(ROUND($S367,Korrektur!R1)&gt;ROUND($H$334,Korrektur!R1),ROUND(V$387,Korrektur!R1),ROUND(V367,Korrektur!R1)),0.25,0))</f>
        <v/>
      </c>
      <c r="AB367" s="1129" t="str">
        <f>IF($S367&gt;$H$334+1,"",IF(ROUND(K367,Korrektur!R1)=IF(ROUND($S367,Korrektur!R1)&gt;ROUND($H$334,Korrektur!R1),ROUND(W$387,Korrektur!R1),ROUND(W367,Korrektur!R1)),0.25,0))</f>
        <v/>
      </c>
      <c r="AC367" s="1129" t="str">
        <f>IF($S367&gt;$H$334+1,"",IF(ROUND(L367,Korrektur!R1)=IF(ROUND($S367,Korrektur!R1)&gt;ROUND($H$334,Korrektur!R1),ROUND(X$387,Korrektur!R1),ROUND(X367,Korrektur!R1)),0.25,0))</f>
        <v/>
      </c>
    </row>
    <row r="368" spans="1:29" s="888" customFormat="1" hidden="1" x14ac:dyDescent="0.2">
      <c r="A368" s="1098"/>
      <c r="B368" s="835"/>
      <c r="D368" s="1140" t="str">
        <f>IF(ErgInt!Z310="","",ErgInt!Z310)</f>
        <v/>
      </c>
      <c r="E368" s="1141"/>
      <c r="F368" s="918"/>
      <c r="G368" s="1142"/>
      <c r="H368" s="1143"/>
      <c r="I368" s="1143"/>
      <c r="J368" s="1144"/>
      <c r="K368" s="918"/>
      <c r="L368" s="1142"/>
      <c r="M368" s="1144"/>
      <c r="N368" s="891"/>
      <c r="O368" s="920" t="str">
        <f t="shared" si="22"/>
        <v/>
      </c>
      <c r="P368" s="921" t="s">
        <v>463</v>
      </c>
      <c r="Q368" s="892" t="str">
        <f t="shared" si="23"/>
        <v/>
      </c>
      <c r="R368" s="892"/>
      <c r="S368" s="924">
        <v>32</v>
      </c>
      <c r="T368" s="925" t="str">
        <f>IF(S368&gt;H334,"",S368)</f>
        <v/>
      </c>
      <c r="U368" s="926" t="str">
        <f>IF(S368&gt;H334,"",$U367-$W367)</f>
        <v/>
      </c>
      <c r="V368" s="926" t="str">
        <f>IF(S368&gt;H334,"",$U368*H333)</f>
        <v/>
      </c>
      <c r="W368" s="926" t="str">
        <f t="shared" si="24"/>
        <v/>
      </c>
      <c r="X368" s="926" t="str">
        <f t="shared" si="25"/>
        <v/>
      </c>
      <c r="Y368" s="930"/>
      <c r="Z368" s="1129" t="str">
        <f>IF($D368="","",IF(OR(F368="",$S368&gt;$H$334+1),0,IF(ROUND(F368,Korrektur!R1)=IF(ROUND($S368,Korrektur!R1)&gt;ROUND($H$334,Korrektur!R1),ROUND(U$387,Korrektur!R1),ROUND(U368,Korrektur!R1)),0.25,"")))</f>
        <v/>
      </c>
      <c r="AA368" s="1129" t="str">
        <f>IF($S368&gt;$H$334+1,"",IF(ROUND(G368,Korrektur!R1)=IF(ROUND($S368,Korrektur!R1)&gt;ROUND($H$334,Korrektur!R1),ROUND(V$387,Korrektur!R1),ROUND(V368,Korrektur!R1)),0.25,0))</f>
        <v/>
      </c>
      <c r="AB368" s="1129" t="str">
        <f>IF($S368&gt;$H$334+1,"",IF(ROUND(K368,Korrektur!R1)=IF(ROUND($S368,Korrektur!R1)&gt;ROUND($H$334,Korrektur!R1),ROUND(W$387,Korrektur!R1),ROUND(W368,Korrektur!R1)),0.25,0))</f>
        <v/>
      </c>
      <c r="AC368" s="1129" t="str">
        <f>IF($S368&gt;$H$334+1,"",IF(ROUND(L368,Korrektur!R1)=IF(ROUND($S368,Korrektur!R1)&gt;ROUND($H$334,Korrektur!R1),ROUND(X$387,Korrektur!R1),ROUND(X368,Korrektur!R1)),0.25,0))</f>
        <v/>
      </c>
    </row>
    <row r="369" spans="1:29" s="888" customFormat="1" hidden="1" x14ac:dyDescent="0.2">
      <c r="A369" s="1098"/>
      <c r="B369" s="835"/>
      <c r="D369" s="1140" t="str">
        <f>IF(ErgInt!Z311="","",ErgInt!Z311)</f>
        <v/>
      </c>
      <c r="E369" s="1141"/>
      <c r="F369" s="918"/>
      <c r="G369" s="1142"/>
      <c r="H369" s="1143"/>
      <c r="I369" s="1143"/>
      <c r="J369" s="1144"/>
      <c r="K369" s="918"/>
      <c r="L369" s="1142"/>
      <c r="M369" s="1144"/>
      <c r="N369" s="891"/>
      <c r="O369" s="920" t="str">
        <f t="shared" ref="O369:O387" si="26">IF(SUM(F369:M369)=0,"",IF(S369&gt;$H$334+1,"",SUM(Z369:AC369)))</f>
        <v/>
      </c>
      <c r="P369" s="921" t="s">
        <v>463</v>
      </c>
      <c r="Q369" s="892" t="str">
        <f t="shared" ref="Q369:Q387" si="27">IF(S369&gt;$H$334+1,"",1)</f>
        <v/>
      </c>
      <c r="R369" s="892"/>
      <c r="S369" s="924">
        <v>33</v>
      </c>
      <c r="T369" s="925" t="str">
        <f>IF(S369&gt;H334,"",S369)</f>
        <v/>
      </c>
      <c r="U369" s="926" t="str">
        <f>IF(S369&gt;H334,"",$U368-$W368)</f>
        <v/>
      </c>
      <c r="V369" s="926" t="str">
        <f>IF(S369&gt;H334,"",$U369*H333)</f>
        <v/>
      </c>
      <c r="W369" s="926" t="str">
        <f t="shared" ref="W369:W386" si="28">IF(S369&gt;$H$334,"",$H$332/$H$334)</f>
        <v/>
      </c>
      <c r="X369" s="926" t="str">
        <f t="shared" ref="X369:X386" si="29">IF(S369&gt;$H$334,"",SUM(V369:W369))</f>
        <v/>
      </c>
      <c r="Y369" s="930"/>
      <c r="Z369" s="1129" t="str">
        <f>IF($D369="","",IF(OR(F369="",$S369&gt;$H$334+1),0,IF(ROUND(F369,Korrektur!R1)=IF(ROUND($S369,Korrektur!R1)&gt;ROUND($H$334,Korrektur!R1),ROUND(U$387,Korrektur!R1),ROUND(U369,Korrektur!R1)),0.25,"")))</f>
        <v/>
      </c>
      <c r="AA369" s="1129" t="str">
        <f>IF($S369&gt;$H$334+1,"",IF(ROUND(G369,Korrektur!R1)=IF(ROUND($S369,Korrektur!R1)&gt;ROUND($H$334,Korrektur!R1),ROUND(V$387,Korrektur!R1),ROUND(V369,Korrektur!R1)),0.25,0))</f>
        <v/>
      </c>
      <c r="AB369" s="1129" t="str">
        <f>IF($S369&gt;$H$334+1,"",IF(ROUND(K369,Korrektur!R1)=IF(ROUND($S369,Korrektur!R1)&gt;ROUND($H$334,Korrektur!R1),ROUND(W$387,Korrektur!R1),ROUND(W369,Korrektur!R1)),0.25,0))</f>
        <v/>
      </c>
      <c r="AC369" s="1129" t="str">
        <f>IF($S369&gt;$H$334+1,"",IF(ROUND(L369,Korrektur!R1)=IF(ROUND($S369,Korrektur!R1)&gt;ROUND($H$334,Korrektur!R1),ROUND(X$387,Korrektur!R1),ROUND(X369,Korrektur!R1)),0.25,0))</f>
        <v/>
      </c>
    </row>
    <row r="370" spans="1:29" s="888" customFormat="1" hidden="1" x14ac:dyDescent="0.2">
      <c r="A370" s="1098"/>
      <c r="B370" s="835"/>
      <c r="D370" s="1140" t="str">
        <f>IF(ErgInt!Z312="","",ErgInt!Z312)</f>
        <v/>
      </c>
      <c r="E370" s="1141"/>
      <c r="F370" s="918"/>
      <c r="G370" s="1142"/>
      <c r="H370" s="1143"/>
      <c r="I370" s="1143"/>
      <c r="J370" s="1144"/>
      <c r="K370" s="918"/>
      <c r="L370" s="1142"/>
      <c r="M370" s="1144"/>
      <c r="N370" s="891"/>
      <c r="O370" s="920" t="str">
        <f t="shared" si="26"/>
        <v/>
      </c>
      <c r="P370" s="921" t="s">
        <v>463</v>
      </c>
      <c r="Q370" s="892" t="str">
        <f t="shared" si="27"/>
        <v/>
      </c>
      <c r="R370" s="892"/>
      <c r="S370" s="924">
        <v>34</v>
      </c>
      <c r="T370" s="925" t="str">
        <f>IF(S370&gt;H334,"",S370)</f>
        <v/>
      </c>
      <c r="U370" s="926" t="str">
        <f>IF(S370&gt;H334,"",$U369-$W369)</f>
        <v/>
      </c>
      <c r="V370" s="926" t="str">
        <f>IF(S370&gt;H334,"",$U370*H333)</f>
        <v/>
      </c>
      <c r="W370" s="926" t="str">
        <f t="shared" si="28"/>
        <v/>
      </c>
      <c r="X370" s="926" t="str">
        <f t="shared" si="29"/>
        <v/>
      </c>
      <c r="Y370" s="930"/>
      <c r="Z370" s="1129" t="str">
        <f>IF($D370="","",IF(OR(F370="",$S370&gt;$H$334+1),0,IF(ROUND(F370,Korrektur!R1)=IF(ROUND($S370,Korrektur!R1)&gt;ROUND($H$334,Korrektur!R1),ROUND(U$387,Korrektur!R1),ROUND(U370,Korrektur!R1)),0.25,"")))</f>
        <v/>
      </c>
      <c r="AA370" s="1129" t="str">
        <f>IF($S370&gt;$H$334+1,"",IF(ROUND(G370,Korrektur!R1)=IF(ROUND($S370,Korrektur!R1)&gt;ROUND($H$334,Korrektur!R1),ROUND(V$387,Korrektur!R1),ROUND(V370,Korrektur!R1)),0.25,0))</f>
        <v/>
      </c>
      <c r="AB370" s="1129" t="str">
        <f>IF($S370&gt;$H$334+1,"",IF(ROUND(K370,Korrektur!R1)=IF(ROUND($S370,Korrektur!R1)&gt;ROUND($H$334,Korrektur!R1),ROUND(W$387,Korrektur!R1),ROUND(W370,Korrektur!R1)),0.25,0))</f>
        <v/>
      </c>
      <c r="AC370" s="1129" t="str">
        <f>IF($S370&gt;$H$334+1,"",IF(ROUND(L370,Korrektur!R1)=IF(ROUND($S370,Korrektur!R1)&gt;ROUND($H$334,Korrektur!R1),ROUND(X$387,Korrektur!R1),ROUND(X370,Korrektur!R1)),0.25,0))</f>
        <v/>
      </c>
    </row>
    <row r="371" spans="1:29" s="888" customFormat="1" hidden="1" x14ac:dyDescent="0.2">
      <c r="A371" s="1098"/>
      <c r="B371" s="835"/>
      <c r="D371" s="1140" t="str">
        <f>IF(ErgInt!Z313="","",ErgInt!Z313)</f>
        <v/>
      </c>
      <c r="E371" s="1141"/>
      <c r="F371" s="918"/>
      <c r="G371" s="1142"/>
      <c r="H371" s="1143"/>
      <c r="I371" s="1143"/>
      <c r="J371" s="1144"/>
      <c r="K371" s="918"/>
      <c r="L371" s="1142"/>
      <c r="M371" s="1144"/>
      <c r="N371" s="891"/>
      <c r="O371" s="920" t="str">
        <f t="shared" si="26"/>
        <v/>
      </c>
      <c r="P371" s="921" t="s">
        <v>463</v>
      </c>
      <c r="Q371" s="892" t="str">
        <f t="shared" si="27"/>
        <v/>
      </c>
      <c r="R371" s="892"/>
      <c r="S371" s="924">
        <v>35</v>
      </c>
      <c r="T371" s="925" t="str">
        <f>IF(S371&gt;H334,"",S371)</f>
        <v/>
      </c>
      <c r="U371" s="926" t="str">
        <f>IF(S371&gt;H334,"",$U370-$W370)</f>
        <v/>
      </c>
      <c r="V371" s="926" t="str">
        <f>IF(S371&gt;H334,"",$U371*H333)</f>
        <v/>
      </c>
      <c r="W371" s="926" t="str">
        <f t="shared" si="28"/>
        <v/>
      </c>
      <c r="X371" s="926" t="str">
        <f t="shared" si="29"/>
        <v/>
      </c>
      <c r="Y371" s="930"/>
      <c r="Z371" s="1129" t="str">
        <f>IF($D371="","",IF(OR(F371="",$S371&gt;$H$334+1),0,IF(ROUND(F371,Korrektur!R1)=IF(ROUND($S371,Korrektur!R1)&gt;ROUND($H$334,Korrektur!R1),ROUND(U$387,Korrektur!R1),ROUND(U371,Korrektur!R1)),0.25,"")))</f>
        <v/>
      </c>
      <c r="AA371" s="1129" t="str">
        <f>IF($S371&gt;$H$334+1,"",IF(ROUND(G371,Korrektur!R1)=IF(ROUND($S371,Korrektur!R1)&gt;ROUND($H$334,Korrektur!R1),ROUND(V$387,Korrektur!R1),ROUND(V371,Korrektur!R1)),0.25,0))</f>
        <v/>
      </c>
      <c r="AB371" s="1129" t="str">
        <f>IF($S371&gt;$H$334+1,"",IF(ROUND(K371,Korrektur!R1)=IF(ROUND($S371,Korrektur!R1)&gt;ROUND($H$334,Korrektur!R1),ROUND(W$387,Korrektur!R1),ROUND(W371,Korrektur!R1)),0.25,0))</f>
        <v/>
      </c>
      <c r="AC371" s="1129" t="str">
        <f>IF($S371&gt;$H$334+1,"",IF(ROUND(L371,Korrektur!R1)=IF(ROUND($S371,Korrektur!R1)&gt;ROUND($H$334,Korrektur!R1),ROUND(X$387,Korrektur!R1),ROUND(X371,Korrektur!R1)),0.25,0))</f>
        <v/>
      </c>
    </row>
    <row r="372" spans="1:29" s="888" customFormat="1" hidden="1" x14ac:dyDescent="0.2">
      <c r="A372" s="1098"/>
      <c r="B372" s="835"/>
      <c r="D372" s="1140" t="str">
        <f>IF(ErgInt!Z314="","",ErgInt!Z314)</f>
        <v/>
      </c>
      <c r="E372" s="1141"/>
      <c r="F372" s="918"/>
      <c r="G372" s="1142"/>
      <c r="H372" s="1143"/>
      <c r="I372" s="1143"/>
      <c r="J372" s="1144"/>
      <c r="K372" s="918"/>
      <c r="L372" s="1142"/>
      <c r="M372" s="1144"/>
      <c r="N372" s="891"/>
      <c r="O372" s="920" t="str">
        <f t="shared" si="26"/>
        <v/>
      </c>
      <c r="P372" s="921" t="s">
        <v>463</v>
      </c>
      <c r="Q372" s="892" t="str">
        <f t="shared" si="27"/>
        <v/>
      </c>
      <c r="R372" s="892"/>
      <c r="S372" s="924">
        <v>36</v>
      </c>
      <c r="T372" s="925" t="str">
        <f>IF(S372&gt;H334,"",S372)</f>
        <v/>
      </c>
      <c r="U372" s="926" t="str">
        <f>IF(S372&gt;H334,"",$U371-$W371)</f>
        <v/>
      </c>
      <c r="V372" s="926" t="str">
        <f>IF(S372&gt;H334,"",$U372*H333)</f>
        <v/>
      </c>
      <c r="W372" s="926" t="str">
        <f t="shared" si="28"/>
        <v/>
      </c>
      <c r="X372" s="926" t="str">
        <f t="shared" si="29"/>
        <v/>
      </c>
      <c r="Y372" s="930"/>
      <c r="Z372" s="1129" t="str">
        <f>IF($D372="","",IF(OR(F372="",$S372&gt;$H$334+1),0,IF(ROUND(F372,Korrektur!R1)=IF(ROUND($S372,Korrektur!R1)&gt;ROUND($H$334,Korrektur!R1),ROUND(U$387,Korrektur!R1),ROUND(U372,Korrektur!R1)),0.25,"")))</f>
        <v/>
      </c>
      <c r="AA372" s="1129" t="str">
        <f>IF($S372&gt;$H$334+1,"",IF(ROUND(G372,Korrektur!R1)=IF(ROUND($S372,Korrektur!R1)&gt;ROUND($H$334,Korrektur!R1),ROUND(V$387,Korrektur!R1),ROUND(V372,Korrektur!R1)),0.25,0))</f>
        <v/>
      </c>
      <c r="AB372" s="1129" t="str">
        <f>IF($S372&gt;$H$334+1,"",IF(ROUND(K372,Korrektur!R1)=IF(ROUND($S372,Korrektur!R1)&gt;ROUND($H$334,Korrektur!R1),ROUND(W$387,Korrektur!R1),ROUND(W372,Korrektur!R1)),0.25,0))</f>
        <v/>
      </c>
      <c r="AC372" s="1129" t="str">
        <f>IF($S372&gt;$H$334+1,"",IF(ROUND(L372,Korrektur!R1)=IF(ROUND($S372,Korrektur!R1)&gt;ROUND($H$334,Korrektur!R1),ROUND(X$387,Korrektur!R1),ROUND(X372,Korrektur!R1)),0.25,0))</f>
        <v/>
      </c>
    </row>
    <row r="373" spans="1:29" s="888" customFormat="1" hidden="1" x14ac:dyDescent="0.2">
      <c r="A373" s="1098"/>
      <c r="B373" s="835"/>
      <c r="D373" s="1140" t="str">
        <f>IF(ErgInt!Z315="","",ErgInt!Z315)</f>
        <v/>
      </c>
      <c r="E373" s="1141"/>
      <c r="F373" s="918"/>
      <c r="G373" s="1142"/>
      <c r="H373" s="1143"/>
      <c r="I373" s="1143"/>
      <c r="J373" s="1144"/>
      <c r="K373" s="918"/>
      <c r="L373" s="1142"/>
      <c r="M373" s="1144"/>
      <c r="N373" s="891"/>
      <c r="O373" s="920" t="str">
        <f t="shared" si="26"/>
        <v/>
      </c>
      <c r="P373" s="921" t="s">
        <v>463</v>
      </c>
      <c r="Q373" s="892" t="str">
        <f t="shared" si="27"/>
        <v/>
      </c>
      <c r="R373" s="892"/>
      <c r="S373" s="924">
        <v>37</v>
      </c>
      <c r="T373" s="925" t="str">
        <f>IF(S373&gt;H334,"",S373)</f>
        <v/>
      </c>
      <c r="U373" s="926" t="str">
        <f>IF(S373&gt;H334,"",$U372-$W372)</f>
        <v/>
      </c>
      <c r="V373" s="926" t="str">
        <f>IF(S373&gt;H334,"",$U373*H333)</f>
        <v/>
      </c>
      <c r="W373" s="926" t="str">
        <f t="shared" si="28"/>
        <v/>
      </c>
      <c r="X373" s="926" t="str">
        <f t="shared" si="29"/>
        <v/>
      </c>
      <c r="Y373" s="930"/>
      <c r="Z373" s="1129" t="str">
        <f>IF($D373="","",IF(OR(F373="",$S373&gt;$H$334+1),0,IF(ROUND(F373,Korrektur!R1)=IF(ROUND($S373,Korrektur!R1)&gt;ROUND($H$334,Korrektur!R1),ROUND(U$387,Korrektur!R1),ROUND(U373,Korrektur!R1)),0.25,"")))</f>
        <v/>
      </c>
      <c r="AA373" s="1129" t="str">
        <f>IF($S373&gt;$H$334+1,"",IF(ROUND(G373,Korrektur!R1)=IF(ROUND($S373,Korrektur!R1)&gt;ROUND($H$334,Korrektur!R1),ROUND(V$387,Korrektur!R1),ROUND(V373,Korrektur!R1)),0.25,0))</f>
        <v/>
      </c>
      <c r="AB373" s="1129" t="str">
        <f>IF($S373&gt;$H$334+1,"",IF(ROUND(K373,Korrektur!R1)=IF(ROUND($S373,Korrektur!R1)&gt;ROUND($H$334,Korrektur!R1),ROUND(W$387,Korrektur!R1),ROUND(W373,Korrektur!R1)),0.25,0))</f>
        <v/>
      </c>
      <c r="AC373" s="1129" t="str">
        <f>IF($S373&gt;$H$334+1,"",IF(ROUND(L373,Korrektur!R1)=IF(ROUND($S373,Korrektur!R1)&gt;ROUND($H$334,Korrektur!R1),ROUND(X$387,Korrektur!R1),ROUND(X373,Korrektur!R1)),0.25,0))</f>
        <v/>
      </c>
    </row>
    <row r="374" spans="1:29" s="888" customFormat="1" hidden="1" x14ac:dyDescent="0.2">
      <c r="A374" s="1098"/>
      <c r="B374" s="835"/>
      <c r="D374" s="1140" t="str">
        <f>IF(ErgInt!Z316="","",ErgInt!Z316)</f>
        <v/>
      </c>
      <c r="E374" s="1141"/>
      <c r="F374" s="918"/>
      <c r="G374" s="1142"/>
      <c r="H374" s="1143"/>
      <c r="I374" s="1143"/>
      <c r="J374" s="1144"/>
      <c r="K374" s="918"/>
      <c r="L374" s="1142"/>
      <c r="M374" s="1144"/>
      <c r="N374" s="891"/>
      <c r="O374" s="920" t="str">
        <f t="shared" si="26"/>
        <v/>
      </c>
      <c r="P374" s="921" t="s">
        <v>463</v>
      </c>
      <c r="Q374" s="892" t="str">
        <f t="shared" si="27"/>
        <v/>
      </c>
      <c r="R374" s="892"/>
      <c r="S374" s="924">
        <v>38</v>
      </c>
      <c r="T374" s="925" t="str">
        <f>IF(S374&gt;H334,"",S374)</f>
        <v/>
      </c>
      <c r="U374" s="926" t="str">
        <f>IF(S374&gt;H334,"",$U373-$W373)</f>
        <v/>
      </c>
      <c r="V374" s="926" t="str">
        <f>IF(S374&gt;H334,"",$U374*H333)</f>
        <v/>
      </c>
      <c r="W374" s="926" t="str">
        <f t="shared" si="28"/>
        <v/>
      </c>
      <c r="X374" s="926" t="str">
        <f t="shared" si="29"/>
        <v/>
      </c>
      <c r="Y374" s="930"/>
      <c r="Z374" s="1129" t="str">
        <f>IF($D374="","",IF(OR(F374="",$S374&gt;$H$334+1),0,IF(ROUND(F374,Korrektur!R1)=IF(ROUND($S374,Korrektur!R1)&gt;ROUND($H$334,Korrektur!R1),ROUND(U$387,Korrektur!R1),ROUND(U374,Korrektur!R1)),0.25,"")))</f>
        <v/>
      </c>
      <c r="AA374" s="1129" t="str">
        <f>IF($S374&gt;$H$334+1,"",IF(ROUND(G374,Korrektur!R1)=IF(ROUND($S374,Korrektur!R1)&gt;ROUND($H$334,Korrektur!R1),ROUND(V$387,Korrektur!R1),ROUND(V374,Korrektur!R1)),0.25,0))</f>
        <v/>
      </c>
      <c r="AB374" s="1129" t="str">
        <f>IF($S374&gt;$H$334+1,"",IF(ROUND(K374,Korrektur!R1)=IF(ROUND($S374,Korrektur!R1)&gt;ROUND($H$334,Korrektur!R1),ROUND(W$387,Korrektur!R1),ROUND(W374,Korrektur!R1)),0.25,0))</f>
        <v/>
      </c>
      <c r="AC374" s="1129" t="str">
        <f>IF($S374&gt;$H$334+1,"",IF(ROUND(L374,Korrektur!R1)=IF(ROUND($S374,Korrektur!R1)&gt;ROUND($H$334,Korrektur!R1),ROUND(X$387,Korrektur!R1),ROUND(X374,Korrektur!R1)),0.25,0))</f>
        <v/>
      </c>
    </row>
    <row r="375" spans="1:29" s="888" customFormat="1" hidden="1" x14ac:dyDescent="0.2">
      <c r="A375" s="1098"/>
      <c r="B375" s="835"/>
      <c r="D375" s="1140" t="str">
        <f>IF(ErgInt!Z317="","",ErgInt!Z317)</f>
        <v/>
      </c>
      <c r="E375" s="1141"/>
      <c r="F375" s="918"/>
      <c r="G375" s="1142"/>
      <c r="H375" s="1143"/>
      <c r="I375" s="1143"/>
      <c r="J375" s="1144"/>
      <c r="K375" s="918"/>
      <c r="L375" s="1142"/>
      <c r="M375" s="1144"/>
      <c r="N375" s="891"/>
      <c r="O375" s="920" t="str">
        <f t="shared" si="26"/>
        <v/>
      </c>
      <c r="P375" s="921" t="s">
        <v>463</v>
      </c>
      <c r="Q375" s="892" t="str">
        <f t="shared" si="27"/>
        <v/>
      </c>
      <c r="R375" s="892"/>
      <c r="S375" s="924">
        <v>39</v>
      </c>
      <c r="T375" s="925" t="str">
        <f>IF(S375&gt;H334,"",S375)</f>
        <v/>
      </c>
      <c r="U375" s="926" t="str">
        <f>IF(S375&gt;H334,"",$U374-$W374)</f>
        <v/>
      </c>
      <c r="V375" s="926" t="str">
        <f>IF(S375&gt;H334,"",$U375*H333)</f>
        <v/>
      </c>
      <c r="W375" s="926" t="str">
        <f t="shared" si="28"/>
        <v/>
      </c>
      <c r="X375" s="926" t="str">
        <f t="shared" si="29"/>
        <v/>
      </c>
      <c r="Y375" s="930"/>
      <c r="Z375" s="1129" t="str">
        <f>IF($D375="","",IF(OR(F375="",$S375&gt;$H$334+1),0,IF(ROUND(F375,Korrektur!R1)=IF(ROUND($S375,Korrektur!R1)&gt;ROUND($H$334,Korrektur!R1),ROUND(U$387,Korrektur!R1),ROUND(U375,Korrektur!R1)),0.25,"")))</f>
        <v/>
      </c>
      <c r="AA375" s="1129" t="str">
        <f>IF($S375&gt;$H$334+1,"",IF(ROUND(G375,Korrektur!R1)=IF(ROUND($S375,Korrektur!R1)&gt;ROUND($H$334,Korrektur!R1),ROUND(V$387,Korrektur!R1),ROUND(V375,Korrektur!R1)),0.25,0))</f>
        <v/>
      </c>
      <c r="AB375" s="1129" t="str">
        <f>IF($S375&gt;$H$334+1,"",IF(ROUND(K375,Korrektur!R1)=IF(ROUND($S375,Korrektur!R1)&gt;ROUND($H$334,Korrektur!R1),ROUND(W$387,Korrektur!R1),ROUND(W375,Korrektur!R1)),0.25,0))</f>
        <v/>
      </c>
      <c r="AC375" s="1129" t="str">
        <f>IF($S375&gt;$H$334+1,"",IF(ROUND(L375,Korrektur!R1)=IF(ROUND($S375,Korrektur!R1)&gt;ROUND($H$334,Korrektur!R1),ROUND(X$387,Korrektur!R1),ROUND(X375,Korrektur!R1)),0.25,0))</f>
        <v/>
      </c>
    </row>
    <row r="376" spans="1:29" s="888" customFormat="1" hidden="1" x14ac:dyDescent="0.2">
      <c r="A376" s="1098"/>
      <c r="B376" s="835"/>
      <c r="D376" s="1140" t="str">
        <f>IF(ErgInt!Z318="","",ErgInt!Z318)</f>
        <v/>
      </c>
      <c r="E376" s="1141"/>
      <c r="F376" s="918"/>
      <c r="G376" s="1142"/>
      <c r="H376" s="1143"/>
      <c r="I376" s="1143"/>
      <c r="J376" s="1144"/>
      <c r="K376" s="918"/>
      <c r="L376" s="1142"/>
      <c r="M376" s="1144"/>
      <c r="N376" s="891"/>
      <c r="O376" s="920" t="str">
        <f t="shared" si="26"/>
        <v/>
      </c>
      <c r="P376" s="921" t="s">
        <v>463</v>
      </c>
      <c r="Q376" s="892" t="str">
        <f t="shared" si="27"/>
        <v/>
      </c>
      <c r="R376" s="892"/>
      <c r="S376" s="924">
        <v>40</v>
      </c>
      <c r="T376" s="925" t="str">
        <f>IF(S376&gt;H334,"",S376)</f>
        <v/>
      </c>
      <c r="U376" s="926" t="str">
        <f>IF(S376&gt;H334,"",$U375-$W375)</f>
        <v/>
      </c>
      <c r="V376" s="926" t="str">
        <f>IF(S376&gt;H334,"",$U376*H333)</f>
        <v/>
      </c>
      <c r="W376" s="926" t="str">
        <f t="shared" si="28"/>
        <v/>
      </c>
      <c r="X376" s="926" t="str">
        <f t="shared" si="29"/>
        <v/>
      </c>
      <c r="Y376" s="930"/>
      <c r="Z376" s="1129" t="str">
        <f>IF($D376="","",IF(OR(F376="",$S376&gt;$H$334+1),0,IF(ROUND(F376,Korrektur!R1)=IF(ROUND($S376,Korrektur!R1)&gt;ROUND($H$334,Korrektur!R1),ROUND(U$387,Korrektur!R1),ROUND(U376,Korrektur!R1)),0.25,"")))</f>
        <v/>
      </c>
      <c r="AA376" s="1129" t="str">
        <f>IF($S376&gt;$H$334+1,"",IF(ROUND(G376,Korrektur!R1)=IF(ROUND($S376,Korrektur!R1)&gt;ROUND($H$334,Korrektur!R1),ROUND(V$387,Korrektur!R1),ROUND(V376,Korrektur!R1)),0.25,0))</f>
        <v/>
      </c>
      <c r="AB376" s="1129" t="str">
        <f>IF($S376&gt;$H$334+1,"",IF(ROUND(K376,Korrektur!R1)=IF(ROUND($S376,Korrektur!R1)&gt;ROUND($H$334,Korrektur!R1),ROUND(W$387,Korrektur!R1),ROUND(W376,Korrektur!R1)),0.25,0))</f>
        <v/>
      </c>
      <c r="AC376" s="1129" t="str">
        <f>IF($S376&gt;$H$334+1,"",IF(ROUND(L376,Korrektur!R1)=IF(ROUND($S376,Korrektur!R1)&gt;ROUND($H$334,Korrektur!R1),ROUND(X$387,Korrektur!R1),ROUND(X376,Korrektur!R1)),0.25,0))</f>
        <v/>
      </c>
    </row>
    <row r="377" spans="1:29" s="888" customFormat="1" hidden="1" x14ac:dyDescent="0.2">
      <c r="A377" s="1098"/>
      <c r="B377" s="835"/>
      <c r="D377" s="1140" t="str">
        <f>IF(ErgInt!Z319="","",ErgInt!Z319)</f>
        <v/>
      </c>
      <c r="E377" s="1141"/>
      <c r="F377" s="918"/>
      <c r="G377" s="1142"/>
      <c r="H377" s="1143"/>
      <c r="I377" s="1143"/>
      <c r="J377" s="1144"/>
      <c r="K377" s="918"/>
      <c r="L377" s="1142"/>
      <c r="M377" s="1144"/>
      <c r="N377" s="891"/>
      <c r="O377" s="920" t="str">
        <f t="shared" si="26"/>
        <v/>
      </c>
      <c r="P377" s="921" t="s">
        <v>463</v>
      </c>
      <c r="Q377" s="892" t="str">
        <f t="shared" si="27"/>
        <v/>
      </c>
      <c r="R377" s="892"/>
      <c r="S377" s="924">
        <v>41</v>
      </c>
      <c r="T377" s="925" t="str">
        <f>IF(S377&gt;H334,"",S377)</f>
        <v/>
      </c>
      <c r="U377" s="926" t="str">
        <f>IF(S377&gt;H334,"",$U376-$W376)</f>
        <v/>
      </c>
      <c r="V377" s="926" t="str">
        <f>IF(S377&gt;H334,"",$U377*H333)</f>
        <v/>
      </c>
      <c r="W377" s="926" t="str">
        <f t="shared" si="28"/>
        <v/>
      </c>
      <c r="X377" s="926" t="str">
        <f t="shared" si="29"/>
        <v/>
      </c>
      <c r="Y377" s="930"/>
      <c r="Z377" s="1129" t="str">
        <f>IF($D377="","",IF(OR(F377="",$S377&gt;$H$334+1),0,IF(ROUND(F377,Korrektur!R1)=IF(ROUND($S377,Korrektur!R1)&gt;ROUND($H$334,Korrektur!R1),ROUND(U$387,Korrektur!R1),ROUND(U377,Korrektur!R1)),0.25,"")))</f>
        <v/>
      </c>
      <c r="AA377" s="1129" t="str">
        <f>IF($S377&gt;$H$334+1,"",IF(ROUND(G377,Korrektur!R1)=IF(ROUND($S377,Korrektur!R1)&gt;ROUND($H$334,Korrektur!R1),ROUND(V$387,Korrektur!R1),ROUND(V377,Korrektur!R1)),0.25,0))</f>
        <v/>
      </c>
      <c r="AB377" s="1129" t="str">
        <f>IF($S377&gt;$H$334+1,"",IF(ROUND(K377,Korrektur!R1)=IF(ROUND($S377,Korrektur!R1)&gt;ROUND($H$334,Korrektur!R1),ROUND(W$387,Korrektur!R1),ROUND(W377,Korrektur!R1)),0.25,0))</f>
        <v/>
      </c>
      <c r="AC377" s="1129" t="str">
        <f>IF($S377&gt;$H$334+1,"",IF(ROUND(L377,Korrektur!R1)=IF(ROUND($S377,Korrektur!R1)&gt;ROUND($H$334,Korrektur!R1),ROUND(X$387,Korrektur!R1),ROUND(X377,Korrektur!R1)),0.25,0))</f>
        <v/>
      </c>
    </row>
    <row r="378" spans="1:29" s="888" customFormat="1" hidden="1" x14ac:dyDescent="0.2">
      <c r="A378" s="1098"/>
      <c r="B378" s="835"/>
      <c r="D378" s="1140" t="str">
        <f>IF(ErgInt!Z320="","",ErgInt!Z320)</f>
        <v/>
      </c>
      <c r="E378" s="1141"/>
      <c r="F378" s="918"/>
      <c r="G378" s="1142"/>
      <c r="H378" s="1143"/>
      <c r="I378" s="1143"/>
      <c r="J378" s="1144"/>
      <c r="K378" s="918"/>
      <c r="L378" s="1142"/>
      <c r="M378" s="1144"/>
      <c r="N378" s="891"/>
      <c r="O378" s="920" t="str">
        <f t="shared" si="26"/>
        <v/>
      </c>
      <c r="P378" s="921" t="s">
        <v>463</v>
      </c>
      <c r="Q378" s="892" t="str">
        <f t="shared" si="27"/>
        <v/>
      </c>
      <c r="R378" s="892"/>
      <c r="S378" s="924">
        <v>42</v>
      </c>
      <c r="T378" s="925" t="str">
        <f>IF(S378&gt;H334,"",S378)</f>
        <v/>
      </c>
      <c r="U378" s="926" t="str">
        <f>IF(S378&gt;H334,"",$U377-$W377)</f>
        <v/>
      </c>
      <c r="V378" s="926" t="str">
        <f>IF(S378&gt;H334,"",$U378*H333)</f>
        <v/>
      </c>
      <c r="W378" s="926" t="str">
        <f t="shared" si="28"/>
        <v/>
      </c>
      <c r="X378" s="926" t="str">
        <f t="shared" si="29"/>
        <v/>
      </c>
      <c r="Y378" s="930"/>
      <c r="Z378" s="1129" t="str">
        <f>IF($D378="","",IF(OR(F378="",$S378&gt;$H$334+1),0,IF(ROUND(F378,Korrektur!R1)=IF(ROUND($S378,Korrektur!R1)&gt;ROUND($H$334,Korrektur!R1),ROUND(U$387,Korrektur!R1),ROUND(U378,Korrektur!R1)),0.25,"")))</f>
        <v/>
      </c>
      <c r="AA378" s="1129" t="str">
        <f>IF($S378&gt;$H$334+1,"",IF(ROUND(G378,Korrektur!R1)=IF(ROUND($S378,Korrektur!R1)&gt;ROUND($H$334,Korrektur!R1),ROUND(V$387,Korrektur!R1),ROUND(V378,Korrektur!R1)),0.25,0))</f>
        <v/>
      </c>
      <c r="AB378" s="1129" t="str">
        <f>IF($S378&gt;$H$334+1,"",IF(ROUND(K378,Korrektur!R1)=IF(ROUND($S378,Korrektur!R1)&gt;ROUND($H$334,Korrektur!R1),ROUND(W$387,Korrektur!R1),ROUND(W378,Korrektur!R1)),0.25,0))</f>
        <v/>
      </c>
      <c r="AC378" s="1129" t="str">
        <f>IF($S378&gt;$H$334+1,"",IF(ROUND(L378,Korrektur!R1)=IF(ROUND($S378,Korrektur!R1)&gt;ROUND($H$334,Korrektur!R1),ROUND(X$387,Korrektur!R1),ROUND(X378,Korrektur!R1)),0.25,0))</f>
        <v/>
      </c>
    </row>
    <row r="379" spans="1:29" s="888" customFormat="1" hidden="1" x14ac:dyDescent="0.2">
      <c r="A379" s="1098"/>
      <c r="B379" s="835"/>
      <c r="D379" s="1140" t="str">
        <f>IF(ErgInt!Z321="","",ErgInt!Z321)</f>
        <v/>
      </c>
      <c r="E379" s="1141"/>
      <c r="F379" s="918"/>
      <c r="G379" s="1142"/>
      <c r="H379" s="1143"/>
      <c r="I379" s="1143"/>
      <c r="J379" s="1144"/>
      <c r="K379" s="918"/>
      <c r="L379" s="1142"/>
      <c r="M379" s="1144"/>
      <c r="N379" s="891"/>
      <c r="O379" s="920" t="str">
        <f t="shared" si="26"/>
        <v/>
      </c>
      <c r="P379" s="921" t="s">
        <v>463</v>
      </c>
      <c r="Q379" s="892" t="str">
        <f t="shared" si="27"/>
        <v/>
      </c>
      <c r="R379" s="892"/>
      <c r="S379" s="924">
        <v>43</v>
      </c>
      <c r="T379" s="925" t="str">
        <f>IF(S379&gt;H334,"",S379)</f>
        <v/>
      </c>
      <c r="U379" s="926" t="str">
        <f>IF(S379&gt;H334,"",$U378-$W378)</f>
        <v/>
      </c>
      <c r="V379" s="926" t="str">
        <f>IF(S379&gt;H334,"",$U379*H333)</f>
        <v/>
      </c>
      <c r="W379" s="926" t="str">
        <f t="shared" si="28"/>
        <v/>
      </c>
      <c r="X379" s="926" t="str">
        <f t="shared" si="29"/>
        <v/>
      </c>
      <c r="Y379" s="930"/>
      <c r="Z379" s="1129" t="str">
        <f>IF($D379="","",IF(OR(F379="",$S379&gt;$H$334+1),0,IF(ROUND(F379,Korrektur!R1)=IF(ROUND($S379,Korrektur!R1)&gt;ROUND($H$334,Korrektur!R1),ROUND(U$387,Korrektur!R1),ROUND(U379,Korrektur!R1)),0.25,"")))</f>
        <v/>
      </c>
      <c r="AA379" s="1129" t="str">
        <f>IF($S379&gt;$H$334+1,"",IF(ROUND(G379,Korrektur!R1)=IF(ROUND($S379,Korrektur!R1)&gt;ROUND($H$334,Korrektur!R1),ROUND(V$387,Korrektur!R1),ROUND(V379,Korrektur!R1)),0.25,0))</f>
        <v/>
      </c>
      <c r="AB379" s="1129" t="str">
        <f>IF($S379&gt;$H$334+1,"",IF(ROUND(K379,Korrektur!R1)=IF(ROUND($S379,Korrektur!R1)&gt;ROUND($H$334,Korrektur!R1),ROUND(W$387,Korrektur!R1),ROUND(W379,Korrektur!R1)),0.25,0))</f>
        <v/>
      </c>
      <c r="AC379" s="1129" t="str">
        <f>IF($S379&gt;$H$334+1,"",IF(ROUND(L379,Korrektur!R1)=IF(ROUND($S379,Korrektur!R1)&gt;ROUND($H$334,Korrektur!R1),ROUND(X$387,Korrektur!R1),ROUND(X379,Korrektur!R1)),0.25,0))</f>
        <v/>
      </c>
    </row>
    <row r="380" spans="1:29" s="888" customFormat="1" hidden="1" x14ac:dyDescent="0.2">
      <c r="A380" s="1098"/>
      <c r="B380" s="835"/>
      <c r="D380" s="1140" t="str">
        <f>IF(ErgInt!Z322="","",ErgInt!Z322)</f>
        <v/>
      </c>
      <c r="E380" s="1141"/>
      <c r="F380" s="918"/>
      <c r="G380" s="1142"/>
      <c r="H380" s="1143"/>
      <c r="I380" s="1143"/>
      <c r="J380" s="1144"/>
      <c r="K380" s="918"/>
      <c r="L380" s="1142"/>
      <c r="M380" s="1144"/>
      <c r="N380" s="891"/>
      <c r="O380" s="920" t="str">
        <f t="shared" si="26"/>
        <v/>
      </c>
      <c r="P380" s="921" t="s">
        <v>463</v>
      </c>
      <c r="Q380" s="892" t="str">
        <f t="shared" si="27"/>
        <v/>
      </c>
      <c r="R380" s="892"/>
      <c r="S380" s="924">
        <v>44</v>
      </c>
      <c r="T380" s="925" t="str">
        <f>IF(S380&gt;H334,"",S380)</f>
        <v/>
      </c>
      <c r="U380" s="926" t="str">
        <f>IF(S380&gt;H334,"",$U379-$W379)</f>
        <v/>
      </c>
      <c r="V380" s="926" t="str">
        <f>IF(S380&gt;H334,"",$U380*H333)</f>
        <v/>
      </c>
      <c r="W380" s="926" t="str">
        <f t="shared" si="28"/>
        <v/>
      </c>
      <c r="X380" s="926" t="str">
        <f t="shared" si="29"/>
        <v/>
      </c>
      <c r="Y380" s="930"/>
      <c r="Z380" s="1129" t="str">
        <f>IF($D380="","",IF(OR(F380="",$S380&gt;$H$334+1),0,IF(ROUND(F380,Korrektur!R1)=IF(ROUND($S380,Korrektur!R1)&gt;ROUND($H$334,Korrektur!R1),ROUND(U$387,Korrektur!R1),ROUND(U380,Korrektur!R1)),0.25,"")))</f>
        <v/>
      </c>
      <c r="AA380" s="1129" t="str">
        <f>IF($S380&gt;$H$334+1,"",IF(ROUND(G380,Korrektur!R1)=IF(ROUND($S380,Korrektur!R1)&gt;ROUND($H$334,Korrektur!R1),ROUND(V$387,Korrektur!R1),ROUND(V380,Korrektur!R1)),0.25,0))</f>
        <v/>
      </c>
      <c r="AB380" s="1129" t="str">
        <f>IF($S380&gt;$H$334+1,"",IF(ROUND(K380,Korrektur!R1)=IF(ROUND($S380,Korrektur!R1)&gt;ROUND($H$334,Korrektur!R1),ROUND(W$387,Korrektur!R1),ROUND(W380,Korrektur!R1)),0.25,0))</f>
        <v/>
      </c>
      <c r="AC380" s="1129" t="str">
        <f>IF($S380&gt;$H$334+1,"",IF(ROUND(L380,Korrektur!R1)=IF(ROUND($S380,Korrektur!R1)&gt;ROUND($H$334,Korrektur!R1),ROUND(X$387,Korrektur!R1),ROUND(X380,Korrektur!R1)),0.25,0))</f>
        <v/>
      </c>
    </row>
    <row r="381" spans="1:29" s="888" customFormat="1" hidden="1" x14ac:dyDescent="0.2">
      <c r="A381" s="1098"/>
      <c r="B381" s="835"/>
      <c r="D381" s="1140" t="str">
        <f>IF(ErgInt!Z323="","",ErgInt!Z323)</f>
        <v/>
      </c>
      <c r="E381" s="1141"/>
      <c r="F381" s="918"/>
      <c r="G381" s="1142"/>
      <c r="H381" s="1143"/>
      <c r="I381" s="1143"/>
      <c r="J381" s="1144"/>
      <c r="K381" s="918"/>
      <c r="L381" s="1142"/>
      <c r="M381" s="1144"/>
      <c r="N381" s="891"/>
      <c r="O381" s="920" t="str">
        <f t="shared" si="26"/>
        <v/>
      </c>
      <c r="P381" s="921" t="s">
        <v>463</v>
      </c>
      <c r="Q381" s="892" t="str">
        <f t="shared" si="27"/>
        <v/>
      </c>
      <c r="R381" s="892"/>
      <c r="S381" s="924">
        <v>45</v>
      </c>
      <c r="T381" s="925" t="str">
        <f>IF(S381&gt;H334,"",S381)</f>
        <v/>
      </c>
      <c r="U381" s="926" t="str">
        <f>IF(S381&gt;H334,"",$U380-$W380)</f>
        <v/>
      </c>
      <c r="V381" s="926" t="str">
        <f>IF(S381&gt;H334,"",$U381*H333)</f>
        <v/>
      </c>
      <c r="W381" s="926" t="str">
        <f t="shared" si="28"/>
        <v/>
      </c>
      <c r="X381" s="926" t="str">
        <f t="shared" si="29"/>
        <v/>
      </c>
      <c r="Y381" s="930"/>
      <c r="Z381" s="1129" t="str">
        <f>IF($D381="","",IF(OR(F381="",$S381&gt;$H$334+1),0,IF(ROUND(F381,Korrektur!R1)=IF(ROUND($S381,Korrektur!R1)&gt;ROUND($H$334,Korrektur!R1),ROUND(U$387,Korrektur!R1),ROUND(U381,Korrektur!R1)),0.25,"")))</f>
        <v/>
      </c>
      <c r="AA381" s="1129" t="str">
        <f>IF($S381&gt;$H$334+1,"",IF(ROUND(G381,Korrektur!R1)=IF(ROUND($S381,Korrektur!R1)&gt;ROUND($H$334,Korrektur!R1),ROUND(V$387,Korrektur!R1),ROUND(V381,Korrektur!R1)),0.25,0))</f>
        <v/>
      </c>
      <c r="AB381" s="1129" t="str">
        <f>IF($S381&gt;$H$334+1,"",IF(ROUND(K381,Korrektur!R1)=IF(ROUND($S381,Korrektur!R1)&gt;ROUND($H$334,Korrektur!R1),ROUND(W$387,Korrektur!R1),ROUND(W381,Korrektur!R1)),0.25,0))</f>
        <v/>
      </c>
      <c r="AC381" s="1129" t="str">
        <f>IF($S381&gt;$H$334+1,"",IF(ROUND(L381,Korrektur!R1)=IF(ROUND($S381,Korrektur!R1)&gt;ROUND($H$334,Korrektur!R1),ROUND(X$387,Korrektur!R1),ROUND(X381,Korrektur!R1)),0.25,0))</f>
        <v/>
      </c>
    </row>
    <row r="382" spans="1:29" s="888" customFormat="1" hidden="1" x14ac:dyDescent="0.2">
      <c r="A382" s="1098"/>
      <c r="B382" s="835"/>
      <c r="D382" s="1140" t="str">
        <f>IF(ErgInt!Z324="","",ErgInt!Z324)</f>
        <v/>
      </c>
      <c r="E382" s="1141"/>
      <c r="F382" s="918"/>
      <c r="G382" s="1142"/>
      <c r="H382" s="1143"/>
      <c r="I382" s="1143"/>
      <c r="J382" s="1144"/>
      <c r="K382" s="918"/>
      <c r="L382" s="1142"/>
      <c r="M382" s="1144"/>
      <c r="N382" s="891"/>
      <c r="O382" s="920" t="str">
        <f t="shared" si="26"/>
        <v/>
      </c>
      <c r="P382" s="921" t="s">
        <v>463</v>
      </c>
      <c r="Q382" s="892" t="str">
        <f t="shared" si="27"/>
        <v/>
      </c>
      <c r="R382" s="892"/>
      <c r="S382" s="924">
        <v>46</v>
      </c>
      <c r="T382" s="925" t="str">
        <f>IF(S382&gt;H334,"",S382)</f>
        <v/>
      </c>
      <c r="U382" s="926" t="str">
        <f>IF(S382&gt;H334,"",$U381-$W381)</f>
        <v/>
      </c>
      <c r="V382" s="926" t="str">
        <f>IF(S382&gt;H334,"",$U382*H333)</f>
        <v/>
      </c>
      <c r="W382" s="926" t="str">
        <f t="shared" si="28"/>
        <v/>
      </c>
      <c r="X382" s="926" t="str">
        <f t="shared" si="29"/>
        <v/>
      </c>
      <c r="Y382" s="930"/>
      <c r="Z382" s="1129" t="str">
        <f>IF($D382="","",IF(OR(F382="",$S382&gt;$H$334+1),0,IF(ROUND(F382,Korrektur!R1)=IF(ROUND($S382,Korrektur!R1)&gt;ROUND($H$334,Korrektur!R1),ROUND(U$387,Korrektur!R1),ROUND(U382,Korrektur!R1)),0.25,"")))</f>
        <v/>
      </c>
      <c r="AA382" s="1129" t="str">
        <f>IF($S382&gt;$H$334+1,"",IF(ROUND(G382,Korrektur!R1)=IF(ROUND($S382,Korrektur!R1)&gt;ROUND($H$334,Korrektur!R1),ROUND(V$387,Korrektur!R1),ROUND(V382,Korrektur!R1)),0.25,0))</f>
        <v/>
      </c>
      <c r="AB382" s="1129" t="str">
        <f>IF($S382&gt;$H$334+1,"",IF(ROUND(K382,Korrektur!R1)=IF(ROUND($S382,Korrektur!R1)&gt;ROUND($H$334,Korrektur!R1),ROUND(W$387,Korrektur!R1),ROUND(W382,Korrektur!R1)),0.25,0))</f>
        <v/>
      </c>
      <c r="AC382" s="1129" t="str">
        <f>IF($S382&gt;$H$334+1,"",IF(ROUND(L382,Korrektur!R1)=IF(ROUND($S382,Korrektur!R1)&gt;ROUND($H$334,Korrektur!R1),ROUND(X$387,Korrektur!R1),ROUND(X382,Korrektur!R1)),0.25,0))</f>
        <v/>
      </c>
    </row>
    <row r="383" spans="1:29" s="888" customFormat="1" hidden="1" x14ac:dyDescent="0.2">
      <c r="A383" s="1098"/>
      <c r="B383" s="835"/>
      <c r="D383" s="1140" t="str">
        <f>IF(ErgInt!Z325="","",ErgInt!Z325)</f>
        <v/>
      </c>
      <c r="E383" s="1141"/>
      <c r="F383" s="918"/>
      <c r="G383" s="1142"/>
      <c r="H383" s="1143"/>
      <c r="I383" s="1143"/>
      <c r="J383" s="1144"/>
      <c r="K383" s="918"/>
      <c r="L383" s="1142"/>
      <c r="M383" s="1144"/>
      <c r="N383" s="891"/>
      <c r="O383" s="920" t="str">
        <f t="shared" si="26"/>
        <v/>
      </c>
      <c r="P383" s="921" t="s">
        <v>463</v>
      </c>
      <c r="Q383" s="892" t="str">
        <f t="shared" si="27"/>
        <v/>
      </c>
      <c r="R383" s="892"/>
      <c r="S383" s="924">
        <v>47</v>
      </c>
      <c r="T383" s="925" t="str">
        <f>IF(S383&gt;H334,"",S383)</f>
        <v/>
      </c>
      <c r="U383" s="926" t="str">
        <f>IF(S383&gt;H334,"",$U382-$W382)</f>
        <v/>
      </c>
      <c r="V383" s="926" t="str">
        <f>IF(S383&gt;H334,"",$U383*H333)</f>
        <v/>
      </c>
      <c r="W383" s="926" t="str">
        <f t="shared" si="28"/>
        <v/>
      </c>
      <c r="X383" s="926" t="str">
        <f t="shared" si="29"/>
        <v/>
      </c>
      <c r="Y383" s="930"/>
      <c r="Z383" s="1129" t="str">
        <f>IF($D383="","",IF(OR(F383="",$S383&gt;$H$334+1),0,IF(ROUND(F383,Korrektur!R1)=IF(ROUND($S383,Korrektur!R1)&gt;ROUND($H$334,Korrektur!R1),ROUND(U$387,Korrektur!R1),ROUND(U383,Korrektur!R1)),0.25,"")))</f>
        <v/>
      </c>
      <c r="AA383" s="1129" t="str">
        <f>IF($S383&gt;$H$334+1,"",IF(ROUND(G383,Korrektur!R1)=IF(ROUND($S383,Korrektur!R1)&gt;ROUND($H$334,Korrektur!R1),ROUND(V$387,Korrektur!R1),ROUND(V383,Korrektur!R1)),0.25,0))</f>
        <v/>
      </c>
      <c r="AB383" s="1129" t="str">
        <f>IF($S383&gt;$H$334+1,"",IF(ROUND(K383,Korrektur!R1)=IF(ROUND($S383,Korrektur!R1)&gt;ROUND($H$334,Korrektur!R1),ROUND(W$387,Korrektur!R1),ROUND(W383,Korrektur!R1)),0.25,0))</f>
        <v/>
      </c>
      <c r="AC383" s="1129" t="str">
        <f>IF($S383&gt;$H$334+1,"",IF(ROUND(L383,Korrektur!R1)=IF(ROUND($S383,Korrektur!R1)&gt;ROUND($H$334,Korrektur!R1),ROUND(X$387,Korrektur!R1),ROUND(X383,Korrektur!R1)),0.25,0))</f>
        <v/>
      </c>
    </row>
    <row r="384" spans="1:29" s="888" customFormat="1" hidden="1" x14ac:dyDescent="0.2">
      <c r="A384" s="1098"/>
      <c r="B384" s="835"/>
      <c r="D384" s="1140" t="str">
        <f>IF(ErgInt!Z326="","",ErgInt!Z326)</f>
        <v/>
      </c>
      <c r="E384" s="1141"/>
      <c r="F384" s="918"/>
      <c r="G384" s="1142"/>
      <c r="H384" s="1143"/>
      <c r="I384" s="1143"/>
      <c r="J384" s="1144"/>
      <c r="K384" s="918"/>
      <c r="L384" s="1142"/>
      <c r="M384" s="1144"/>
      <c r="N384" s="891"/>
      <c r="O384" s="920" t="str">
        <f t="shared" si="26"/>
        <v/>
      </c>
      <c r="P384" s="921" t="s">
        <v>463</v>
      </c>
      <c r="Q384" s="892" t="str">
        <f t="shared" si="27"/>
        <v/>
      </c>
      <c r="R384" s="892"/>
      <c r="S384" s="924">
        <v>48</v>
      </c>
      <c r="T384" s="925" t="str">
        <f>IF(S384&gt;H334,"",S384)</f>
        <v/>
      </c>
      <c r="U384" s="926" t="str">
        <f>IF(S384&gt;H334,"",$U383-$W383)</f>
        <v/>
      </c>
      <c r="V384" s="926" t="str">
        <f>IF(S384&gt;H334,"",$U384*H333)</f>
        <v/>
      </c>
      <c r="W384" s="926" t="str">
        <f t="shared" si="28"/>
        <v/>
      </c>
      <c r="X384" s="926" t="str">
        <f t="shared" si="29"/>
        <v/>
      </c>
      <c r="Y384" s="930"/>
      <c r="Z384" s="1129" t="str">
        <f>IF($D384="","",IF(OR(F384="",$S384&gt;$H$334+1),0,IF(ROUND(F384,Korrektur!R1)=IF(ROUND($S384,Korrektur!R1)&gt;ROUND($H$334,Korrektur!R1),ROUND(U$387,Korrektur!R1),ROUND(U384,Korrektur!R1)),0.25,"")))</f>
        <v/>
      </c>
      <c r="AA384" s="1129" t="str">
        <f>IF($S384&gt;$H$334+1,"",IF(ROUND(G384,Korrektur!R1)=IF(ROUND($S384,Korrektur!R1)&gt;ROUND($H$334,Korrektur!R1),ROUND(V$387,Korrektur!R1),ROUND(V384,Korrektur!R1)),0.25,0))</f>
        <v/>
      </c>
      <c r="AB384" s="1129" t="str">
        <f>IF($S384&gt;$H$334+1,"",IF(ROUND(K384,Korrektur!R1)=IF(ROUND($S384,Korrektur!R1)&gt;ROUND($H$334,Korrektur!R1),ROUND(W$387,Korrektur!R1),ROUND(W384,Korrektur!R1)),0.25,0))</f>
        <v/>
      </c>
      <c r="AC384" s="1129" t="str">
        <f>IF($S384&gt;$H$334+1,"",IF(ROUND(L384,Korrektur!R1)=IF(ROUND($S384,Korrektur!R1)&gt;ROUND($H$334,Korrektur!R1),ROUND(X$387,Korrektur!R1),ROUND(X384,Korrektur!R1)),0.25,0))</f>
        <v/>
      </c>
    </row>
    <row r="385" spans="1:29" s="888" customFormat="1" hidden="1" x14ac:dyDescent="0.2">
      <c r="A385" s="1098"/>
      <c r="B385" s="835"/>
      <c r="D385" s="1140" t="str">
        <f>IF(ErgInt!Z327="","",ErgInt!Z327)</f>
        <v/>
      </c>
      <c r="E385" s="1141"/>
      <c r="F385" s="918"/>
      <c r="G385" s="1142"/>
      <c r="H385" s="1143"/>
      <c r="I385" s="1143"/>
      <c r="J385" s="1144"/>
      <c r="K385" s="918"/>
      <c r="L385" s="1142"/>
      <c r="M385" s="1144"/>
      <c r="N385" s="891"/>
      <c r="O385" s="920" t="str">
        <f t="shared" si="26"/>
        <v/>
      </c>
      <c r="P385" s="921" t="s">
        <v>463</v>
      </c>
      <c r="Q385" s="892" t="str">
        <f t="shared" si="27"/>
        <v/>
      </c>
      <c r="R385" s="892"/>
      <c r="S385" s="924">
        <v>49</v>
      </c>
      <c r="T385" s="925" t="str">
        <f>IF(S385&gt;H334,"",S385)</f>
        <v/>
      </c>
      <c r="U385" s="926" t="str">
        <f>IF(S385&gt;H334,"",$U384-$W384)</f>
        <v/>
      </c>
      <c r="V385" s="926" t="str">
        <f>IF(S385&gt;H334,"",$U385*H333)</f>
        <v/>
      </c>
      <c r="W385" s="926" t="str">
        <f t="shared" si="28"/>
        <v/>
      </c>
      <c r="X385" s="926" t="str">
        <f t="shared" si="29"/>
        <v/>
      </c>
      <c r="Y385" s="930"/>
      <c r="Z385" s="1129" t="str">
        <f>IF($D385="","",IF(OR(F385="",$S385&gt;$H$334+1),0,IF(ROUND(F385,Korrektur!R1)=IF(ROUND($S385,Korrektur!R1)&gt;ROUND($H$334,Korrektur!R1),ROUND(U$387,Korrektur!R1),ROUND(U385,Korrektur!R1)),0.25,"")))</f>
        <v/>
      </c>
      <c r="AA385" s="1129" t="str">
        <f>IF($S385&gt;$H$334+1,"",IF(ROUND(G385,Korrektur!R1)=IF(ROUND($S385,Korrektur!R1)&gt;ROUND($H$334,Korrektur!R1),ROUND(V$387,Korrektur!R1),ROUND(V385,Korrektur!R1)),0.25,0))</f>
        <v/>
      </c>
      <c r="AB385" s="1129" t="str">
        <f>IF($S385&gt;$H$334+1,"",IF(ROUND(K385,Korrektur!R1)=IF(ROUND($S385,Korrektur!R1)&gt;ROUND($H$334,Korrektur!R1),ROUND(W$387,Korrektur!R1),ROUND(W385,Korrektur!R1)),0.25,0))</f>
        <v/>
      </c>
      <c r="AC385" s="1129" t="str">
        <f>IF($S385&gt;$H$334+1,"",IF(ROUND(L385,Korrektur!R1)=IF(ROUND($S385,Korrektur!R1)&gt;ROUND($H$334,Korrektur!R1),ROUND(X$387,Korrektur!R1),ROUND(X385,Korrektur!R1)),0.25,0))</f>
        <v/>
      </c>
    </row>
    <row r="386" spans="1:29" s="888" customFormat="1" hidden="1" x14ac:dyDescent="0.2">
      <c r="A386" s="1098"/>
      <c r="B386" s="835"/>
      <c r="D386" s="1140" t="str">
        <f>IF(ErgInt!Z328="","",ErgInt!Z328)</f>
        <v/>
      </c>
      <c r="E386" s="1141"/>
      <c r="F386" s="918"/>
      <c r="G386" s="1142"/>
      <c r="H386" s="1143"/>
      <c r="I386" s="1143"/>
      <c r="J386" s="1144"/>
      <c r="K386" s="918"/>
      <c r="L386" s="1142"/>
      <c r="M386" s="1144"/>
      <c r="N386" s="891"/>
      <c r="O386" s="920" t="str">
        <f t="shared" si="26"/>
        <v/>
      </c>
      <c r="P386" s="921" t="s">
        <v>463</v>
      </c>
      <c r="Q386" s="892" t="str">
        <f t="shared" si="27"/>
        <v/>
      </c>
      <c r="R386" s="892"/>
      <c r="S386" s="924">
        <v>50</v>
      </c>
      <c r="T386" s="925" t="str">
        <f>IF(S386&gt;H334,"",S386)</f>
        <v/>
      </c>
      <c r="U386" s="926" t="str">
        <f>IF(S386&gt;H334,"",$U385-$W385)</f>
        <v/>
      </c>
      <c r="V386" s="926" t="str">
        <f>IF(S386&gt;H334,"",$U386*H333)</f>
        <v/>
      </c>
      <c r="W386" s="926" t="str">
        <f t="shared" si="28"/>
        <v/>
      </c>
      <c r="X386" s="926" t="str">
        <f t="shared" si="29"/>
        <v/>
      </c>
      <c r="Y386" s="930"/>
      <c r="Z386" s="1129" t="str">
        <f>IF($D386="","",IF(OR(F386="",$S386&gt;$H$334+1),0,IF(ROUND(F386,Korrektur!R1)=IF(ROUND($S386,Korrektur!R1)&gt;ROUND($H$334,Korrektur!R1),ROUND(U$387,Korrektur!R1),ROUND(U386,Korrektur!R1)),0.25,"")))</f>
        <v/>
      </c>
      <c r="AA386" s="1129" t="str">
        <f>IF($S386&gt;$H$334+1,"",IF(ROUND(G386,Korrektur!R1)=IF(ROUND($S386,Korrektur!R1)&gt;ROUND($H$334,Korrektur!R1),ROUND(V$387,Korrektur!R1),ROUND(V386,Korrektur!R1)),0.25,0))</f>
        <v/>
      </c>
      <c r="AB386" s="1129" t="str">
        <f>IF($S386&gt;$H$334+1,"",IF(ROUND(K386,Korrektur!R1)=IF(ROUND($S386,Korrektur!R1)&gt;ROUND($H$334,Korrektur!R1),ROUND(W$387,Korrektur!R1),ROUND(W386,Korrektur!R1)),0.25,0))</f>
        <v/>
      </c>
      <c r="AC386" s="1129" t="str">
        <f>IF($S386&gt;$H$334+1,"",IF(ROUND(L386,Korrektur!R1)=IF(ROUND($S386,Korrektur!R1)&gt;ROUND($H$334,Korrektur!R1),ROUND(X$387,Korrektur!R1),ROUND(X386,Korrektur!R1)),0.25,0))</f>
        <v/>
      </c>
    </row>
    <row r="387" spans="1:29" s="888" customFormat="1" ht="15.75" hidden="1" customHeight="1" x14ac:dyDescent="0.2">
      <c r="A387" s="1098"/>
      <c r="B387" s="835"/>
      <c r="D387" s="1140" t="str">
        <f>IF(ErgInt!Z329="","",ErgInt!Z329)</f>
        <v/>
      </c>
      <c r="E387" s="1141"/>
      <c r="F387" s="918"/>
      <c r="G387" s="1142"/>
      <c r="H387" s="1143"/>
      <c r="I387" s="1143"/>
      <c r="J387" s="1144"/>
      <c r="K387" s="918"/>
      <c r="L387" s="1142"/>
      <c r="M387" s="1144"/>
      <c r="N387" s="891"/>
      <c r="O387" s="920" t="str">
        <f t="shared" si="26"/>
        <v/>
      </c>
      <c r="P387" s="921" t="s">
        <v>463</v>
      </c>
      <c r="Q387" s="892" t="str">
        <f t="shared" si="27"/>
        <v/>
      </c>
      <c r="R387" s="892"/>
      <c r="S387" s="924">
        <v>51</v>
      </c>
      <c r="T387" s="928" t="s">
        <v>514</v>
      </c>
      <c r="U387" s="929">
        <v>0</v>
      </c>
      <c r="V387" s="929">
        <f>SUM(V337:V386)</f>
        <v>26602.28000000001</v>
      </c>
      <c r="W387" s="929">
        <f>SUM(W337:W386)</f>
        <v>78241.999999999985</v>
      </c>
      <c r="X387" s="929">
        <f>SUM(X337:X386)</f>
        <v>104844.28000000001</v>
      </c>
      <c r="Y387" s="930"/>
      <c r="Z387" s="1129" t="str">
        <f>IF($D387="","",IF(OR(F387="",$S387&gt;$H$334+1),0,IF(ROUND(F387,Korrektur!R1)=IF(ROUND($S387,Korrektur!R1)&gt;ROUND($H$334,Korrektur!R1),ROUND(U$387,Korrektur!R1),ROUND(U387,Korrektur!R1)),0.25,"")))</f>
        <v/>
      </c>
      <c r="AA387" s="1129" t="str">
        <f>IF($S387&gt;$H$334+1,"",IF(ROUND(G387,Korrektur!R1)=IF(ROUND($S387,Korrektur!R1)&gt;ROUND($H$334,Korrektur!R1),ROUND(V$387,Korrektur!R1),ROUND(V387,Korrektur!R1)),0.25,0))</f>
        <v/>
      </c>
      <c r="AB387" s="1129" t="str">
        <f>IF($S387&gt;$H$334+1,"",IF(ROUND(K387,Korrektur!R1)=IF(ROUND($S387,Korrektur!R1)&gt;ROUND($H$334,Korrektur!R1),ROUND(W$387,Korrektur!R1),ROUND(W387,Korrektur!R1)),0.25,0))</f>
        <v/>
      </c>
      <c r="AC387" s="1129" t="str">
        <f>IF($S387&gt;$H$334+1,"",IF(ROUND(L387,Korrektur!R1)=IF(ROUND($S387,Korrektur!R1)&gt;ROUND($H$334,Korrektur!R1),ROUND(X$387,Korrektur!R1),ROUND(X387,Korrektur!R1)),0.25,0))</f>
        <v/>
      </c>
    </row>
    <row r="388" spans="1:29" s="888" customFormat="1" ht="15" customHeight="1" x14ac:dyDescent="0.2">
      <c r="A388" s="1098"/>
      <c r="B388" s="835"/>
      <c r="D388" s="891"/>
      <c r="E388" s="891"/>
      <c r="F388" s="937"/>
      <c r="G388" s="891"/>
      <c r="H388" s="891"/>
      <c r="I388" s="891"/>
      <c r="J388" s="891"/>
      <c r="K388" s="891"/>
      <c r="L388" s="891"/>
      <c r="M388" s="891"/>
      <c r="N388" s="891"/>
      <c r="O388" s="895"/>
      <c r="P388" s="895"/>
      <c r="Q388" s="895"/>
      <c r="R388" s="892"/>
      <c r="Y388" s="930"/>
      <c r="Z388" s="930"/>
      <c r="AA388" s="930"/>
      <c r="AB388" s="930"/>
      <c r="AC388" s="930"/>
    </row>
    <row r="389" spans="1:29" x14ac:dyDescent="0.2">
      <c r="A389" s="838"/>
      <c r="B389" s="835"/>
      <c r="C389" s="779" t="s">
        <v>538</v>
      </c>
      <c r="D389" s="779" t="s">
        <v>519</v>
      </c>
      <c r="E389" s="2"/>
      <c r="F389" s="2"/>
      <c r="G389" s="2"/>
      <c r="H389" s="2"/>
      <c r="I389" s="2"/>
      <c r="J389" s="2"/>
      <c r="K389" s="2"/>
      <c r="L389" s="2"/>
      <c r="M389" s="2"/>
      <c r="N389" s="2"/>
      <c r="O389" s="849"/>
      <c r="P389" s="837"/>
      <c r="Q389" s="837"/>
      <c r="R389" s="2"/>
      <c r="S389" s="2"/>
      <c r="T389" s="2"/>
      <c r="U389" s="2"/>
      <c r="V389" s="2"/>
      <c r="W389" s="2"/>
      <c r="X389" s="2"/>
      <c r="Y389" s="2"/>
      <c r="Z389" s="2"/>
      <c r="AA389" s="2"/>
    </row>
    <row r="390" spans="1:29" ht="13.5" customHeight="1" x14ac:dyDescent="0.2">
      <c r="A390" s="838"/>
      <c r="B390" s="835"/>
      <c r="C390" s="2"/>
      <c r="D390" s="2"/>
      <c r="E390" s="2"/>
      <c r="F390" s="2"/>
      <c r="G390" s="2"/>
      <c r="H390" s="2"/>
      <c r="I390" s="2"/>
      <c r="J390" s="2"/>
      <c r="K390" s="2"/>
      <c r="L390" s="2"/>
      <c r="M390" s="2"/>
      <c r="N390" s="2"/>
      <c r="O390" s="836"/>
      <c r="P390" s="837"/>
      <c r="Q390" s="837"/>
      <c r="R390" s="2"/>
      <c r="S390" s="2"/>
      <c r="T390" s="2"/>
      <c r="U390" s="2"/>
      <c r="V390" s="2"/>
      <c r="W390" s="2"/>
      <c r="X390" s="2"/>
      <c r="Y390" s="2"/>
      <c r="Z390" s="2"/>
      <c r="AA390" s="2"/>
    </row>
    <row r="391" spans="1:29" x14ac:dyDescent="0.2">
      <c r="A391" s="838"/>
      <c r="B391" s="835"/>
      <c r="C391" s="2"/>
      <c r="D391" s="938" t="s">
        <v>520</v>
      </c>
      <c r="E391" s="938"/>
      <c r="F391" s="938"/>
      <c r="G391" s="938"/>
      <c r="H391" s="938"/>
      <c r="I391" s="938"/>
      <c r="J391" s="938"/>
      <c r="K391" s="938"/>
      <c r="L391" s="938"/>
      <c r="M391" s="938"/>
      <c r="N391" s="2"/>
      <c r="O391" s="843">
        <f>IF(M1&lt;&gt;"x","",SUM(S394:S415,T394:T415,U394:U415,V394:V415)-2)</f>
        <v>0</v>
      </c>
      <c r="P391" s="837" t="s">
        <v>463</v>
      </c>
      <c r="Q391" s="837">
        <f>IF(M1&lt;&gt;"x","",25)</f>
        <v>25</v>
      </c>
      <c r="R391" s="2"/>
      <c r="S391" s="939" t="s">
        <v>521</v>
      </c>
      <c r="T391" s="939"/>
      <c r="U391" s="940"/>
      <c r="V391" s="940" t="s">
        <v>522</v>
      </c>
      <c r="W391" s="2"/>
      <c r="X391" s="941" t="s">
        <v>523</v>
      </c>
      <c r="Y391" s="941"/>
      <c r="Z391" s="941"/>
      <c r="AA391" s="941"/>
    </row>
    <row r="392" spans="1:29" x14ac:dyDescent="0.2">
      <c r="A392" s="838"/>
      <c r="B392" s="835"/>
      <c r="C392" s="2"/>
      <c r="D392" s="942" t="s">
        <v>521</v>
      </c>
      <c r="E392" s="942"/>
      <c r="F392" s="942"/>
      <c r="G392" s="942"/>
      <c r="H392" s="942"/>
      <c r="I392" s="942"/>
      <c r="J392" s="942"/>
      <c r="K392" s="942"/>
      <c r="L392" s="942"/>
      <c r="M392" s="943" t="s">
        <v>522</v>
      </c>
      <c r="N392" s="2"/>
      <c r="O392" s="836"/>
      <c r="P392" s="837"/>
      <c r="Q392" s="837"/>
      <c r="R392" s="2"/>
      <c r="S392" s="944" t="s">
        <v>524</v>
      </c>
      <c r="T392" s="944" t="s">
        <v>525</v>
      </c>
      <c r="U392" s="944" t="s">
        <v>526</v>
      </c>
      <c r="V392" s="944" t="s">
        <v>527</v>
      </c>
      <c r="W392" s="2"/>
      <c r="X392" s="945" t="s">
        <v>521</v>
      </c>
      <c r="Y392" s="946"/>
      <c r="Z392" s="946"/>
      <c r="AA392" s="947" t="s">
        <v>522</v>
      </c>
    </row>
    <row r="393" spans="1:29" x14ac:dyDescent="0.2">
      <c r="A393" s="838"/>
      <c r="B393" s="835"/>
      <c r="C393" s="2"/>
      <c r="D393" s="2" t="s">
        <v>432</v>
      </c>
      <c r="E393" s="2"/>
      <c r="F393" s="2"/>
      <c r="G393" s="2"/>
      <c r="H393" s="2"/>
      <c r="I393" s="948"/>
      <c r="J393" s="511"/>
      <c r="K393" s="2" t="s">
        <v>528</v>
      </c>
      <c r="L393" s="2"/>
      <c r="M393" s="2"/>
      <c r="N393" s="2"/>
      <c r="O393" s="836"/>
      <c r="P393" s="837"/>
      <c r="Q393" s="837"/>
      <c r="R393" s="2"/>
      <c r="S393" s="949" t="s">
        <v>529</v>
      </c>
      <c r="T393" s="949"/>
      <c r="U393" s="949" t="s">
        <v>530</v>
      </c>
      <c r="V393" s="949"/>
      <c r="W393" s="2"/>
      <c r="X393" s="950" t="s">
        <v>432</v>
      </c>
      <c r="Y393" s="951"/>
      <c r="Z393" s="950" t="s">
        <v>528</v>
      </c>
      <c r="AA393" s="952"/>
    </row>
    <row r="394" spans="1:29" x14ac:dyDescent="0.2">
      <c r="A394" s="838"/>
      <c r="B394" s="835"/>
      <c r="C394" s="2"/>
      <c r="D394" s="1162"/>
      <c r="E394" s="1162"/>
      <c r="F394" s="1162"/>
      <c r="G394" s="954"/>
      <c r="H394" s="858"/>
      <c r="I394" s="955"/>
      <c r="J394" s="511"/>
      <c r="K394" s="953"/>
      <c r="L394" s="954"/>
      <c r="M394" s="858"/>
      <c r="N394" s="954"/>
      <c r="O394" s="836"/>
      <c r="P394" s="837"/>
      <c r="Q394" s="837"/>
      <c r="R394" s="2"/>
      <c r="S394" s="956">
        <f>IF(OR(D394=$X$394,D394=$X$396,D394=$X$398),1,0)</f>
        <v>0</v>
      </c>
      <c r="T394" s="957">
        <f>IF(OR(H394=$Y$394,H394=$Y$396,H394=$Y$398),1,0)</f>
        <v>0</v>
      </c>
      <c r="U394" s="956">
        <f>IF(OR(K394=$Z$394,K394=$Z$396),1,0)</f>
        <v>0</v>
      </c>
      <c r="V394" s="956">
        <f>IF(OR(M394=$AA$394,M394=$AA$396),1,0)</f>
        <v>0</v>
      </c>
      <c r="W394" s="2"/>
      <c r="X394" s="2" t="str">
        <f>IF('[1]E-ErgInt'!D394="","",'[1]E-ErgInt'!D394)</f>
        <v>Grundverbesserungen</v>
      </c>
      <c r="Y394" s="958">
        <f>IF('[1]E-ErgInt'!H394="","",'[1]E-ErgInt'!H394)</f>
        <v>1</v>
      </c>
      <c r="Z394" s="2" t="str">
        <f>IF('[1]E-ErgInt'!$K$394="","",'[1]E-ErgInt'!$K$394)</f>
        <v>Verbindlichkeiten Futtermittellieferanten</v>
      </c>
      <c r="AA394" s="952">
        <f>IF('[1]E-ErgInt'!M394="","",'[1]E-ErgInt'!M394)</f>
        <v>749</v>
      </c>
    </row>
    <row r="395" spans="1:29" ht="3.95" customHeight="1" x14ac:dyDescent="0.2">
      <c r="A395" s="838"/>
      <c r="B395" s="835"/>
      <c r="C395" s="2"/>
      <c r="D395" s="2"/>
      <c r="E395" s="2"/>
      <c r="F395" s="2"/>
      <c r="G395" s="954"/>
      <c r="H395" s="2"/>
      <c r="I395" s="955"/>
      <c r="J395" s="511"/>
      <c r="K395" s="2"/>
      <c r="L395" s="954"/>
      <c r="M395" s="2"/>
      <c r="N395" s="954"/>
      <c r="O395" s="836"/>
      <c r="P395" s="837"/>
      <c r="Q395" s="837"/>
      <c r="R395" s="2"/>
      <c r="S395" s="956"/>
      <c r="T395" s="957"/>
      <c r="U395" s="956"/>
      <c r="V395" s="956"/>
      <c r="W395" s="2"/>
      <c r="X395" s="2"/>
      <c r="Y395" s="958"/>
      <c r="Z395" s="2"/>
      <c r="AA395" s="952"/>
    </row>
    <row r="396" spans="1:29" x14ac:dyDescent="0.2">
      <c r="A396" s="838"/>
      <c r="B396" s="835"/>
      <c r="C396" s="2"/>
      <c r="D396" s="1162"/>
      <c r="E396" s="1162"/>
      <c r="F396" s="1162"/>
      <c r="G396" s="954"/>
      <c r="H396" s="858"/>
      <c r="I396" s="955"/>
      <c r="J396" s="511"/>
      <c r="K396" s="953"/>
      <c r="L396" s="954"/>
      <c r="M396" s="858"/>
      <c r="N396" s="954"/>
      <c r="O396" s="836"/>
      <c r="P396" s="837"/>
      <c r="Q396" s="837"/>
      <c r="R396" s="2"/>
      <c r="S396" s="956">
        <f>IF(OR(D396=$X$394,D396=$X$396,D396=$X$398),1,0)</f>
        <v>0</v>
      </c>
      <c r="T396" s="957">
        <f>IF(OR(H396=$Y$394,H396=$Y$396,H396=$Y$398),1,0)</f>
        <v>0</v>
      </c>
      <c r="U396" s="956">
        <f>IF(OR(K396=$Z$394,K396=$Z$396),1,0)</f>
        <v>0</v>
      </c>
      <c r="V396" s="956">
        <f>IF(OR(M396=$AA$394,M396=$AA$396),1,0)</f>
        <v>0</v>
      </c>
      <c r="W396" s="2"/>
      <c r="X396" s="2" t="str">
        <f>IF('[1]E-ErgInt'!D396="","",'[1]E-ErgInt'!D396)</f>
        <v>Gebäude und bauliche Anlagen</v>
      </c>
      <c r="Y396" s="958">
        <f>IF('[1]E-ErgInt'!H396="","",'[1]E-ErgInt'!H396)</f>
        <v>74058.314728682177</v>
      </c>
      <c r="Z396" s="2" t="str">
        <f>IF('[1]E-ErgInt'!$K$396="","",'[1]E-ErgInt'!$K$396)</f>
        <v>Darlehen</v>
      </c>
      <c r="AA396" s="952">
        <f>IF('[1]E-ErgInt'!M396="","",'[1]E-ErgInt'!M396)</f>
        <v>7980</v>
      </c>
    </row>
    <row r="397" spans="1:29" ht="3.95" customHeight="1" x14ac:dyDescent="0.2">
      <c r="A397" s="838"/>
      <c r="B397" s="835"/>
      <c r="C397" s="2"/>
      <c r="D397" s="2"/>
      <c r="E397" s="2"/>
      <c r="F397" s="2"/>
      <c r="G397" s="954"/>
      <c r="H397" s="2"/>
      <c r="I397" s="955"/>
      <c r="J397" s="511"/>
      <c r="K397" s="2"/>
      <c r="L397" s="954"/>
      <c r="M397" s="2"/>
      <c r="N397" s="954"/>
      <c r="O397" s="836"/>
      <c r="P397" s="837"/>
      <c r="Q397" s="837"/>
      <c r="R397" s="2"/>
      <c r="S397" s="956"/>
      <c r="T397" s="957"/>
      <c r="U397" s="956"/>
      <c r="V397" s="956"/>
      <c r="W397" s="2"/>
      <c r="X397" s="2"/>
      <c r="Y397" s="958"/>
      <c r="Z397" s="2"/>
      <c r="AA397" s="952"/>
    </row>
    <row r="398" spans="1:29" x14ac:dyDescent="0.2">
      <c r="A398" s="838"/>
      <c r="B398" s="835"/>
      <c r="C398" s="2"/>
      <c r="D398" s="1162"/>
      <c r="E398" s="1162"/>
      <c r="F398" s="1162"/>
      <c r="G398" s="954"/>
      <c r="H398" s="858"/>
      <c r="I398" s="955"/>
      <c r="J398" s="511"/>
      <c r="K398" s="2"/>
      <c r="L398" s="954"/>
      <c r="M398" s="2"/>
      <c r="N398" s="954"/>
      <c r="O398" s="836"/>
      <c r="P398" s="837"/>
      <c r="Q398" s="837"/>
      <c r="R398" s="2"/>
      <c r="S398" s="956">
        <f>IF(OR(D398=$X$394,D398=$X$396,D398=$X$398),1,0)</f>
        <v>0</v>
      </c>
      <c r="T398" s="957">
        <f>IF(OR(H398=$Y$394,H398=$Y$396,H398=$Y$398),1,0)</f>
        <v>0</v>
      </c>
      <c r="U398" s="956"/>
      <c r="V398" s="956"/>
      <c r="W398" s="2"/>
      <c r="X398" s="2" t="str">
        <f>IF('[1]E-ErgInt'!D398="","",'[1]E-ErgInt'!D398)</f>
        <v>Maschinen und Geräte</v>
      </c>
      <c r="Y398" s="958">
        <f>IF('[1]E-ErgInt'!H398="","",'[1]E-ErgInt'!H398)</f>
        <v>22395.736309523811</v>
      </c>
      <c r="Z398" s="2"/>
      <c r="AA398" s="952"/>
    </row>
    <row r="399" spans="1:29" x14ac:dyDescent="0.2">
      <c r="A399" s="838"/>
      <c r="B399" s="835"/>
      <c r="C399" s="2"/>
      <c r="D399" s="2" t="s">
        <v>436</v>
      </c>
      <c r="E399" s="2"/>
      <c r="F399" s="2"/>
      <c r="G399" s="954"/>
      <c r="H399" s="2"/>
      <c r="I399" s="955"/>
      <c r="J399" s="511"/>
      <c r="K399" s="2"/>
      <c r="L399" s="954"/>
      <c r="M399" s="2"/>
      <c r="N399" s="954"/>
      <c r="O399" s="836"/>
      <c r="P399" s="837"/>
      <c r="Q399" s="837"/>
      <c r="R399" s="2"/>
      <c r="S399" s="959" t="s">
        <v>531</v>
      </c>
      <c r="T399" s="957"/>
      <c r="U399" s="956"/>
      <c r="V399" s="956"/>
      <c r="W399" s="2"/>
      <c r="X399" s="779" t="s">
        <v>436</v>
      </c>
      <c r="Y399" s="958"/>
      <c r="Z399" s="2"/>
      <c r="AA399" s="952"/>
    </row>
    <row r="400" spans="1:29" x14ac:dyDescent="0.2">
      <c r="A400" s="838"/>
      <c r="B400" s="835"/>
      <c r="C400" s="2"/>
      <c r="D400" s="1162"/>
      <c r="E400" s="1162"/>
      <c r="F400" s="1162"/>
      <c r="G400" s="954"/>
      <c r="H400" s="858"/>
      <c r="I400" s="955"/>
      <c r="J400" s="511"/>
      <c r="K400" s="2"/>
      <c r="L400" s="954"/>
      <c r="M400" s="2"/>
      <c r="N400" s="954"/>
      <c r="O400" s="836"/>
      <c r="P400" s="837"/>
      <c r="Q400" s="837"/>
      <c r="R400" s="2"/>
      <c r="S400" s="956">
        <f>IF(OR(D400=$X$400,D400=$X$402,D400=$X$404,D400=$X$406,D400=$X$408,D400=$X$410,D400=$X$412),1,0)</f>
        <v>0</v>
      </c>
      <c r="T400" s="957">
        <f>IF(OR(H400=$Y$400,H400=$Y$402,H400=$Y$404,H400=$Y$406,H400=$Y$408,H400=$Y$410,H400=$Y$412),1,0)</f>
        <v>0</v>
      </c>
      <c r="U400" s="956"/>
      <c r="V400" s="956"/>
      <c r="W400" s="2"/>
      <c r="X400" s="2" t="str">
        <f>IF('[1]E-ErgInt'!D400="","",'[1]E-ErgInt'!D400)</f>
        <v>RINDER</v>
      </c>
      <c r="Y400" s="958">
        <f>IF('[1]E-ErgInt'!H400="","",'[1]E-ErgInt'!H400)</f>
        <v>7106</v>
      </c>
      <c r="Z400" s="2"/>
      <c r="AA400" s="952"/>
    </row>
    <row r="401" spans="1:27" ht="3.95" customHeight="1" x14ac:dyDescent="0.2">
      <c r="A401" s="838"/>
      <c r="B401" s="835"/>
      <c r="C401" s="2"/>
      <c r="D401" s="2"/>
      <c r="E401" s="2"/>
      <c r="F401" s="2"/>
      <c r="G401" s="954"/>
      <c r="H401" s="2"/>
      <c r="I401" s="955"/>
      <c r="J401" s="511"/>
      <c r="K401" s="2"/>
      <c r="L401" s="954"/>
      <c r="M401" s="2"/>
      <c r="N401" s="954"/>
      <c r="O401" s="836"/>
      <c r="P401" s="837"/>
      <c r="Q401" s="837"/>
      <c r="R401" s="2"/>
      <c r="S401" s="956"/>
      <c r="T401" s="957"/>
      <c r="U401" s="956"/>
      <c r="V401" s="956"/>
      <c r="W401" s="2"/>
      <c r="X401" s="2"/>
      <c r="Y401" s="958"/>
      <c r="Z401" s="2"/>
      <c r="AA401" s="952"/>
    </row>
    <row r="402" spans="1:27" hidden="1" x14ac:dyDescent="0.2">
      <c r="A402" s="838"/>
      <c r="B402" s="835"/>
      <c r="C402" s="2"/>
      <c r="D402" s="1162" t="s">
        <v>54</v>
      </c>
      <c r="E402" s="1162"/>
      <c r="F402" s="1162"/>
      <c r="G402" s="954"/>
      <c r="H402" s="858" t="s">
        <v>54</v>
      </c>
      <c r="I402" s="955"/>
      <c r="J402" s="511"/>
      <c r="K402" s="2"/>
      <c r="L402" s="954"/>
      <c r="M402" s="2"/>
      <c r="N402" s="954"/>
      <c r="O402" s="836"/>
      <c r="P402" s="837"/>
      <c r="Q402" s="837"/>
      <c r="R402" s="2"/>
      <c r="S402" s="956">
        <f>IF(OR(D402=$X$400,D402=$X$402,D402=$X$404,D402=$X$406,D402=$X$408,D402=$X$410,D402=$X$412),1,0)</f>
        <v>1</v>
      </c>
      <c r="T402" s="957">
        <f>IF(OR(H402=$Y$400,H402=$Y$402,H402=$Y$404,H402=$Y$406,H402=$Y$408,H402=$Y$410,H402=$Y$412),1,0)</f>
        <v>1</v>
      </c>
      <c r="U402" s="956"/>
      <c r="V402" s="956"/>
      <c r="W402" s="2"/>
      <c r="X402" s="2" t="s">
        <v>54</v>
      </c>
      <c r="Y402" s="958" t="s">
        <v>54</v>
      </c>
      <c r="Z402" s="2"/>
      <c r="AA402" s="952"/>
    </row>
    <row r="403" spans="1:27" ht="3.95" hidden="1" customHeight="1" x14ac:dyDescent="0.2">
      <c r="A403" s="838"/>
      <c r="B403" s="835"/>
      <c r="C403" s="2"/>
      <c r="D403" s="2"/>
      <c r="E403" s="2"/>
      <c r="F403" s="2"/>
      <c r="G403" s="954"/>
      <c r="H403" s="2"/>
      <c r="I403" s="955"/>
      <c r="J403" s="511"/>
      <c r="K403" s="2"/>
      <c r="L403" s="954"/>
      <c r="M403" s="2"/>
      <c r="N403" s="954"/>
      <c r="O403" s="836"/>
      <c r="P403" s="837"/>
      <c r="Q403" s="837"/>
      <c r="R403" s="2"/>
      <c r="S403" s="956"/>
      <c r="T403" s="957"/>
      <c r="U403" s="956"/>
      <c r="V403" s="956"/>
      <c r="W403" s="2"/>
      <c r="X403" s="2"/>
      <c r="Y403" s="958"/>
      <c r="Z403" s="2"/>
      <c r="AA403" s="952"/>
    </row>
    <row r="404" spans="1:27" x14ac:dyDescent="0.2">
      <c r="A404" s="838"/>
      <c r="B404" s="835"/>
      <c r="C404" s="2"/>
      <c r="D404" s="1162"/>
      <c r="E404" s="1162"/>
      <c r="F404" s="1162"/>
      <c r="G404" s="954"/>
      <c r="H404" s="858"/>
      <c r="I404" s="955"/>
      <c r="J404" s="511"/>
      <c r="K404" s="2"/>
      <c r="L404" s="954"/>
      <c r="M404" s="960"/>
      <c r="N404" s="954"/>
      <c r="O404" s="836"/>
      <c r="P404" s="837"/>
      <c r="Q404" s="837"/>
      <c r="R404" s="2"/>
      <c r="S404" s="956">
        <f>IF(OR(D404=$X$400,D404=$X$402,D404=$X$404,D404=$X$406,D404=$X$408,D404=$X$410,D404=$X$412),1,0)</f>
        <v>0</v>
      </c>
      <c r="T404" s="957">
        <f>IF(OR(H404=$Y$400,H404=$Y$402,H404=$Y$404,H404=$Y$406,H404=$Y$408,H404=$Y$410,H404=$Y$412),1,0)</f>
        <v>0</v>
      </c>
      <c r="U404" s="956"/>
      <c r="V404" s="956"/>
      <c r="W404" s="2"/>
      <c r="X404" s="2" t="str">
        <f>IF('[1]E-ErgInt'!D404="","",'[1]E-ErgInt'!D404)</f>
        <v>Selbst erzeugte Vorräte</v>
      </c>
      <c r="Y404" s="958">
        <f>IF('[1]E-ErgInt'!H404="","",'[1]E-ErgInt'!H404)</f>
        <v>308.35000000000002</v>
      </c>
      <c r="Z404" s="2"/>
      <c r="AA404" s="952"/>
    </row>
    <row r="405" spans="1:27" ht="3.95" customHeight="1" x14ac:dyDescent="0.2">
      <c r="A405" s="838"/>
      <c r="B405" s="835"/>
      <c r="C405" s="2"/>
      <c r="D405" s="2"/>
      <c r="E405" s="2"/>
      <c r="F405" s="2"/>
      <c r="G405" s="954"/>
      <c r="H405" s="2"/>
      <c r="I405" s="955"/>
      <c r="J405" s="511"/>
      <c r="K405" s="2"/>
      <c r="L405" s="954"/>
      <c r="M405" s="2"/>
      <c r="N405" s="954"/>
      <c r="O405" s="836"/>
      <c r="P405" s="837"/>
      <c r="Q405" s="837"/>
      <c r="R405" s="2"/>
      <c r="S405" s="956"/>
      <c r="T405" s="957"/>
      <c r="U405" s="956"/>
      <c r="V405" s="956"/>
      <c r="W405" s="2"/>
      <c r="X405" s="2"/>
      <c r="Y405" s="958"/>
      <c r="Z405" s="2"/>
      <c r="AA405" s="952"/>
    </row>
    <row r="406" spans="1:27" x14ac:dyDescent="0.2">
      <c r="A406" s="838"/>
      <c r="B406" s="835"/>
      <c r="C406" s="2"/>
      <c r="D406" s="1162"/>
      <c r="E406" s="1162"/>
      <c r="F406" s="1162"/>
      <c r="G406" s="954"/>
      <c r="H406" s="858"/>
      <c r="I406" s="955"/>
      <c r="J406" s="511"/>
      <c r="K406" s="2"/>
      <c r="L406" s="954"/>
      <c r="M406" s="2"/>
      <c r="N406" s="954"/>
      <c r="O406" s="836"/>
      <c r="P406" s="837"/>
      <c r="Q406" s="837"/>
      <c r="R406" s="2"/>
      <c r="S406" s="956">
        <f>IF(OR(D406=$X$400,D406=$X$402,D406=$X$404,D406=$X$406,D406=$X$408,D406=$X$410,D406=$X$412),1,0)</f>
        <v>0</v>
      </c>
      <c r="T406" s="957">
        <f>IF(OR(H406=$Y$400,H406=$Y$402,H406=$Y$404,H406=$Y$406,H406=$Y$408,H406=$Y$410,H406=$Y$412),1,0)</f>
        <v>0</v>
      </c>
      <c r="U406" s="956"/>
      <c r="V406" s="956"/>
      <c r="W406" s="2"/>
      <c r="X406" s="2" t="str">
        <f>IF('[1]E-ErgInt'!D406="","",'[1]E-ErgInt'!D406)</f>
        <v>Zugekaufte Vorräte</v>
      </c>
      <c r="Y406" s="958">
        <f>IF('[1]E-ErgInt'!H406="","",'[1]E-ErgInt'!H406)</f>
        <v>112.27000000000001</v>
      </c>
      <c r="Z406" s="2"/>
      <c r="AA406" s="952"/>
    </row>
    <row r="407" spans="1:27" ht="3.95" customHeight="1" x14ac:dyDescent="0.2">
      <c r="A407" s="838"/>
      <c r="B407" s="835"/>
      <c r="C407" s="2"/>
      <c r="D407" s="2"/>
      <c r="E407" s="2"/>
      <c r="F407" s="2"/>
      <c r="G407" s="954"/>
      <c r="H407" s="2"/>
      <c r="I407" s="955"/>
      <c r="J407" s="511"/>
      <c r="K407" s="2"/>
      <c r="L407" s="954"/>
      <c r="M407" s="2"/>
      <c r="N407" s="954"/>
      <c r="O407" s="836"/>
      <c r="P407" s="837"/>
      <c r="Q407" s="837"/>
      <c r="R407" s="2"/>
      <c r="S407" s="956"/>
      <c r="T407" s="957"/>
      <c r="U407" s="956"/>
      <c r="V407" s="956"/>
      <c r="W407" s="2"/>
      <c r="X407" s="2"/>
      <c r="Y407" s="958"/>
      <c r="Z407" s="2"/>
      <c r="AA407" s="952"/>
    </row>
    <row r="408" spans="1:27" x14ac:dyDescent="0.2">
      <c r="A408" s="838"/>
      <c r="B408" s="835"/>
      <c r="C408" s="2"/>
      <c r="D408" s="1162"/>
      <c r="E408" s="1162"/>
      <c r="F408" s="1162"/>
      <c r="G408" s="954"/>
      <c r="H408" s="858"/>
      <c r="I408" s="955"/>
      <c r="J408" s="511"/>
      <c r="K408" s="2"/>
      <c r="L408" s="954"/>
      <c r="M408" s="2"/>
      <c r="N408" s="954"/>
      <c r="O408" s="836"/>
      <c r="P408" s="837"/>
      <c r="Q408" s="837"/>
      <c r="R408" s="2"/>
      <c r="S408" s="956">
        <f>IF(OR(D408=$X$400,D408=$X$402,D408=$X$404,D408=$X$406,D408=$X$408,D408=$X$410,D408=$X$412),1,0)</f>
        <v>0</v>
      </c>
      <c r="T408" s="957">
        <f>IF(OR(H408=$Y$400,H408=$Y$402,H408=$Y$404,H408=$Y$406,H408=$Y$408,H408=$Y$410,H408=$Y$412),1,0)</f>
        <v>0</v>
      </c>
      <c r="U408" s="956"/>
      <c r="V408" s="956"/>
      <c r="W408" s="2"/>
      <c r="X408" s="2" t="str">
        <f>IF('[1]E-ErgInt'!D408="","",'[1]E-ErgInt'!D408)</f>
        <v>Kassa</v>
      </c>
      <c r="Y408" s="958">
        <f>IF('[1]E-ErgInt'!H408="","",'[1]E-ErgInt'!H408)</f>
        <v>2441</v>
      </c>
      <c r="Z408" s="2"/>
      <c r="AA408" s="952"/>
    </row>
    <row r="409" spans="1:27" ht="3.95" customHeight="1" x14ac:dyDescent="0.2">
      <c r="A409" s="838"/>
      <c r="B409" s="835"/>
      <c r="C409" s="2"/>
      <c r="D409" s="2"/>
      <c r="E409" s="2"/>
      <c r="F409" s="2"/>
      <c r="G409" s="954"/>
      <c r="H409" s="2"/>
      <c r="I409" s="955"/>
      <c r="J409" s="511"/>
      <c r="K409" s="2"/>
      <c r="L409" s="954"/>
      <c r="M409" s="2"/>
      <c r="N409" s="954"/>
      <c r="O409" s="836"/>
      <c r="P409" s="837"/>
      <c r="Q409" s="837"/>
      <c r="R409" s="2"/>
      <c r="S409" s="956"/>
      <c r="T409" s="957"/>
      <c r="U409" s="956"/>
      <c r="V409" s="956"/>
      <c r="W409" s="2"/>
      <c r="X409" s="2"/>
      <c r="Y409" s="958"/>
      <c r="Z409" s="2"/>
      <c r="AA409" s="952"/>
    </row>
    <row r="410" spans="1:27" x14ac:dyDescent="0.2">
      <c r="A410" s="838"/>
      <c r="B410" s="835"/>
      <c r="C410" s="2"/>
      <c r="D410" s="1162"/>
      <c r="E410" s="1162"/>
      <c r="F410" s="1162"/>
      <c r="G410" s="954"/>
      <c r="H410" s="858"/>
      <c r="I410" s="955"/>
      <c r="J410" s="511"/>
      <c r="K410" s="2"/>
      <c r="L410" s="954"/>
      <c r="M410" s="2"/>
      <c r="N410" s="954"/>
      <c r="O410" s="836"/>
      <c r="P410" s="837"/>
      <c r="Q410" s="837"/>
      <c r="R410" s="2"/>
      <c r="S410" s="956">
        <f>IF(OR(D410=$X$400,D410=$X$402,D410=$X$404,D410=$X$406,D410=$X$408,D410=$X$410,D410=$X$412),1,0)</f>
        <v>0</v>
      </c>
      <c r="T410" s="957">
        <f>IF(OR(H410=$Y$400,H410=$Y$402,H410=$Y$404,H410=$Y$406,H410=$Y$408,H410=$Y$410,H410=$Y$412),1,0)</f>
        <v>0</v>
      </c>
      <c r="U410" s="956"/>
      <c r="V410" s="956"/>
      <c r="W410" s="2"/>
      <c r="X410" s="2" t="str">
        <f>IF('[1]E-ErgInt'!D410="","",'[1]E-ErgInt'!D410)</f>
        <v>Girokonto</v>
      </c>
      <c r="Y410" s="958">
        <f>IF('[1]E-ErgInt'!H410="","",'[1]E-ErgInt'!H410)</f>
        <v>18008</v>
      </c>
      <c r="Z410" s="2"/>
      <c r="AA410" s="952"/>
    </row>
    <row r="411" spans="1:27" ht="3.95" customHeight="1" x14ac:dyDescent="0.2">
      <c r="A411" s="838"/>
      <c r="B411" s="835"/>
      <c r="C411" s="2"/>
      <c r="D411" s="2"/>
      <c r="E411" s="2"/>
      <c r="F411" s="2"/>
      <c r="G411" s="954"/>
      <c r="H411" s="2"/>
      <c r="I411" s="955"/>
      <c r="J411" s="511"/>
      <c r="K411" s="2"/>
      <c r="L411" s="954"/>
      <c r="M411" s="2"/>
      <c r="N411" s="954"/>
      <c r="O411" s="836"/>
      <c r="P411" s="837"/>
      <c r="Q411" s="837"/>
      <c r="R411" s="2"/>
      <c r="S411" s="956"/>
      <c r="T411" s="957"/>
      <c r="U411" s="956"/>
      <c r="V411" s="956"/>
      <c r="W411" s="2"/>
      <c r="X411" s="2"/>
      <c r="Y411" s="958"/>
      <c r="Z411" s="2"/>
      <c r="AA411" s="952"/>
    </row>
    <row r="412" spans="1:27" x14ac:dyDescent="0.2">
      <c r="A412" s="838"/>
      <c r="B412" s="835"/>
      <c r="C412" s="2"/>
      <c r="D412" s="1162"/>
      <c r="E412" s="1162"/>
      <c r="F412" s="1162"/>
      <c r="G412" s="954"/>
      <c r="H412" s="858"/>
      <c r="I412" s="955"/>
      <c r="J412" s="511"/>
      <c r="K412" s="2" t="s">
        <v>532</v>
      </c>
      <c r="L412" s="954"/>
      <c r="M412" s="961"/>
      <c r="N412" s="954"/>
      <c r="O412" s="836"/>
      <c r="P412" s="837"/>
      <c r="Q412" s="837"/>
      <c r="R412" s="2"/>
      <c r="S412" s="956">
        <f>IF(OR(D412=$X$400,D412=$X$402,D412=$X$404,D412=$X$406,D412=$X$408,D412=$X$410,D412=$X$412),1,0)</f>
        <v>0</v>
      </c>
      <c r="T412" s="957">
        <f>IF(OR(H412=$Y$400,H412=$Y$402,H412=$Y$404,H412=$Y$406,H412=$Y$408,H412=$Y$410,H412=$Y$412),1,0)</f>
        <v>0</v>
      </c>
      <c r="U412" s="956" t="s">
        <v>533</v>
      </c>
      <c r="V412" s="956">
        <f>IF(M412=AA412,1,0)</f>
        <v>0</v>
      </c>
      <c r="W412" s="2"/>
      <c r="X412" s="2" t="str">
        <f>IF('[1]E-ErgInt'!D412="","",'[1]E-ErgInt'!D412)</f>
        <v>Offene Forderungen: Gasthof Sonne</v>
      </c>
      <c r="Y412" s="958">
        <f>IF('[1]E-ErgInt'!H412="","",'[1]E-ErgInt'!H412)</f>
        <v>1067</v>
      </c>
      <c r="Z412" s="2" t="s">
        <v>532</v>
      </c>
      <c r="AA412" s="952">
        <f>AA415-SUM(AA394:AA396)</f>
        <v>116768.671038206</v>
      </c>
    </row>
    <row r="413" spans="1:27" ht="3.95" customHeight="1" x14ac:dyDescent="0.2">
      <c r="A413" s="838"/>
      <c r="B413" s="835"/>
      <c r="C413" s="2"/>
      <c r="D413" s="2"/>
      <c r="E413" s="2"/>
      <c r="F413" s="2"/>
      <c r="G413" s="2"/>
      <c r="H413" s="2"/>
      <c r="I413" s="955"/>
      <c r="J413" s="511"/>
      <c r="K413" s="2"/>
      <c r="L413" s="954"/>
      <c r="M413" s="2"/>
      <c r="N413" s="954"/>
      <c r="O413" s="836"/>
      <c r="P413" s="837"/>
      <c r="Q413" s="837"/>
      <c r="R413" s="2"/>
      <c r="S413" s="517"/>
      <c r="T413" s="957"/>
      <c r="U413" s="517"/>
      <c r="V413" s="517"/>
      <c r="W413" s="2"/>
      <c r="X413" s="2"/>
      <c r="Y413" s="958"/>
      <c r="Z413" s="2"/>
      <c r="AA413" s="952"/>
    </row>
    <row r="414" spans="1:27" ht="3.95" customHeight="1" x14ac:dyDescent="0.2">
      <c r="A414" s="838"/>
      <c r="B414" s="835"/>
      <c r="C414" s="2"/>
      <c r="D414" s="962"/>
      <c r="E414" s="962"/>
      <c r="F414" s="962"/>
      <c r="G414" s="962"/>
      <c r="H414" s="962"/>
      <c r="I414" s="963"/>
      <c r="J414" s="962"/>
      <c r="K414" s="962"/>
      <c r="L414" s="964"/>
      <c r="M414" s="962"/>
      <c r="N414" s="954"/>
      <c r="O414" s="836"/>
      <c r="P414" s="837"/>
      <c r="Q414" s="837"/>
      <c r="R414" s="2"/>
      <c r="S414" s="517"/>
      <c r="T414" s="957"/>
      <c r="U414" s="517"/>
      <c r="V414" s="956"/>
      <c r="W414" s="2"/>
      <c r="X414" s="2"/>
      <c r="Y414" s="958"/>
      <c r="Z414" s="2"/>
      <c r="AA414" s="952"/>
    </row>
    <row r="415" spans="1:27" ht="13.5" thickBot="1" x14ac:dyDescent="0.25">
      <c r="A415" s="838"/>
      <c r="B415" s="835"/>
      <c r="C415" s="2"/>
      <c r="D415" s="859" t="s">
        <v>534</v>
      </c>
      <c r="E415" s="859"/>
      <c r="F415" s="859"/>
      <c r="G415" s="859"/>
      <c r="H415" s="864"/>
      <c r="I415" s="955"/>
      <c r="J415" s="859"/>
      <c r="K415" s="859" t="s">
        <v>535</v>
      </c>
      <c r="L415" s="965"/>
      <c r="M415" s="864"/>
      <c r="N415" s="954"/>
      <c r="O415" s="836"/>
      <c r="P415" s="837"/>
      <c r="Q415" s="837"/>
      <c r="R415" s="2"/>
      <c r="S415" s="966" t="s">
        <v>627</v>
      </c>
      <c r="T415" s="967">
        <f>IF(H415=Y415,1,0)</f>
        <v>0</v>
      </c>
      <c r="U415" s="966" t="s">
        <v>628</v>
      </c>
      <c r="V415" s="968">
        <f>IF(M415=AA415,1,0)</f>
        <v>0</v>
      </c>
      <c r="W415" s="2"/>
      <c r="X415" s="969" t="s">
        <v>536</v>
      </c>
      <c r="Y415" s="970">
        <f>SUM(Y394:Y412)</f>
        <v>125497.671038206</v>
      </c>
      <c r="Z415" s="969" t="s">
        <v>537</v>
      </c>
      <c r="AA415" s="971">
        <f>Y415</f>
        <v>125497.671038206</v>
      </c>
    </row>
    <row r="416" spans="1:27" ht="3.95" customHeight="1" thickTop="1" thickBot="1" x14ac:dyDescent="0.25">
      <c r="A416" s="838"/>
      <c r="B416" s="835"/>
      <c r="C416" s="2"/>
      <c r="D416" s="972"/>
      <c r="E416" s="972"/>
      <c r="F416" s="972"/>
      <c r="G416" s="972"/>
      <c r="H416" s="972"/>
      <c r="I416" s="973"/>
      <c r="J416" s="972"/>
      <c r="K416" s="972"/>
      <c r="L416" s="972"/>
      <c r="M416" s="972"/>
      <c r="N416" s="2"/>
      <c r="O416" s="836"/>
      <c r="P416" s="837"/>
      <c r="Q416" s="837"/>
      <c r="R416" s="2"/>
      <c r="S416" s="2"/>
      <c r="T416" s="2"/>
      <c r="U416" s="2"/>
      <c r="V416" s="2"/>
      <c r="W416" s="2"/>
      <c r="X416" s="2"/>
      <c r="Y416" s="2"/>
      <c r="Z416" s="2"/>
      <c r="AA416" s="2"/>
    </row>
    <row r="417" spans="1:27" ht="13.5" thickTop="1" x14ac:dyDescent="0.2">
      <c r="A417" s="838"/>
      <c r="B417" s="835"/>
      <c r="C417" s="2"/>
      <c r="D417" s="2"/>
      <c r="E417" s="2"/>
      <c r="F417" s="2"/>
      <c r="G417" s="2"/>
      <c r="H417" s="2"/>
      <c r="I417" s="2"/>
      <c r="J417" s="2"/>
      <c r="K417" s="2"/>
      <c r="L417" s="2"/>
      <c r="M417" s="2"/>
      <c r="N417" s="2"/>
      <c r="O417" s="836"/>
      <c r="P417" s="837"/>
      <c r="Q417" s="837"/>
      <c r="R417" s="2"/>
      <c r="S417" s="2"/>
      <c r="T417" s="2"/>
      <c r="U417" s="2"/>
      <c r="V417" s="2"/>
      <c r="W417" s="2"/>
      <c r="X417" s="2"/>
      <c r="Y417" s="2"/>
      <c r="Z417" s="2"/>
      <c r="AA417" s="2"/>
    </row>
    <row r="418" spans="1:27" ht="12.75" customHeight="1" x14ac:dyDescent="0.2">
      <c r="A418" s="838"/>
      <c r="B418" s="835"/>
      <c r="C418" s="2"/>
      <c r="D418" s="2"/>
      <c r="E418" s="2"/>
      <c r="F418" s="2"/>
      <c r="G418" s="2"/>
      <c r="H418" s="2"/>
      <c r="I418" s="2"/>
      <c r="J418" s="2"/>
      <c r="K418" s="2"/>
      <c r="L418" s="2"/>
      <c r="M418" s="2"/>
      <c r="N418" s="2"/>
      <c r="O418" s="849"/>
      <c r="P418" s="837"/>
      <c r="Q418" s="2"/>
      <c r="R418" s="2"/>
      <c r="S418" s="2"/>
      <c r="T418" s="2"/>
      <c r="U418" s="2"/>
      <c r="V418" s="2"/>
      <c r="W418" s="2"/>
      <c r="X418" s="2"/>
      <c r="Y418" s="2"/>
      <c r="Z418" s="2"/>
      <c r="AA418" s="2"/>
    </row>
    <row r="419" spans="1:27" s="1" customFormat="1" x14ac:dyDescent="0.2">
      <c r="A419" s="838"/>
      <c r="B419" s="835"/>
      <c r="C419" s="779" t="s">
        <v>673</v>
      </c>
      <c r="D419" s="779" t="s">
        <v>539</v>
      </c>
      <c r="E419" s="2"/>
      <c r="F419" s="2"/>
      <c r="G419" s="2"/>
      <c r="H419" s="2"/>
      <c r="I419" s="2"/>
      <c r="J419" s="2"/>
      <c r="K419" s="2"/>
      <c r="L419" s="2"/>
      <c r="M419" s="2"/>
      <c r="N419" s="2"/>
      <c r="O419" s="849"/>
      <c r="P419" s="837"/>
      <c r="Q419" s="837"/>
      <c r="R419" s="2"/>
      <c r="S419" s="2"/>
      <c r="T419" s="2"/>
      <c r="U419" s="2"/>
      <c r="V419" s="2"/>
      <c r="W419" s="2"/>
      <c r="X419" s="2"/>
      <c r="Y419" s="2"/>
      <c r="Z419" s="2"/>
      <c r="AA419" s="2"/>
    </row>
    <row r="420" spans="1:27" s="1" customFormat="1" ht="12.75" customHeight="1" x14ac:dyDescent="0.2">
      <c r="A420" s="838"/>
      <c r="B420" s="835"/>
      <c r="C420" s="2"/>
      <c r="D420" s="2" t="s">
        <v>459</v>
      </c>
      <c r="E420" s="2" t="s">
        <v>629</v>
      </c>
      <c r="F420" s="2"/>
      <c r="G420" s="2"/>
      <c r="H420" s="2"/>
      <c r="I420" s="2"/>
      <c r="J420" s="2"/>
      <c r="K420" s="2"/>
      <c r="L420" s="2"/>
      <c r="M420" s="2"/>
      <c r="N420" s="2"/>
      <c r="O420" s="849"/>
      <c r="P420" s="837"/>
      <c r="Q420" s="2"/>
      <c r="R420" s="2"/>
      <c r="S420" s="974" t="s">
        <v>540</v>
      </c>
      <c r="T420" s="975"/>
      <c r="U420" s="975"/>
      <c r="V420" s="975"/>
      <c r="W420" s="2"/>
      <c r="X420" s="2"/>
      <c r="Y420" s="2"/>
      <c r="Z420" s="2"/>
      <c r="AA420" s="2"/>
    </row>
    <row r="421" spans="1:27" s="1" customFormat="1" ht="12.75" customHeight="1" x14ac:dyDescent="0.2">
      <c r="A421" s="838"/>
      <c r="B421" s="835"/>
      <c r="C421" s="3"/>
      <c r="D421" s="2"/>
      <c r="E421" s="851"/>
      <c r="F421" s="976" t="str">
        <f>IF(S421="","",S421)</f>
        <v>BEZIRKSGERICHT Imst, GRUNDBUCH 80107 KG – Roppen</v>
      </c>
      <c r="G421" s="852"/>
      <c r="H421" s="852"/>
      <c r="I421" s="852"/>
      <c r="J421" s="852"/>
      <c r="K421" s="852"/>
      <c r="L421" s="852"/>
      <c r="M421" s="852"/>
      <c r="N421" s="2"/>
      <c r="O421" s="843" t="str">
        <f>IF(AND(E421='[1]E-ErgInt'!E421,E423='[1]E-ErgInt'!E423,E425='[1]E-ErgInt'!E425,E427='[1]E-ErgInt'!E427),Q421,"")</f>
        <v/>
      </c>
      <c r="P421" s="837" t="s">
        <v>463</v>
      </c>
      <c r="Q421" s="837">
        <v>1</v>
      </c>
      <c r="R421" s="2"/>
      <c r="S421" s="2" t="str">
        <f>IF('[1]E-ErgInt'!S421="","",'[1]E-ErgInt'!S421)</f>
        <v>BEZIRKSGERICHT Imst, GRUNDBUCH 80107 KG – Roppen</v>
      </c>
      <c r="T421" s="2"/>
      <c r="U421" s="2"/>
      <c r="V421" s="2"/>
      <c r="W421" s="2"/>
      <c r="X421" s="2"/>
      <c r="Y421" s="2"/>
      <c r="Z421" s="2"/>
      <c r="AA421" s="2"/>
    </row>
    <row r="422" spans="1:27" s="1" customFormat="1" ht="3.95" customHeight="1" x14ac:dyDescent="0.2">
      <c r="A422" s="838"/>
      <c r="B422" s="835"/>
      <c r="C422" s="3"/>
      <c r="D422" s="2"/>
      <c r="E422" s="977"/>
      <c r="F422" s="978"/>
      <c r="G422" s="852"/>
      <c r="H422" s="852"/>
      <c r="I422" s="852"/>
      <c r="J422" s="852"/>
      <c r="K422" s="852"/>
      <c r="L422" s="852"/>
      <c r="M422" s="852"/>
      <c r="N422" s="2"/>
      <c r="O422" s="849"/>
      <c r="P422" s="837"/>
      <c r="Q422" s="2"/>
      <c r="R422" s="2"/>
      <c r="S422" s="2"/>
      <c r="T422" s="2"/>
      <c r="U422" s="2"/>
      <c r="V422" s="2"/>
      <c r="W422" s="2"/>
      <c r="X422" s="2"/>
      <c r="Y422" s="2"/>
      <c r="Z422" s="2"/>
      <c r="AA422" s="2"/>
    </row>
    <row r="423" spans="1:27" s="1" customFormat="1" ht="12.75" customHeight="1" x14ac:dyDescent="0.2">
      <c r="A423" s="838"/>
      <c r="B423" s="835"/>
      <c r="C423" s="3"/>
      <c r="D423" s="2"/>
      <c r="E423" s="851"/>
      <c r="F423" s="976" t="str">
        <f>IF(S423="","",S423)</f>
        <v>BEZIRKSGERICHT Landeck, GRUNDBUCH 84007 KG – Landeck</v>
      </c>
      <c r="G423" s="852"/>
      <c r="H423" s="852"/>
      <c r="I423" s="852"/>
      <c r="J423" s="852"/>
      <c r="K423" s="852"/>
      <c r="L423" s="852"/>
      <c r="M423" s="852"/>
      <c r="N423" s="2"/>
      <c r="O423" s="849"/>
      <c r="P423" s="837"/>
      <c r="Q423" s="2"/>
      <c r="R423" s="2"/>
      <c r="S423" s="979" t="str">
        <f>IF('[1]E-ErgInt'!S423="","",'[1]E-ErgInt'!S423)</f>
        <v>BEZIRKSGERICHT Landeck, GRUNDBUCH 84007 KG – Landeck</v>
      </c>
      <c r="T423" s="857"/>
      <c r="U423" s="857"/>
      <c r="V423" s="857"/>
      <c r="W423" s="2"/>
      <c r="X423" s="2"/>
      <c r="Y423" s="2"/>
      <c r="Z423" s="2"/>
      <c r="AA423" s="2"/>
    </row>
    <row r="424" spans="1:27" s="1" customFormat="1" ht="3.95" customHeight="1" x14ac:dyDescent="0.2">
      <c r="A424" s="838"/>
      <c r="B424" s="835"/>
      <c r="C424" s="3"/>
      <c r="D424" s="2"/>
      <c r="E424" s="977"/>
      <c r="F424" s="978"/>
      <c r="G424" s="852"/>
      <c r="H424" s="852"/>
      <c r="I424" s="852"/>
      <c r="J424" s="852"/>
      <c r="K424" s="852"/>
      <c r="L424" s="852"/>
      <c r="M424" s="852"/>
      <c r="N424" s="2"/>
      <c r="O424" s="849"/>
      <c r="P424" s="837"/>
      <c r="Q424" s="2"/>
      <c r="R424" s="2"/>
      <c r="S424" s="2"/>
      <c r="T424" s="2"/>
      <c r="U424" s="2"/>
      <c r="V424" s="2"/>
      <c r="W424" s="2"/>
      <c r="X424" s="2"/>
      <c r="Y424" s="2"/>
      <c r="Z424" s="2"/>
      <c r="AA424" s="2"/>
    </row>
    <row r="425" spans="1:27" s="1" customFormat="1" ht="12.75" customHeight="1" x14ac:dyDescent="0.2">
      <c r="A425" s="838"/>
      <c r="B425" s="835"/>
      <c r="C425" s="3"/>
      <c r="D425" s="2"/>
      <c r="E425" s="851"/>
      <c r="F425" s="976" t="str">
        <f>IF(S425="","",S425)</f>
        <v>BEZIRKSGERICHT Landeck, GRUNDBUCH 84009 KG – Pians</v>
      </c>
      <c r="G425" s="852"/>
      <c r="H425" s="852"/>
      <c r="I425" s="852"/>
      <c r="J425" s="852"/>
      <c r="K425" s="852"/>
      <c r="L425" s="852"/>
      <c r="M425" s="852"/>
      <c r="N425" s="2"/>
      <c r="O425" s="849"/>
      <c r="P425" s="837"/>
      <c r="Q425" s="2"/>
      <c r="R425" s="2"/>
      <c r="S425" s="2" t="str">
        <f>IF('[1]E-ErgInt'!S425="","",'[1]E-ErgInt'!S425)</f>
        <v>BEZIRKSGERICHT Landeck, GRUNDBUCH 84009 KG – Pians</v>
      </c>
      <c r="T425" s="2"/>
      <c r="U425" s="2"/>
      <c r="V425" s="2"/>
      <c r="W425" s="2"/>
      <c r="X425" s="2"/>
      <c r="Y425" s="2"/>
      <c r="Z425" s="2"/>
      <c r="AA425" s="2"/>
    </row>
    <row r="426" spans="1:27" s="1" customFormat="1" ht="3.95" customHeight="1" x14ac:dyDescent="0.2">
      <c r="A426" s="838"/>
      <c r="B426" s="835"/>
      <c r="C426" s="3"/>
      <c r="D426" s="2"/>
      <c r="E426" s="977"/>
      <c r="F426" s="978"/>
      <c r="G426" s="852"/>
      <c r="H426" s="852"/>
      <c r="I426" s="852"/>
      <c r="J426" s="852"/>
      <c r="K426" s="852"/>
      <c r="L426" s="852"/>
      <c r="M426" s="852"/>
      <c r="N426" s="2"/>
      <c r="O426" s="849"/>
      <c r="P426" s="837"/>
      <c r="Q426" s="2"/>
      <c r="R426" s="2"/>
      <c r="S426" s="2"/>
      <c r="T426" s="2"/>
      <c r="U426" s="2"/>
      <c r="V426" s="2"/>
      <c r="W426" s="2"/>
      <c r="X426" s="2"/>
      <c r="Y426" s="2"/>
      <c r="Z426" s="2"/>
      <c r="AA426" s="2"/>
    </row>
    <row r="427" spans="1:27" s="1" customFormat="1" ht="12.75" customHeight="1" x14ac:dyDescent="0.2">
      <c r="A427" s="838"/>
      <c r="B427" s="835"/>
      <c r="C427" s="3"/>
      <c r="D427" s="2"/>
      <c r="E427" s="851"/>
      <c r="F427" s="976" t="str">
        <f>IF(S427="","",S427)</f>
        <v>BEZIRKSGERICHT Landeck, GRUNDBUCH 84115 KG – Tösens</v>
      </c>
      <c r="G427" s="852"/>
      <c r="H427" s="852"/>
      <c r="I427" s="852"/>
      <c r="J427" s="852"/>
      <c r="K427" s="852"/>
      <c r="L427" s="852"/>
      <c r="M427" s="852"/>
      <c r="N427" s="2"/>
      <c r="O427" s="849"/>
      <c r="P427" s="837"/>
      <c r="Q427" s="2"/>
      <c r="R427" s="2"/>
      <c r="S427" s="2" t="str">
        <f>IF('[1]E-ErgInt'!S427="","",'[1]E-ErgInt'!S427)</f>
        <v>BEZIRKSGERICHT Landeck, GRUNDBUCH 84115 KG – Tösens</v>
      </c>
      <c r="T427" s="2"/>
      <c r="U427" s="2"/>
      <c r="V427" s="2"/>
      <c r="W427" s="2"/>
      <c r="X427" s="2"/>
      <c r="Y427" s="2"/>
      <c r="Z427" s="2"/>
      <c r="AA427" s="2"/>
    </row>
    <row r="428" spans="1:27" s="1" customFormat="1" ht="12.75" customHeight="1" x14ac:dyDescent="0.2">
      <c r="A428" s="838"/>
      <c r="B428" s="835"/>
      <c r="C428" s="2"/>
      <c r="D428" s="2"/>
      <c r="E428" s="2"/>
      <c r="F428" s="2"/>
      <c r="G428" s="852"/>
      <c r="H428" s="852"/>
      <c r="I428" s="852"/>
      <c r="J428" s="852"/>
      <c r="K428" s="852"/>
      <c r="L428" s="852"/>
      <c r="M428" s="852"/>
      <c r="N428" s="2"/>
      <c r="O428" s="849"/>
      <c r="P428" s="837"/>
      <c r="Q428" s="2"/>
      <c r="R428" s="2"/>
      <c r="S428" s="2"/>
      <c r="T428" s="2"/>
      <c r="U428" s="2"/>
      <c r="V428" s="2"/>
      <c r="W428" s="2"/>
      <c r="X428" s="2"/>
      <c r="Y428" s="2"/>
      <c r="Z428" s="2"/>
      <c r="AA428" s="2"/>
    </row>
    <row r="429" spans="1:27" s="1" customFormat="1" ht="12.75" customHeight="1" x14ac:dyDescent="0.2">
      <c r="A429" s="838"/>
      <c r="B429" s="835"/>
      <c r="C429" s="2"/>
      <c r="D429" s="2" t="s">
        <v>467</v>
      </c>
      <c r="E429" s="2" t="s">
        <v>541</v>
      </c>
      <c r="F429" s="2"/>
      <c r="G429" s="2"/>
      <c r="H429" s="2"/>
      <c r="I429" s="2"/>
      <c r="J429" s="2"/>
      <c r="K429" s="2"/>
      <c r="L429" s="2"/>
      <c r="M429" s="2"/>
      <c r="N429" s="2"/>
      <c r="O429" s="849"/>
      <c r="P429" s="837"/>
      <c r="Q429" s="2"/>
      <c r="R429" s="2"/>
      <c r="S429" s="2"/>
      <c r="T429" s="2"/>
      <c r="U429" s="2"/>
      <c r="V429" s="2"/>
      <c r="W429" s="2"/>
      <c r="X429" s="2"/>
      <c r="Y429" s="2"/>
      <c r="Z429" s="2"/>
      <c r="AA429" s="2"/>
    </row>
    <row r="430" spans="1:27" s="1" customFormat="1" ht="12.75" customHeight="1" x14ac:dyDescent="0.2">
      <c r="A430" s="838"/>
      <c r="B430" s="835"/>
      <c r="C430" s="2"/>
      <c r="D430" s="2"/>
      <c r="E430" s="865" t="s">
        <v>542</v>
      </c>
      <c r="F430" s="2"/>
      <c r="G430" s="2"/>
      <c r="H430" s="2"/>
      <c r="I430" s="2"/>
      <c r="J430" s="2"/>
      <c r="K430" s="2"/>
      <c r="L430" s="2"/>
      <c r="M430" s="2"/>
      <c r="N430" s="2"/>
      <c r="O430" s="849"/>
      <c r="P430" s="837"/>
      <c r="Q430" s="2"/>
      <c r="R430" s="2"/>
      <c r="S430" s="2"/>
      <c r="T430" s="2"/>
      <c r="U430" s="2"/>
      <c r="V430" s="2"/>
      <c r="W430" s="2"/>
      <c r="X430" s="2"/>
      <c r="Y430" s="2"/>
      <c r="Z430" s="2"/>
      <c r="AA430" s="2"/>
    </row>
    <row r="431" spans="1:27" s="1" customFormat="1" ht="12.75" customHeight="1" x14ac:dyDescent="0.2">
      <c r="A431" s="838"/>
      <c r="B431" s="835"/>
      <c r="C431" s="2"/>
      <c r="D431" s="2"/>
      <c r="E431" s="1170"/>
      <c r="F431" s="1171"/>
      <c r="G431" s="2"/>
      <c r="H431" s="980" t="s">
        <v>543</v>
      </c>
      <c r="I431" s="2"/>
      <c r="J431" s="2"/>
      <c r="K431" s="2"/>
      <c r="L431" s="2"/>
      <c r="M431" s="2"/>
      <c r="N431" s="2"/>
      <c r="O431" s="843" t="str">
        <f>IF(E431="","",IF('[1]E-ErgInt'!E431=E431,Q431,0))</f>
        <v/>
      </c>
      <c r="P431" s="837" t="s">
        <v>463</v>
      </c>
      <c r="Q431" s="837">
        <v>1</v>
      </c>
      <c r="R431" s="2"/>
      <c r="S431" s="2"/>
      <c r="T431" s="2"/>
      <c r="U431" s="2"/>
      <c r="V431" s="2"/>
      <c r="W431" s="2"/>
      <c r="X431" s="2"/>
      <c r="Y431" s="2"/>
      <c r="Z431" s="2"/>
      <c r="AA431" s="2"/>
    </row>
    <row r="432" spans="1:27" s="1" customFormat="1" ht="12.75" customHeight="1" x14ac:dyDescent="0.2">
      <c r="A432" s="838"/>
      <c r="B432" s="835"/>
      <c r="C432" s="2"/>
      <c r="D432" s="2"/>
      <c r="E432" s="868"/>
      <c r="F432" s="511"/>
      <c r="G432" s="2"/>
      <c r="H432" s="2"/>
      <c r="I432" s="2"/>
      <c r="J432" s="2"/>
      <c r="K432" s="2"/>
      <c r="L432" s="2"/>
      <c r="M432" s="2"/>
      <c r="N432" s="2"/>
      <c r="O432" s="849"/>
      <c r="P432" s="837"/>
      <c r="Q432" s="2"/>
      <c r="R432" s="2"/>
      <c r="S432" s="2"/>
      <c r="T432" s="2"/>
      <c r="U432" s="2"/>
      <c r="V432" s="2"/>
      <c r="W432" s="2"/>
      <c r="X432" s="2"/>
      <c r="Y432" s="2"/>
      <c r="Z432" s="2"/>
      <c r="AA432" s="2"/>
    </row>
    <row r="433" spans="1:27" s="1" customFormat="1" ht="12.75" customHeight="1" x14ac:dyDescent="0.2">
      <c r="A433" s="838"/>
      <c r="B433" s="835"/>
      <c r="C433" s="2"/>
      <c r="D433" s="2" t="s">
        <v>483</v>
      </c>
      <c r="E433" s="868" t="s">
        <v>544</v>
      </c>
      <c r="F433" s="511"/>
      <c r="G433" s="2"/>
      <c r="H433" s="2"/>
      <c r="I433" s="2"/>
      <c r="J433" s="2"/>
      <c r="K433" s="2"/>
      <c r="L433" s="2"/>
      <c r="M433" s="2"/>
      <c r="N433" s="2"/>
      <c r="O433" s="849"/>
      <c r="P433" s="837"/>
      <c r="Q433" s="2"/>
      <c r="R433" s="2"/>
      <c r="S433" s="2"/>
      <c r="T433" s="2"/>
      <c r="U433" s="2"/>
      <c r="V433" s="2"/>
      <c r="W433" s="2"/>
      <c r="X433" s="2"/>
      <c r="Y433" s="2"/>
      <c r="Z433" s="2"/>
      <c r="AA433" s="2"/>
    </row>
    <row r="434" spans="1:27" s="1" customFormat="1" ht="12.75" customHeight="1" x14ac:dyDescent="0.2">
      <c r="A434" s="838"/>
      <c r="B434" s="835"/>
      <c r="C434" s="2"/>
      <c r="D434" s="2"/>
      <c r="E434" s="2"/>
      <c r="F434" s="2" t="s">
        <v>277</v>
      </c>
      <c r="G434" s="2"/>
      <c r="H434" s="981"/>
      <c r="I434" s="2"/>
      <c r="J434" s="2"/>
      <c r="K434" s="980" t="s">
        <v>545</v>
      </c>
      <c r="L434" s="2"/>
      <c r="M434" s="2"/>
      <c r="N434" s="2"/>
      <c r="O434" s="843" t="str">
        <f>IF(H434="","",IF('[1]E-ErgInt'!H434=H434,Q434,0))</f>
        <v/>
      </c>
      <c r="P434" s="837" t="s">
        <v>463</v>
      </c>
      <c r="Q434" s="837">
        <v>1</v>
      </c>
      <c r="R434" s="2"/>
      <c r="S434" s="2"/>
      <c r="T434" s="2"/>
      <c r="U434" s="2"/>
      <c r="V434" s="2"/>
      <c r="W434" s="2"/>
      <c r="X434" s="2"/>
      <c r="Y434" s="2"/>
      <c r="Z434" s="2"/>
      <c r="AA434" s="2"/>
    </row>
    <row r="435" spans="1:27" s="1" customFormat="1" ht="12.75" customHeight="1" x14ac:dyDescent="0.2">
      <c r="A435" s="838"/>
      <c r="B435" s="835"/>
      <c r="C435" s="2"/>
      <c r="D435" s="2"/>
      <c r="E435" s="2"/>
      <c r="F435" s="2"/>
      <c r="G435" s="2"/>
      <c r="H435" s="2"/>
      <c r="I435" s="2"/>
      <c r="J435" s="2"/>
      <c r="K435" s="2"/>
      <c r="L435" s="2"/>
      <c r="M435" s="2"/>
      <c r="N435" s="2"/>
      <c r="O435" s="849"/>
      <c r="P435" s="837"/>
      <c r="Q435" s="2"/>
      <c r="R435" s="2"/>
      <c r="S435" s="2"/>
      <c r="T435" s="2"/>
      <c r="U435" s="2"/>
      <c r="V435" s="2"/>
      <c r="W435" s="2"/>
      <c r="X435" s="2"/>
      <c r="Y435" s="2"/>
      <c r="Z435" s="2"/>
      <c r="AA435" s="2"/>
    </row>
    <row r="436" spans="1:27" s="1" customFormat="1" ht="12.75" customHeight="1" x14ac:dyDescent="0.2">
      <c r="A436" s="838"/>
      <c r="B436" s="835"/>
      <c r="C436" s="2"/>
      <c r="D436" s="2"/>
      <c r="E436" s="868" t="s">
        <v>630</v>
      </c>
      <c r="F436" s="2"/>
      <c r="G436" s="2"/>
      <c r="H436" s="2"/>
      <c r="I436" s="2"/>
      <c r="J436" s="2"/>
      <c r="K436" s="2"/>
      <c r="L436" s="2"/>
      <c r="M436" s="2"/>
      <c r="N436" s="2"/>
      <c r="O436" s="2"/>
      <c r="P436" s="837"/>
      <c r="Q436" s="2"/>
      <c r="R436" s="2"/>
      <c r="S436" s="2"/>
      <c r="T436" s="2"/>
      <c r="U436" s="2"/>
      <c r="V436" s="2"/>
      <c r="W436" s="2"/>
      <c r="X436" s="2"/>
      <c r="Y436" s="2"/>
      <c r="Z436" s="2"/>
      <c r="AA436" s="2"/>
    </row>
    <row r="437" spans="1:27" s="1" customFormat="1" x14ac:dyDescent="0.2">
      <c r="A437" s="838"/>
      <c r="B437" s="835"/>
      <c r="C437" s="2"/>
      <c r="D437" s="2"/>
      <c r="E437" s="851"/>
      <c r="F437" s="978" t="str">
        <f>IF('[1]E-ErgInt'!$F437="","",'[1]E-ErgInt'!$F437)</f>
        <v>Einlagezahl</v>
      </c>
      <c r="G437" s="982"/>
      <c r="H437" s="982"/>
      <c r="I437" s="982"/>
      <c r="J437" s="982"/>
      <c r="K437" s="982"/>
      <c r="L437" s="982"/>
      <c r="M437" s="982"/>
      <c r="N437" s="2"/>
      <c r="O437" s="843" t="str">
        <f>IF(AND(E437='[1]E-ErgInt'!E437,E439='[1]E-ErgInt'!E439,E441='[1]E-ErgInt'!E441,E443='[1]E-ErgInt'!E443,E445='[1]E-ErgInt'!E445),Q437,"")</f>
        <v/>
      </c>
      <c r="P437" s="837" t="s">
        <v>463</v>
      </c>
      <c r="Q437" s="837">
        <v>1</v>
      </c>
      <c r="R437" s="2"/>
      <c r="S437" s="2"/>
      <c r="T437" s="2"/>
      <c r="U437" s="2"/>
      <c r="V437" s="2"/>
      <c r="W437" s="2"/>
      <c r="X437" s="2"/>
      <c r="Y437" s="2"/>
      <c r="Z437" s="2"/>
      <c r="AA437" s="2"/>
    </row>
    <row r="438" spans="1:27" s="1" customFormat="1" ht="3.95" customHeight="1" x14ac:dyDescent="0.2">
      <c r="A438" s="838"/>
      <c r="B438" s="835"/>
      <c r="C438" s="2"/>
      <c r="D438" s="2"/>
      <c r="E438" s="982"/>
      <c r="F438" s="978"/>
      <c r="G438" s="982"/>
      <c r="H438" s="982"/>
      <c r="I438" s="982"/>
      <c r="J438" s="982"/>
      <c r="K438" s="982"/>
      <c r="L438" s="982"/>
      <c r="M438" s="982"/>
      <c r="N438" s="2"/>
      <c r="O438" s="849"/>
      <c r="P438" s="837"/>
      <c r="Q438" s="2"/>
      <c r="R438" s="2"/>
      <c r="S438" s="2"/>
      <c r="T438" s="2"/>
      <c r="U438" s="2"/>
      <c r="V438" s="2"/>
      <c r="W438" s="2"/>
      <c r="X438" s="2"/>
      <c r="Y438" s="2"/>
      <c r="Z438" s="2"/>
      <c r="AA438" s="2"/>
    </row>
    <row r="439" spans="1:27" s="1" customFormat="1" x14ac:dyDescent="0.2">
      <c r="A439" s="838"/>
      <c r="B439" s="835"/>
      <c r="C439" s="2"/>
      <c r="D439" s="2"/>
      <c r="E439" s="851"/>
      <c r="F439" s="978" t="str">
        <f>IF('[1]E-ErgInt'!$F439="","",'[1]E-ErgInt'!$F439)</f>
        <v>Laufende Nummer</v>
      </c>
      <c r="G439" s="982"/>
      <c r="H439" s="982"/>
      <c r="I439" s="982"/>
      <c r="J439" s="982"/>
      <c r="K439" s="982"/>
      <c r="L439" s="982"/>
      <c r="M439" s="982"/>
      <c r="N439" s="2"/>
      <c r="O439" s="849"/>
      <c r="P439" s="837"/>
      <c r="Q439" s="2"/>
      <c r="R439" s="2"/>
      <c r="S439" s="2"/>
      <c r="T439" s="2"/>
      <c r="U439" s="2"/>
      <c r="V439" s="2"/>
      <c r="W439" s="2"/>
      <c r="X439" s="2"/>
      <c r="Y439" s="2"/>
      <c r="Z439" s="2"/>
      <c r="AA439" s="2"/>
    </row>
    <row r="440" spans="1:27" s="1" customFormat="1" ht="3.95" customHeight="1" x14ac:dyDescent="0.2">
      <c r="A440" s="838"/>
      <c r="B440" s="835"/>
      <c r="C440" s="2"/>
      <c r="D440" s="2"/>
      <c r="E440" s="982"/>
      <c r="F440" s="978"/>
      <c r="G440" s="982"/>
      <c r="H440" s="982"/>
      <c r="I440" s="982"/>
      <c r="J440" s="982"/>
      <c r="K440" s="982"/>
      <c r="L440" s="982"/>
      <c r="M440" s="982"/>
      <c r="N440" s="2"/>
      <c r="O440" s="849"/>
      <c r="P440" s="837"/>
      <c r="Q440" s="2"/>
      <c r="R440" s="2"/>
      <c r="S440" s="2"/>
      <c r="T440" s="2"/>
      <c r="U440" s="2"/>
      <c r="V440" s="2"/>
      <c r="W440" s="2"/>
      <c r="X440" s="2"/>
      <c r="Y440" s="2"/>
      <c r="Z440" s="2"/>
      <c r="AA440" s="2"/>
    </row>
    <row r="441" spans="1:27" s="1" customFormat="1" x14ac:dyDescent="0.2">
      <c r="A441" s="838"/>
      <c r="B441" s="835"/>
      <c r="C441" s="2"/>
      <c r="D441" s="2"/>
      <c r="E441" s="851"/>
      <c r="F441" s="978" t="str">
        <f>IF('[1]E-ErgInt'!$F441="","",'[1]E-ErgInt'!$F441)</f>
        <v>Plombe</v>
      </c>
      <c r="G441" s="982"/>
      <c r="H441" s="982"/>
      <c r="I441" s="982"/>
      <c r="J441" s="982"/>
      <c r="K441" s="982"/>
      <c r="L441" s="982"/>
      <c r="M441" s="982"/>
      <c r="N441" s="2"/>
      <c r="O441" s="849"/>
      <c r="P441" s="837"/>
      <c r="Q441" s="2"/>
      <c r="R441" s="2"/>
      <c r="S441" s="2"/>
      <c r="T441" s="2"/>
      <c r="U441" s="2"/>
      <c r="V441" s="2"/>
      <c r="W441" s="2"/>
      <c r="X441" s="2"/>
      <c r="Y441" s="2"/>
      <c r="Z441" s="2"/>
      <c r="AA441" s="2"/>
    </row>
    <row r="442" spans="1:27" s="1" customFormat="1" ht="3.95" customHeight="1" x14ac:dyDescent="0.2">
      <c r="A442" s="838"/>
      <c r="B442" s="835"/>
      <c r="C442" s="2"/>
      <c r="D442" s="2"/>
      <c r="E442" s="982"/>
      <c r="F442" s="978"/>
      <c r="G442" s="982"/>
      <c r="H442" s="982"/>
      <c r="I442" s="982"/>
      <c r="J442" s="982"/>
      <c r="K442" s="982"/>
      <c r="L442" s="982"/>
      <c r="M442" s="982"/>
      <c r="N442" s="2"/>
      <c r="O442" s="849"/>
      <c r="P442" s="837"/>
      <c r="Q442" s="2"/>
      <c r="R442" s="2"/>
      <c r="S442" s="2"/>
      <c r="T442" s="2"/>
      <c r="U442" s="2"/>
      <c r="V442" s="2"/>
      <c r="W442" s="2"/>
      <c r="X442" s="2"/>
      <c r="Y442" s="2"/>
      <c r="Z442" s="2"/>
      <c r="AA442" s="2"/>
    </row>
    <row r="443" spans="1:27" s="1" customFormat="1" x14ac:dyDescent="0.2">
      <c r="A443" s="838"/>
      <c r="B443" s="835"/>
      <c r="C443" s="2"/>
      <c r="D443" s="2"/>
      <c r="E443" s="851"/>
      <c r="F443" s="978" t="str">
        <f>IF('[1]E-ErgInt'!$F443="","",'[1]E-ErgInt'!$F443)</f>
        <v>Letzte Tagebuchzahl</v>
      </c>
      <c r="G443" s="982"/>
      <c r="H443" s="982"/>
      <c r="I443" s="982"/>
      <c r="J443" s="982"/>
      <c r="K443" s="982"/>
      <c r="L443" s="982"/>
      <c r="M443" s="982"/>
      <c r="N443" s="2"/>
      <c r="O443" s="849"/>
      <c r="P443" s="837"/>
      <c r="Q443" s="2"/>
      <c r="R443" s="2"/>
      <c r="S443" s="2"/>
      <c r="T443" s="2"/>
      <c r="U443" s="2"/>
      <c r="V443" s="2"/>
      <c r="W443" s="2"/>
      <c r="X443" s="2"/>
      <c r="Y443" s="2"/>
      <c r="Z443" s="2"/>
      <c r="AA443" s="2"/>
    </row>
    <row r="444" spans="1:27" s="1" customFormat="1" ht="3.95" customHeight="1" x14ac:dyDescent="0.2">
      <c r="A444" s="838"/>
      <c r="B444" s="835"/>
      <c r="C444" s="2"/>
      <c r="D444" s="2"/>
      <c r="E444" s="982"/>
      <c r="F444" s="978"/>
      <c r="G444" s="982"/>
      <c r="H444" s="982"/>
      <c r="I444" s="982"/>
      <c r="J444" s="982"/>
      <c r="K444" s="982"/>
      <c r="L444" s="982"/>
      <c r="M444" s="982"/>
      <c r="N444" s="2"/>
      <c r="O444" s="849"/>
      <c r="P444" s="837"/>
      <c r="Q444" s="2"/>
      <c r="R444" s="2"/>
      <c r="S444" s="2"/>
      <c r="T444" s="2"/>
      <c r="U444" s="2"/>
      <c r="V444" s="2"/>
      <c r="W444" s="2"/>
      <c r="X444" s="2"/>
      <c r="Y444" s="2"/>
      <c r="Z444" s="2"/>
      <c r="AA444" s="2"/>
    </row>
    <row r="445" spans="1:27" s="1" customFormat="1" x14ac:dyDescent="0.2">
      <c r="A445" s="838"/>
      <c r="B445" s="835"/>
      <c r="C445" s="2"/>
      <c r="D445" s="779"/>
      <c r="E445" s="851"/>
      <c r="F445" s="978" t="str">
        <f>IF('[1]E-ErgInt'!$F445="","",'[1]E-ErgInt'!$F445)</f>
        <v>Abfragedatum</v>
      </c>
      <c r="G445" s="2"/>
      <c r="H445" s="2"/>
      <c r="I445" s="2"/>
      <c r="J445" s="2"/>
      <c r="K445" s="2"/>
      <c r="L445" s="2"/>
      <c r="M445" s="2"/>
      <c r="N445" s="2"/>
      <c r="O445" s="849"/>
      <c r="P445" s="837"/>
      <c r="Q445" s="2"/>
      <c r="R445" s="2"/>
      <c r="S445" s="2"/>
      <c r="T445" s="2"/>
      <c r="U445" s="2"/>
      <c r="V445" s="2"/>
      <c r="W445" s="2"/>
      <c r="X445" s="2"/>
      <c r="Y445" s="2"/>
      <c r="Z445" s="2"/>
      <c r="AA445" s="2"/>
    </row>
    <row r="446" spans="1:27" s="1" customFormat="1" ht="12.75" customHeight="1" x14ac:dyDescent="0.2">
      <c r="A446" s="838"/>
      <c r="B446" s="835"/>
      <c r="C446" s="2"/>
      <c r="D446" s="779"/>
      <c r="E446" s="977"/>
      <c r="F446" s="982"/>
      <c r="G446" s="2"/>
      <c r="H446" s="2"/>
      <c r="I446" s="2"/>
      <c r="J446" s="2"/>
      <c r="K446" s="2"/>
      <c r="L446" s="2"/>
      <c r="M446" s="2"/>
      <c r="N446" s="2"/>
      <c r="O446" s="849"/>
      <c r="P446" s="837"/>
      <c r="Q446" s="2"/>
      <c r="R446" s="2"/>
      <c r="S446" s="2"/>
      <c r="T446" s="2"/>
      <c r="U446" s="2"/>
      <c r="V446" s="2"/>
      <c r="W446" s="2"/>
      <c r="X446" s="2"/>
      <c r="Y446" s="2"/>
      <c r="Z446" s="2"/>
      <c r="AA446" s="2"/>
    </row>
    <row r="447" spans="1:27" s="1" customFormat="1" ht="12.75" customHeight="1" x14ac:dyDescent="0.2">
      <c r="A447" s="838"/>
      <c r="B447" s="835"/>
      <c r="C447" s="2"/>
      <c r="D447" s="2" t="s">
        <v>489</v>
      </c>
      <c r="E447" s="2" t="s">
        <v>546</v>
      </c>
      <c r="F447" s="2"/>
      <c r="G447" s="2"/>
      <c r="H447" s="2"/>
      <c r="I447" s="2"/>
      <c r="J447" s="2"/>
      <c r="K447" s="2"/>
      <c r="L447" s="2"/>
      <c r="M447" s="2"/>
      <c r="N447" s="2"/>
      <c r="O447" s="849"/>
      <c r="P447" s="837"/>
      <c r="Q447" s="2"/>
      <c r="R447" s="2"/>
      <c r="S447" s="2"/>
      <c r="T447" s="2"/>
      <c r="U447" s="2"/>
      <c r="V447" s="2"/>
      <c r="W447" s="2"/>
      <c r="X447" s="2"/>
      <c r="Y447" s="2"/>
      <c r="Z447" s="2"/>
      <c r="AA447" s="2"/>
    </row>
    <row r="448" spans="1:27" s="1" customFormat="1" ht="12.75" customHeight="1" x14ac:dyDescent="0.2">
      <c r="A448" s="838"/>
      <c r="B448" s="835"/>
      <c r="C448" s="2"/>
      <c r="D448" s="2"/>
      <c r="E448" s="1170"/>
      <c r="F448" s="1171"/>
      <c r="G448" s="2"/>
      <c r="H448" s="980" t="s">
        <v>547</v>
      </c>
      <c r="I448" s="2"/>
      <c r="J448" s="2"/>
      <c r="K448" s="2"/>
      <c r="L448" s="2"/>
      <c r="M448" s="2"/>
      <c r="N448" s="2"/>
      <c r="O448" s="843" t="str">
        <f>IF(E448="","",IF('[1]E-ErgInt'!E448=E448,Q448,0))</f>
        <v/>
      </c>
      <c r="P448" s="837" t="s">
        <v>463</v>
      </c>
      <c r="Q448" s="837">
        <v>1</v>
      </c>
      <c r="R448" s="2"/>
      <c r="S448" s="2"/>
      <c r="T448" s="2"/>
      <c r="U448" s="2"/>
      <c r="V448" s="2"/>
      <c r="W448" s="2"/>
      <c r="X448" s="2"/>
      <c r="Y448" s="2"/>
      <c r="Z448" s="2"/>
      <c r="AA448" s="2"/>
    </row>
    <row r="449" spans="1:27" s="1" customFormat="1" ht="12.75" customHeight="1" x14ac:dyDescent="0.2">
      <c r="A449" s="838"/>
      <c r="B449" s="835"/>
      <c r="C449" s="2"/>
      <c r="D449" s="2"/>
      <c r="E449" s="2" t="s">
        <v>631</v>
      </c>
      <c r="F449" s="2"/>
      <c r="G449" s="2"/>
      <c r="H449" s="2"/>
      <c r="I449" s="2"/>
      <c r="J449" s="2"/>
      <c r="K449" s="2"/>
      <c r="L449" s="2"/>
      <c r="M449" s="2"/>
      <c r="N449" s="2"/>
      <c r="O449" s="849"/>
      <c r="P449" s="837"/>
      <c r="Q449" s="2"/>
      <c r="R449" s="2"/>
      <c r="S449" s="2"/>
      <c r="T449" s="2"/>
      <c r="U449" s="2"/>
      <c r="V449" s="2"/>
      <c r="W449" s="2"/>
      <c r="X449" s="2"/>
      <c r="Y449" s="2"/>
      <c r="Z449" s="2"/>
      <c r="AA449" s="2"/>
    </row>
    <row r="450" spans="1:27" s="1" customFormat="1" ht="12.75" customHeight="1" x14ac:dyDescent="0.2">
      <c r="A450" s="838"/>
      <c r="B450" s="835"/>
      <c r="C450" s="2"/>
      <c r="D450" s="2"/>
      <c r="E450" s="1170"/>
      <c r="F450" s="1171"/>
      <c r="G450" s="2"/>
      <c r="H450" s="980" t="s">
        <v>547</v>
      </c>
      <c r="I450" s="2"/>
      <c r="J450" s="2"/>
      <c r="K450" s="2"/>
      <c r="L450" s="2"/>
      <c r="M450" s="2"/>
      <c r="N450" s="2"/>
      <c r="O450" s="843" t="str">
        <f>IF(E450="","",IF('[1]E-ErgInt'!E450=E450,Q450,0))</f>
        <v/>
      </c>
      <c r="P450" s="837" t="s">
        <v>463</v>
      </c>
      <c r="Q450" s="837">
        <v>1</v>
      </c>
      <c r="R450" s="2"/>
      <c r="S450" s="2"/>
      <c r="T450" s="2"/>
      <c r="U450" s="2"/>
      <c r="V450" s="2"/>
      <c r="W450" s="2"/>
      <c r="X450" s="2"/>
      <c r="Y450" s="2"/>
      <c r="Z450" s="2"/>
      <c r="AA450" s="2"/>
    </row>
    <row r="451" spans="1:27" s="1" customFormat="1" ht="12.75" customHeight="1" x14ac:dyDescent="0.2">
      <c r="A451" s="838"/>
      <c r="B451" s="835"/>
      <c r="C451" s="2"/>
      <c r="D451" s="2"/>
      <c r="E451" s="2"/>
      <c r="F451" s="2"/>
      <c r="G451" s="2"/>
      <c r="H451" s="2"/>
      <c r="I451" s="2"/>
      <c r="J451" s="2"/>
      <c r="K451" s="2"/>
      <c r="L451" s="2"/>
      <c r="M451" s="2"/>
      <c r="N451" s="2"/>
      <c r="O451" s="849"/>
      <c r="P451" s="837"/>
      <c r="Q451" s="2"/>
      <c r="R451" s="2"/>
      <c r="S451" s="2"/>
      <c r="T451" s="2"/>
      <c r="U451" s="2"/>
      <c r="V451" s="2"/>
      <c r="W451" s="2"/>
      <c r="X451" s="2"/>
      <c r="Y451" s="2"/>
      <c r="Z451" s="2"/>
      <c r="AA451" s="2"/>
    </row>
    <row r="452" spans="1:27" s="1" customFormat="1" ht="12.75" customHeight="1" x14ac:dyDescent="0.2">
      <c r="A452" s="838"/>
      <c r="B452" s="835"/>
      <c r="C452" s="2"/>
      <c r="D452" s="2"/>
      <c r="E452" s="2" t="s">
        <v>548</v>
      </c>
      <c r="F452" s="2"/>
      <c r="G452" s="2"/>
      <c r="H452" s="2"/>
      <c r="I452" s="2"/>
      <c r="J452" s="2"/>
      <c r="K452" s="2"/>
      <c r="L452" s="2"/>
      <c r="M452" s="2"/>
      <c r="N452" s="2"/>
      <c r="O452" s="849"/>
      <c r="P452" s="837"/>
      <c r="Q452" s="2"/>
      <c r="R452" s="2"/>
      <c r="S452" s="2"/>
      <c r="T452" s="2"/>
      <c r="U452" s="2"/>
      <c r="V452" s="2"/>
      <c r="W452" s="2"/>
      <c r="X452" s="2"/>
      <c r="Y452" s="2"/>
      <c r="Z452" s="2"/>
      <c r="AA452" s="2"/>
    </row>
    <row r="453" spans="1:27" s="1" customFormat="1" ht="12.75" customHeight="1" x14ac:dyDescent="0.2">
      <c r="A453" s="838"/>
      <c r="B453" s="835"/>
      <c r="C453" s="2"/>
      <c r="D453" s="2"/>
      <c r="E453" s="1170"/>
      <c r="F453" s="1171"/>
      <c r="G453" s="2"/>
      <c r="H453" s="980" t="s">
        <v>547</v>
      </c>
      <c r="I453" s="2"/>
      <c r="J453" s="2"/>
      <c r="K453" s="2"/>
      <c r="L453" s="2"/>
      <c r="M453" s="2"/>
      <c r="N453" s="2"/>
      <c r="O453" s="843" t="str">
        <f>IF(E453="","",IF('[1]E-ErgInt'!E453=E453,Q453,0))</f>
        <v/>
      </c>
      <c r="P453" s="837" t="s">
        <v>463</v>
      </c>
      <c r="Q453" s="837">
        <v>1</v>
      </c>
      <c r="R453" s="707"/>
      <c r="S453" s="707"/>
      <c r="T453" s="707"/>
      <c r="U453" s="707"/>
      <c r="V453" s="2"/>
      <c r="W453" s="2"/>
      <c r="X453" s="2"/>
      <c r="Y453" s="2"/>
      <c r="Z453" s="2"/>
      <c r="AA453" s="2"/>
    </row>
    <row r="454" spans="1:27" s="1" customFormat="1" ht="12.75" customHeight="1" x14ac:dyDescent="0.2">
      <c r="A454" s="838"/>
      <c r="B454" s="835"/>
      <c r="C454" s="2"/>
      <c r="D454" s="2"/>
      <c r="E454" s="2"/>
      <c r="F454" s="2"/>
      <c r="G454" s="2"/>
      <c r="H454" s="2"/>
      <c r="I454" s="2"/>
      <c r="J454" s="2"/>
      <c r="K454" s="2"/>
      <c r="L454" s="2"/>
      <c r="M454" s="2"/>
      <c r="N454" s="2"/>
      <c r="O454" s="849"/>
      <c r="P454" s="837"/>
      <c r="Q454" s="2"/>
      <c r="R454" s="2"/>
      <c r="S454" s="2"/>
      <c r="T454" s="2"/>
      <c r="U454" s="2"/>
      <c r="V454" s="2"/>
      <c r="W454" s="2"/>
      <c r="X454" s="2"/>
      <c r="Y454" s="2"/>
      <c r="Z454" s="2"/>
      <c r="AA454" s="2"/>
    </row>
    <row r="455" spans="1:27" s="1" customFormat="1" ht="12.75" customHeight="1" x14ac:dyDescent="0.2">
      <c r="A455" s="838"/>
      <c r="B455" s="835"/>
      <c r="C455" s="2"/>
      <c r="D455" s="2" t="s">
        <v>494</v>
      </c>
      <c r="E455" s="983" t="s">
        <v>549</v>
      </c>
      <c r="F455" s="2"/>
      <c r="G455" s="2"/>
      <c r="H455" s="2"/>
      <c r="I455" s="2"/>
      <c r="J455" s="2"/>
      <c r="K455" s="2"/>
      <c r="L455" s="2"/>
      <c r="M455" s="2"/>
      <c r="N455" s="2"/>
      <c r="O455" s="849"/>
      <c r="P455" s="837"/>
      <c r="Q455" s="2"/>
      <c r="R455" s="2"/>
      <c r="S455" s="2"/>
      <c r="T455" s="2"/>
      <c r="U455" s="2"/>
      <c r="V455" s="2"/>
      <c r="W455" s="2"/>
      <c r="X455" s="2"/>
      <c r="Y455" s="2"/>
      <c r="Z455" s="2"/>
      <c r="AA455" s="2"/>
    </row>
    <row r="456" spans="1:27" s="1" customFormat="1" ht="12.75" customHeight="1" x14ac:dyDescent="0.2">
      <c r="A456" s="838"/>
      <c r="B456" s="835"/>
      <c r="C456" s="2"/>
      <c r="D456" s="2"/>
      <c r="E456" s="1165"/>
      <c r="F456" s="1167"/>
      <c r="G456" s="2"/>
      <c r="H456" s="980" t="s">
        <v>550</v>
      </c>
      <c r="I456" s="2"/>
      <c r="J456" s="2"/>
      <c r="K456" s="2"/>
      <c r="L456" s="2"/>
      <c r="M456" s="2"/>
      <c r="N456" s="2"/>
      <c r="O456" s="843" t="str">
        <f>IF(E456="","",IF('[1]E-ErgInt'!E456=E456,Q456,0))</f>
        <v/>
      </c>
      <c r="P456" s="837" t="s">
        <v>463</v>
      </c>
      <c r="Q456" s="837">
        <v>1</v>
      </c>
      <c r="R456" s="2"/>
      <c r="S456" s="2"/>
      <c r="T456" s="2"/>
      <c r="U456" s="2"/>
      <c r="V456" s="2"/>
      <c r="W456" s="2"/>
      <c r="X456" s="2"/>
      <c r="Y456" s="2"/>
      <c r="Z456" s="2"/>
      <c r="AA456" s="2"/>
    </row>
    <row r="457" spans="1:27" s="1" customFormat="1" ht="12.75" customHeight="1" x14ac:dyDescent="0.2">
      <c r="A457" s="838"/>
      <c r="B457" s="835"/>
      <c r="C457" s="2"/>
      <c r="D457" s="2"/>
      <c r="E457" s="2"/>
      <c r="F457" s="2"/>
      <c r="G457" s="2"/>
      <c r="H457" s="2"/>
      <c r="I457" s="2"/>
      <c r="J457" s="2"/>
      <c r="K457" s="2"/>
      <c r="L457" s="2"/>
      <c r="M457" s="2"/>
      <c r="N457" s="2"/>
      <c r="O457" s="849"/>
      <c r="P457" s="837"/>
      <c r="Q457" s="2"/>
      <c r="R457" s="2"/>
      <c r="S457" s="2"/>
      <c r="T457" s="2"/>
      <c r="U457" s="2"/>
      <c r="V457" s="2"/>
      <c r="W457" s="2"/>
      <c r="X457" s="2"/>
      <c r="Y457" s="2"/>
      <c r="Z457" s="2"/>
      <c r="AA457" s="2"/>
    </row>
    <row r="458" spans="1:27" s="1" customFormat="1" ht="12.75" customHeight="1" x14ac:dyDescent="0.2">
      <c r="A458" s="838"/>
      <c r="B458" s="835"/>
      <c r="C458" s="2"/>
      <c r="D458" s="2" t="s">
        <v>551</v>
      </c>
      <c r="E458" s="983" t="s">
        <v>552</v>
      </c>
      <c r="F458" s="2"/>
      <c r="G458" s="2"/>
      <c r="H458" s="2"/>
      <c r="I458" s="2"/>
      <c r="J458" s="2"/>
      <c r="K458" s="2"/>
      <c r="L458" s="2"/>
      <c r="M458" s="2"/>
      <c r="N458" s="2"/>
      <c r="O458" s="849"/>
      <c r="P458" s="837"/>
      <c r="Q458" s="2"/>
      <c r="R458" s="2"/>
      <c r="S458" s="2"/>
      <c r="T458" s="2"/>
      <c r="U458" s="2"/>
      <c r="V458" s="2"/>
      <c r="W458" s="2"/>
      <c r="X458" s="2"/>
      <c r="Y458" s="2"/>
      <c r="Z458" s="2"/>
      <c r="AA458" s="2"/>
    </row>
    <row r="459" spans="1:27" s="1" customFormat="1" ht="12.75" customHeight="1" x14ac:dyDescent="0.2">
      <c r="A459" s="838"/>
      <c r="B459" s="835"/>
      <c r="C459" s="2"/>
      <c r="D459" s="2"/>
      <c r="E459" s="1175"/>
      <c r="F459" s="1176"/>
      <c r="G459" s="511"/>
      <c r="H459" s="2" t="s">
        <v>632</v>
      </c>
      <c r="I459" s="2"/>
      <c r="J459" s="2"/>
      <c r="K459" s="2"/>
      <c r="L459" s="2"/>
      <c r="M459" s="2"/>
      <c r="N459" s="2"/>
      <c r="O459" s="843" t="str">
        <f>IF(E459="","",IF('[1]E-ErgInt'!E459=E459,Q459,0))</f>
        <v/>
      </c>
      <c r="P459" s="837" t="s">
        <v>463</v>
      </c>
      <c r="Q459" s="837">
        <v>1</v>
      </c>
      <c r="R459" s="2"/>
      <c r="S459" s="2"/>
      <c r="T459" s="2"/>
      <c r="U459" s="2"/>
      <c r="V459" s="2"/>
      <c r="W459" s="2"/>
      <c r="X459" s="2"/>
      <c r="Y459" s="2"/>
      <c r="Z459" s="2"/>
      <c r="AA459" s="2"/>
    </row>
    <row r="460" spans="1:27" s="1" customFormat="1" ht="3.95" customHeight="1" x14ac:dyDescent="0.2">
      <c r="A460" s="838"/>
      <c r="B460" s="835"/>
      <c r="C460" s="2"/>
      <c r="D460" s="2"/>
      <c r="E460" s="2"/>
      <c r="F460" s="2"/>
      <c r="G460" s="2"/>
      <c r="H460" s="2"/>
      <c r="I460" s="2"/>
      <c r="J460" s="2"/>
      <c r="K460" s="2"/>
      <c r="L460" s="2"/>
      <c r="M460" s="2"/>
      <c r="N460" s="2"/>
      <c r="O460" s="849"/>
      <c r="P460" s="837"/>
      <c r="Q460" s="2"/>
      <c r="R460" s="2"/>
      <c r="S460" s="2"/>
      <c r="T460" s="2"/>
      <c r="U460" s="2"/>
      <c r="V460" s="2"/>
      <c r="W460" s="2"/>
      <c r="X460" s="2"/>
      <c r="Y460" s="2"/>
      <c r="Z460" s="2"/>
      <c r="AA460" s="2"/>
    </row>
    <row r="461" spans="1:27" s="1" customFormat="1" ht="12.75" customHeight="1" x14ac:dyDescent="0.2">
      <c r="A461" s="838"/>
      <c r="B461" s="835"/>
      <c r="C461" s="2"/>
      <c r="D461" s="2"/>
      <c r="E461" s="1179"/>
      <c r="F461" s="1180"/>
      <c r="G461" s="511"/>
      <c r="H461" s="2" t="s">
        <v>633</v>
      </c>
      <c r="I461" s="2"/>
      <c r="J461" s="2"/>
      <c r="K461" s="2"/>
      <c r="L461" s="2"/>
      <c r="M461" s="2"/>
      <c r="N461" s="2"/>
      <c r="O461" s="843" t="str">
        <f>IF(E461="","",IF('[1]E-ErgInt'!E461=E461,Q461,0))</f>
        <v/>
      </c>
      <c r="P461" s="837" t="s">
        <v>463</v>
      </c>
      <c r="Q461" s="837">
        <v>1</v>
      </c>
      <c r="R461" s="2"/>
      <c r="S461" s="2"/>
      <c r="T461" s="2"/>
      <c r="U461" s="2"/>
      <c r="V461" s="2"/>
      <c r="W461" s="2"/>
      <c r="X461" s="2"/>
      <c r="Y461" s="2"/>
      <c r="Z461" s="2"/>
      <c r="AA461" s="2"/>
    </row>
    <row r="462" spans="1:27" s="1" customFormat="1" ht="12.75" customHeight="1" x14ac:dyDescent="0.2">
      <c r="A462" s="838"/>
      <c r="B462" s="835"/>
      <c r="C462" s="2"/>
      <c r="D462" s="2"/>
      <c r="E462" s="2"/>
      <c r="F462" s="2"/>
      <c r="G462" s="2"/>
      <c r="H462" s="2"/>
      <c r="I462" s="2"/>
      <c r="J462" s="2"/>
      <c r="K462" s="2"/>
      <c r="L462" s="2"/>
      <c r="M462" s="2"/>
      <c r="N462" s="2"/>
      <c r="O462" s="849"/>
      <c r="P462" s="837"/>
      <c r="Q462" s="2"/>
      <c r="R462" s="2"/>
      <c r="S462" s="2"/>
      <c r="T462" s="2"/>
      <c r="U462" s="2"/>
      <c r="V462" s="2"/>
      <c r="W462" s="2"/>
      <c r="X462" s="2"/>
      <c r="Y462" s="2"/>
      <c r="Z462" s="2"/>
      <c r="AA462" s="2"/>
    </row>
    <row r="463" spans="1:27" s="1" customFormat="1" ht="12.75" customHeight="1" x14ac:dyDescent="0.2">
      <c r="A463" s="838"/>
      <c r="B463" s="835"/>
      <c r="C463" s="2"/>
      <c r="D463" s="2" t="s">
        <v>553</v>
      </c>
      <c r="E463" s="983" t="s">
        <v>554</v>
      </c>
      <c r="F463" s="2"/>
      <c r="G463" s="2"/>
      <c r="H463" s="2"/>
      <c r="I463" s="2"/>
      <c r="J463" s="2"/>
      <c r="K463" s="2"/>
      <c r="L463" s="2"/>
      <c r="M463" s="2"/>
      <c r="N463" s="2"/>
      <c r="O463" s="849"/>
      <c r="P463" s="837"/>
      <c r="Q463" s="2"/>
      <c r="R463" s="2"/>
      <c r="S463" s="2"/>
      <c r="T463" s="2"/>
      <c r="U463" s="2"/>
      <c r="V463" s="2"/>
      <c r="W463" s="2"/>
      <c r="X463" s="2"/>
      <c r="Y463" s="2"/>
      <c r="Z463" s="2"/>
      <c r="AA463" s="2"/>
    </row>
    <row r="464" spans="1:27" s="1" customFormat="1" ht="12.75" customHeight="1" x14ac:dyDescent="0.2">
      <c r="A464" s="838"/>
      <c r="B464" s="835"/>
      <c r="C464" s="2"/>
      <c r="D464" s="2"/>
      <c r="E464" s="1170"/>
      <c r="F464" s="1171"/>
      <c r="G464" s="2"/>
      <c r="H464" s="980" t="s">
        <v>547</v>
      </c>
      <c r="I464" s="2"/>
      <c r="J464" s="2"/>
      <c r="K464" s="2"/>
      <c r="L464" s="2"/>
      <c r="M464" s="2"/>
      <c r="N464" s="2"/>
      <c r="O464" s="843" t="str">
        <f>IF(E464="","",IF('[1]E-ErgInt'!E464=E464,Q464,0))</f>
        <v/>
      </c>
      <c r="P464" s="837" t="s">
        <v>463</v>
      </c>
      <c r="Q464" s="837">
        <v>1</v>
      </c>
      <c r="R464" s="2"/>
      <c r="S464" s="2"/>
      <c r="T464" s="2"/>
      <c r="U464" s="2"/>
      <c r="V464" s="2"/>
      <c r="W464" s="2"/>
      <c r="X464" s="2"/>
      <c r="Y464" s="2"/>
      <c r="Z464" s="2"/>
      <c r="AA464" s="2"/>
    </row>
    <row r="465" spans="1:27" s="1" customFormat="1" ht="12.75" customHeight="1" x14ac:dyDescent="0.2">
      <c r="A465" s="838"/>
      <c r="B465" s="835"/>
      <c r="C465" s="2"/>
      <c r="D465" s="2"/>
      <c r="E465" s="2" t="s">
        <v>631</v>
      </c>
      <c r="F465" s="2"/>
      <c r="G465" s="2"/>
      <c r="H465" s="2"/>
      <c r="I465" s="2"/>
      <c r="J465" s="2"/>
      <c r="K465" s="2"/>
      <c r="L465" s="2"/>
      <c r="M465" s="2"/>
      <c r="N465" s="2"/>
      <c r="O465" s="849"/>
      <c r="P465" s="837"/>
      <c r="Q465" s="2"/>
      <c r="R465" s="2"/>
      <c r="S465" s="2"/>
      <c r="T465" s="2"/>
      <c r="U465" s="2"/>
      <c r="V465" s="2"/>
      <c r="W465" s="2"/>
      <c r="X465" s="2"/>
      <c r="Y465" s="2"/>
      <c r="Z465" s="2"/>
      <c r="AA465" s="2"/>
    </row>
    <row r="466" spans="1:27" s="1" customFormat="1" ht="12.75" customHeight="1" x14ac:dyDescent="0.2">
      <c r="A466" s="838"/>
      <c r="B466" s="835"/>
      <c r="C466" s="2"/>
      <c r="D466" s="2"/>
      <c r="E466" s="1170"/>
      <c r="F466" s="1171"/>
      <c r="G466" s="2"/>
      <c r="H466" s="980" t="s">
        <v>547</v>
      </c>
      <c r="I466" s="2"/>
      <c r="J466" s="2"/>
      <c r="K466" s="2"/>
      <c r="L466" s="2"/>
      <c r="M466" s="2"/>
      <c r="N466" s="2"/>
      <c r="O466" s="843" t="str">
        <f>IF(E466="","",IF('[1]E-ErgInt'!E466=E466,Q466,0))</f>
        <v/>
      </c>
      <c r="P466" s="837" t="s">
        <v>463</v>
      </c>
      <c r="Q466" s="837">
        <v>1</v>
      </c>
      <c r="R466" s="2"/>
      <c r="S466" s="2"/>
      <c r="T466" s="2"/>
      <c r="U466" s="2"/>
      <c r="V466" s="2"/>
      <c r="W466" s="2"/>
      <c r="X466" s="2"/>
      <c r="Y466" s="2"/>
      <c r="Z466" s="2"/>
      <c r="AA466" s="2"/>
    </row>
    <row r="467" spans="1:27" s="1" customFormat="1" ht="12.75" customHeight="1" x14ac:dyDescent="0.2">
      <c r="A467" s="838"/>
      <c r="B467" s="835"/>
      <c r="C467" s="2"/>
      <c r="D467" s="2"/>
      <c r="E467" s="2"/>
      <c r="F467" s="2"/>
      <c r="G467" s="2"/>
      <c r="H467" s="2"/>
      <c r="I467" s="2"/>
      <c r="J467" s="2"/>
      <c r="K467" s="2"/>
      <c r="L467" s="2"/>
      <c r="M467" s="2"/>
      <c r="N467" s="2"/>
      <c r="O467" s="849"/>
      <c r="P467" s="837"/>
      <c r="Q467" s="2"/>
      <c r="R467" s="2"/>
      <c r="S467" s="2"/>
      <c r="T467" s="2"/>
      <c r="U467" s="2"/>
      <c r="V467" s="2"/>
      <c r="W467" s="2"/>
      <c r="X467" s="2"/>
      <c r="Y467" s="2"/>
      <c r="Z467" s="2"/>
      <c r="AA467" s="2"/>
    </row>
    <row r="468" spans="1:27" s="1" customFormat="1" ht="12.75" customHeight="1" x14ac:dyDescent="0.2">
      <c r="A468" s="838"/>
      <c r="B468" s="835"/>
      <c r="C468" s="2"/>
      <c r="D468" s="860" t="s">
        <v>555</v>
      </c>
      <c r="E468" s="984" t="s">
        <v>556</v>
      </c>
      <c r="F468" s="984"/>
      <c r="G468" s="984"/>
      <c r="H468" s="984"/>
      <c r="I468" s="984"/>
      <c r="J468" s="984"/>
      <c r="K468" s="984"/>
      <c r="L468" s="984"/>
      <c r="M468" s="984"/>
      <c r="N468" s="2"/>
      <c r="O468" s="849"/>
      <c r="P468" s="837"/>
      <c r="Q468" s="2"/>
      <c r="R468" s="2"/>
      <c r="S468" s="974" t="s">
        <v>557</v>
      </c>
      <c r="T468" s="975"/>
      <c r="U468" s="2"/>
      <c r="V468" s="2"/>
      <c r="W468" s="2"/>
      <c r="X468" s="2"/>
      <c r="Y468" s="2"/>
      <c r="Z468" s="2"/>
      <c r="AA468" s="2"/>
    </row>
    <row r="469" spans="1:27" s="1" customFormat="1" ht="12.75" customHeight="1" x14ac:dyDescent="0.2">
      <c r="A469" s="838"/>
      <c r="B469" s="835"/>
      <c r="C469" s="2"/>
      <c r="D469" s="860"/>
      <c r="E469" s="2" t="s">
        <v>634</v>
      </c>
      <c r="F469" s="985"/>
      <c r="G469" s="985"/>
      <c r="H469" s="985"/>
      <c r="I469" s="985"/>
      <c r="J469" s="985"/>
      <c r="K469" s="985"/>
      <c r="L469" s="985"/>
      <c r="M469" s="985"/>
      <c r="N469" s="2"/>
      <c r="O469" s="849"/>
      <c r="P469" s="837"/>
      <c r="Q469" s="2"/>
      <c r="R469" s="2"/>
      <c r="S469" s="2" t="str">
        <f>IF('[1]E-ErgInt'!S469="","",'[1]E-ErgInt'!S469)</f>
        <v>Kerber Hans-Peter</v>
      </c>
      <c r="T469" s="2"/>
      <c r="U469" s="2"/>
      <c r="V469" s="2"/>
      <c r="W469" s="2"/>
      <c r="X469" s="2"/>
      <c r="Y469" s="2"/>
      <c r="Z469" s="2"/>
      <c r="AA469" s="2"/>
    </row>
    <row r="470" spans="1:27" s="1" customFormat="1" ht="12.75" customHeight="1" x14ac:dyDescent="0.2">
      <c r="A470" s="838"/>
      <c r="B470" s="835"/>
      <c r="C470" s="2"/>
      <c r="D470" s="860"/>
      <c r="E470" s="1177"/>
      <c r="F470" s="1178"/>
      <c r="G470" s="985"/>
      <c r="H470" s="985"/>
      <c r="I470" s="985"/>
      <c r="J470" s="985"/>
      <c r="K470" s="985"/>
      <c r="L470" s="985"/>
      <c r="M470" s="985"/>
      <c r="N470" s="2"/>
      <c r="O470" s="843" t="str">
        <f>IF(E470="","",IF('[1]E-ErgInt'!E470=E470,Q470,0))</f>
        <v/>
      </c>
      <c r="P470" s="837" t="s">
        <v>463</v>
      </c>
      <c r="Q470" s="837">
        <v>1</v>
      </c>
      <c r="R470" s="2"/>
      <c r="S470" s="2" t="str">
        <f>IF('[1]E-ErgInt'!S470="","",'[1]E-ErgInt'!S470)</f>
        <v>Elisabeth Müller</v>
      </c>
      <c r="T470" s="2"/>
      <c r="U470" s="2"/>
      <c r="V470" s="2"/>
      <c r="W470" s="2"/>
      <c r="X470" s="2"/>
      <c r="Y470" s="2"/>
      <c r="Z470" s="2"/>
      <c r="AA470" s="2"/>
    </row>
    <row r="471" spans="1:27" s="1" customFormat="1" ht="12.75" customHeight="1" x14ac:dyDescent="0.2">
      <c r="A471" s="838"/>
      <c r="B471" s="835"/>
      <c r="C471" s="2"/>
      <c r="D471" s="2"/>
      <c r="E471" s="2" t="s">
        <v>635</v>
      </c>
      <c r="F471" s="2"/>
      <c r="G471" s="2"/>
      <c r="H471" s="2"/>
      <c r="I471" s="2"/>
      <c r="J471" s="2"/>
      <c r="K471" s="2"/>
      <c r="L471" s="2"/>
      <c r="M471" s="2"/>
      <c r="N471" s="2"/>
      <c r="O471" s="849"/>
      <c r="P471" s="837"/>
      <c r="Q471" s="2"/>
      <c r="R471" s="2"/>
      <c r="S471" s="2" t="str">
        <f>IF('[1]E-ErgInt'!S471="","",'[1]E-ErgInt'!S471)</f>
        <v>Jäger Franziska</v>
      </c>
      <c r="T471" s="2"/>
      <c r="U471" s="2"/>
      <c r="V471" s="2"/>
      <c r="W471" s="2"/>
      <c r="X471" s="2"/>
      <c r="Y471" s="2"/>
      <c r="Z471" s="2"/>
      <c r="AA471" s="2"/>
    </row>
    <row r="472" spans="1:27" s="1" customFormat="1" ht="12.75" customHeight="1" x14ac:dyDescent="0.2">
      <c r="A472" s="838"/>
      <c r="B472" s="835"/>
      <c r="C472" s="2"/>
      <c r="D472" s="2"/>
      <c r="E472" s="1165"/>
      <c r="F472" s="1166"/>
      <c r="G472" s="1166"/>
      <c r="H472" s="1166"/>
      <c r="I472" s="1166"/>
      <c r="J472" s="1166"/>
      <c r="K472" s="1166"/>
      <c r="L472" s="1166"/>
      <c r="M472" s="1167"/>
      <c r="N472" s="2"/>
      <c r="O472" s="843" t="str">
        <f>IF(E472="","",IF('[1]E-ErgInt'!E472=E472,Q472,0))</f>
        <v/>
      </c>
      <c r="P472" s="837" t="s">
        <v>463</v>
      </c>
      <c r="Q472" s="837">
        <v>1</v>
      </c>
      <c r="R472" s="2"/>
      <c r="S472" s="2" t="str">
        <f>IF('[1]E-ErgInt'!S472="","",'[1]E-ErgInt'!S472)</f>
        <v>Silberbauer Hans</v>
      </c>
      <c r="T472" s="2"/>
      <c r="U472" s="2"/>
      <c r="V472" s="2"/>
      <c r="W472" s="2"/>
      <c r="X472" s="2"/>
      <c r="Y472" s="2"/>
      <c r="Z472" s="2"/>
      <c r="AA472" s="2"/>
    </row>
    <row r="473" spans="1:27" s="1" customFormat="1" ht="12.75" customHeight="1" x14ac:dyDescent="0.2">
      <c r="A473" s="838"/>
      <c r="B473" s="835"/>
      <c r="C473" s="2"/>
      <c r="D473" s="2"/>
      <c r="E473" s="2" t="s">
        <v>636</v>
      </c>
      <c r="F473" s="2"/>
      <c r="G473" s="2"/>
      <c r="H473" s="2"/>
      <c r="I473" s="2"/>
      <c r="J473" s="2"/>
      <c r="K473" s="2"/>
      <c r="L473" s="2"/>
      <c r="M473" s="2"/>
      <c r="N473" s="2"/>
      <c r="O473" s="849"/>
      <c r="P473" s="837"/>
      <c r="Q473" s="2"/>
      <c r="R473" s="2"/>
      <c r="S473" s="979" t="str">
        <f>IF('[1]E-ErgInt'!S473="","",'[1]E-ErgInt'!S473)</f>
        <v>Karl Kreuzer</v>
      </c>
      <c r="T473" s="857"/>
      <c r="U473" s="2"/>
      <c r="V473" s="2"/>
      <c r="W473" s="2"/>
      <c r="X473" s="2"/>
      <c r="Y473" s="2"/>
      <c r="Z473" s="2"/>
      <c r="AA473" s="2"/>
    </row>
    <row r="474" spans="1:27" s="1" customFormat="1" ht="12.75" customHeight="1" x14ac:dyDescent="0.2">
      <c r="A474" s="838"/>
      <c r="B474" s="835"/>
      <c r="C474" s="2"/>
      <c r="D474" s="2"/>
      <c r="E474" s="1168"/>
      <c r="F474" s="1169"/>
      <c r="G474" s="846"/>
      <c r="H474" s="980"/>
      <c r="I474" s="2"/>
      <c r="J474" s="2"/>
      <c r="K474" s="2"/>
      <c r="L474" s="2"/>
      <c r="M474" s="2"/>
      <c r="N474" s="2"/>
      <c r="O474" s="843" t="str">
        <f>IF(E474="","",IF('[1]E-ErgInt'!E474=E474,Q474,0))</f>
        <v/>
      </c>
      <c r="P474" s="837" t="s">
        <v>463</v>
      </c>
      <c r="Q474" s="837">
        <v>1</v>
      </c>
      <c r="R474" s="2"/>
      <c r="S474" s="2" t="str">
        <f>IF('[1]E-ErgInt'!S474="","",'[1]E-ErgInt'!S474)</f>
        <v>Huber Josef</v>
      </c>
      <c r="T474" s="2"/>
      <c r="U474" s="2"/>
      <c r="V474" s="2"/>
      <c r="W474" s="2"/>
      <c r="X474" s="2"/>
      <c r="Y474" s="2"/>
      <c r="Z474" s="2"/>
      <c r="AA474" s="2"/>
    </row>
    <row r="475" spans="1:27" s="1" customFormat="1" ht="12.75" customHeight="1" x14ac:dyDescent="0.2">
      <c r="A475" s="838"/>
      <c r="B475" s="835"/>
      <c r="C475" s="2"/>
      <c r="D475" s="2"/>
      <c r="E475" s="2"/>
      <c r="F475" s="2"/>
      <c r="G475" s="2"/>
      <c r="H475" s="2"/>
      <c r="I475" s="2"/>
      <c r="J475" s="2"/>
      <c r="K475" s="2"/>
      <c r="L475" s="2"/>
      <c r="M475" s="2"/>
      <c r="N475" s="2"/>
      <c r="O475" s="849"/>
      <c r="P475" s="837"/>
      <c r="Q475" s="2"/>
      <c r="R475" s="2"/>
      <c r="S475" s="2" t="str">
        <f>IF('[1]E-ErgInt'!S475="","",'[1]E-ErgInt'!S475)</f>
        <v>Neururer Alexandra</v>
      </c>
      <c r="T475" s="2"/>
      <c r="U475" s="2"/>
      <c r="V475" s="2"/>
      <c r="W475" s="2"/>
      <c r="X475" s="2"/>
      <c r="Y475" s="2"/>
      <c r="Z475" s="2"/>
      <c r="AA475" s="2"/>
    </row>
    <row r="476" spans="1:27" s="1" customFormat="1" ht="12.75" customHeight="1" x14ac:dyDescent="0.2">
      <c r="A476" s="838"/>
      <c r="B476" s="835"/>
      <c r="C476" s="2"/>
      <c r="D476" s="2" t="s">
        <v>558</v>
      </c>
      <c r="E476" s="983" t="s">
        <v>559</v>
      </c>
      <c r="F476" s="2"/>
      <c r="G476" s="2"/>
      <c r="H476" s="2"/>
      <c r="I476" s="2"/>
      <c r="J476" s="2"/>
      <c r="K476" s="2"/>
      <c r="L476" s="2"/>
      <c r="M476" s="2"/>
      <c r="N476" s="2"/>
      <c r="O476" s="849"/>
      <c r="P476" s="837"/>
      <c r="Q476" s="2"/>
      <c r="R476" s="2"/>
      <c r="S476" s="2"/>
      <c r="T476" s="2"/>
      <c r="U476" s="2"/>
      <c r="V476" s="2"/>
      <c r="W476" s="2"/>
      <c r="X476" s="2"/>
      <c r="Y476" s="2"/>
      <c r="Z476" s="2"/>
      <c r="AA476" s="2"/>
    </row>
    <row r="477" spans="1:27" s="1" customFormat="1" ht="12.75" customHeight="1" x14ac:dyDescent="0.2">
      <c r="A477" s="838"/>
      <c r="B477" s="835"/>
      <c r="C477" s="2"/>
      <c r="D477" s="2"/>
      <c r="E477" s="1170"/>
      <c r="F477" s="1171"/>
      <c r="G477" s="2"/>
      <c r="H477" s="980" t="s">
        <v>547</v>
      </c>
      <c r="I477" s="2"/>
      <c r="J477" s="2"/>
      <c r="K477" s="2"/>
      <c r="L477" s="2"/>
      <c r="M477" s="2"/>
      <c r="N477" s="2"/>
      <c r="O477" s="843" t="str">
        <f>IF(E477="","",IF('[1]E-ErgInt'!E477=E477,Q477,0))</f>
        <v/>
      </c>
      <c r="P477" s="837" t="s">
        <v>463</v>
      </c>
      <c r="Q477" s="837">
        <v>1</v>
      </c>
      <c r="R477" s="2"/>
      <c r="S477" s="2"/>
      <c r="T477" s="2"/>
      <c r="U477" s="2"/>
      <c r="V477" s="2"/>
      <c r="W477" s="2"/>
      <c r="X477" s="2"/>
      <c r="Y477" s="2"/>
      <c r="Z477" s="2"/>
      <c r="AA477" s="2"/>
    </row>
    <row r="478" spans="1:27" s="1" customFormat="1" ht="12.75" customHeight="1" x14ac:dyDescent="0.2">
      <c r="A478" s="838"/>
      <c r="B478" s="835"/>
      <c r="C478" s="2"/>
      <c r="D478" s="2"/>
      <c r="E478" s="2" t="s">
        <v>631</v>
      </c>
      <c r="F478" s="2"/>
      <c r="G478" s="2"/>
      <c r="H478" s="2"/>
      <c r="I478" s="2"/>
      <c r="J478" s="2"/>
      <c r="K478" s="2"/>
      <c r="L478" s="2"/>
      <c r="M478" s="2"/>
      <c r="N478" s="2"/>
      <c r="O478" s="849"/>
      <c r="P478" s="837"/>
      <c r="Q478" s="2"/>
      <c r="R478" s="2"/>
      <c r="S478" s="2"/>
      <c r="T478" s="2"/>
      <c r="U478" s="2"/>
      <c r="V478" s="2"/>
      <c r="W478" s="2"/>
      <c r="X478" s="2"/>
      <c r="Y478" s="2"/>
      <c r="Z478" s="2"/>
      <c r="AA478" s="2"/>
    </row>
    <row r="479" spans="1:27" s="1" customFormat="1" ht="12.75" customHeight="1" x14ac:dyDescent="0.2">
      <c r="A479" s="838"/>
      <c r="B479" s="835"/>
      <c r="C479" s="2"/>
      <c r="D479" s="2"/>
      <c r="E479" s="1170"/>
      <c r="F479" s="1171"/>
      <c r="G479" s="2"/>
      <c r="H479" s="980" t="s">
        <v>547</v>
      </c>
      <c r="I479" s="2"/>
      <c r="J479" s="2"/>
      <c r="K479" s="2"/>
      <c r="L479" s="2"/>
      <c r="M479" s="2"/>
      <c r="N479" s="2"/>
      <c r="O479" s="843" t="str">
        <f>IF(E479="","",IF('[1]E-ErgInt'!E479=E479,Q479,0))</f>
        <v/>
      </c>
      <c r="P479" s="837" t="s">
        <v>463</v>
      </c>
      <c r="Q479" s="837">
        <v>1</v>
      </c>
      <c r="R479" s="2"/>
      <c r="S479" s="974" t="s">
        <v>560</v>
      </c>
      <c r="T479" s="2"/>
      <c r="U479" s="2"/>
      <c r="V479" s="2"/>
      <c r="W479" s="2"/>
      <c r="X479" s="2"/>
      <c r="Y479" s="2"/>
      <c r="Z479" s="2"/>
      <c r="AA479" s="2"/>
    </row>
    <row r="480" spans="1:27" s="1" customFormat="1" ht="12.75" customHeight="1" x14ac:dyDescent="0.2">
      <c r="A480" s="838"/>
      <c r="B480" s="835"/>
      <c r="C480" s="2"/>
      <c r="D480" s="2"/>
      <c r="E480" s="2"/>
      <c r="F480" s="2"/>
      <c r="G480" s="2"/>
      <c r="H480" s="2"/>
      <c r="I480" s="2"/>
      <c r="J480" s="2"/>
      <c r="K480" s="2"/>
      <c r="L480" s="2"/>
      <c r="M480" s="2"/>
      <c r="N480" s="2"/>
      <c r="O480" s="849"/>
      <c r="P480" s="837"/>
      <c r="Q480" s="2"/>
      <c r="R480" s="2"/>
      <c r="S480" s="868" t="str">
        <f>IF('[1]E-ErgInt'!S480="","",'[1]E-ErgInt'!S480)</f>
        <v>Fischereirecht</v>
      </c>
      <c r="T480" s="2"/>
      <c r="U480" s="2"/>
      <c r="V480" s="2"/>
      <c r="W480" s="2"/>
      <c r="X480" s="2"/>
      <c r="Y480" s="2"/>
      <c r="Z480" s="2"/>
      <c r="AA480" s="2"/>
    </row>
    <row r="481" spans="1:27" s="1" customFormat="1" ht="12.75" customHeight="1" x14ac:dyDescent="0.2">
      <c r="A481" s="838"/>
      <c r="B481" s="835"/>
      <c r="C481" s="2"/>
      <c r="D481" s="2" t="s">
        <v>561</v>
      </c>
      <c r="E481" s="983" t="s">
        <v>562</v>
      </c>
      <c r="F481" s="2"/>
      <c r="G481" s="2"/>
      <c r="H481" s="2"/>
      <c r="I481" s="2"/>
      <c r="J481" s="2"/>
      <c r="K481" s="2"/>
      <c r="L481" s="2"/>
      <c r="M481" s="2"/>
      <c r="N481" s="2"/>
      <c r="O481" s="849"/>
      <c r="P481" s="837"/>
      <c r="Q481" s="2"/>
      <c r="R481" s="2"/>
      <c r="S481" s="868" t="str">
        <f>IF('[1]E-ErgInt'!S481="","",'[1]E-ErgInt'!S481)</f>
        <v>Wegerecht</v>
      </c>
      <c r="T481" s="2"/>
      <c r="U481" s="2"/>
      <c r="V481" s="2"/>
      <c r="W481" s="2"/>
      <c r="X481" s="2"/>
      <c r="Y481" s="2"/>
      <c r="Z481" s="2"/>
      <c r="AA481" s="2"/>
    </row>
    <row r="482" spans="1:27" s="1" customFormat="1" ht="12.75" customHeight="1" x14ac:dyDescent="0.2">
      <c r="A482" s="838"/>
      <c r="B482" s="835"/>
      <c r="C482" s="2"/>
      <c r="D482" s="2"/>
      <c r="E482" s="986" t="s">
        <v>637</v>
      </c>
      <c r="F482" s="2"/>
      <c r="G482" s="2"/>
      <c r="H482" s="2"/>
      <c r="I482" s="2"/>
      <c r="J482" s="2"/>
      <c r="K482" s="2"/>
      <c r="L482" s="2"/>
      <c r="M482" s="2"/>
      <c r="N482" s="2"/>
      <c r="O482" s="849"/>
      <c r="P482" s="837"/>
      <c r="Q482" s="2"/>
      <c r="R482" s="2"/>
      <c r="S482" s="868" t="str">
        <f>IF('[1]E-ErgInt'!S482="","",'[1]E-ErgInt'!S482)</f>
        <v>Nutzungsrecht</v>
      </c>
      <c r="T482" s="2"/>
      <c r="U482" s="2"/>
      <c r="V482" s="2"/>
      <c r="W482" s="2"/>
      <c r="X482" s="2"/>
      <c r="Y482" s="2"/>
      <c r="Z482" s="2"/>
      <c r="AA482" s="2"/>
    </row>
    <row r="483" spans="1:27" s="1" customFormat="1" ht="12.75" customHeight="1" x14ac:dyDescent="0.2">
      <c r="A483" s="838"/>
      <c r="B483" s="835"/>
      <c r="C483" s="2"/>
      <c r="D483" s="2"/>
      <c r="E483" s="1165"/>
      <c r="F483" s="1166"/>
      <c r="G483" s="1166"/>
      <c r="H483" s="1166"/>
      <c r="I483" s="1166"/>
      <c r="J483" s="1166"/>
      <c r="K483" s="1166"/>
      <c r="L483" s="1166"/>
      <c r="M483" s="1167"/>
      <c r="N483" s="2"/>
      <c r="O483" s="843" t="str">
        <f>IF(E483="","",IF('[1]E-ErgInt'!E483=E483,Q483,0))</f>
        <v/>
      </c>
      <c r="P483" s="837" t="s">
        <v>463</v>
      </c>
      <c r="Q483" s="837">
        <v>0.5</v>
      </c>
      <c r="R483" s="2"/>
      <c r="S483" s="868" t="str">
        <f>IF('[1]E-ErgInt'!S483="","",'[1]E-ErgInt'!S483)</f>
        <v>Feuerwehrzone</v>
      </c>
      <c r="T483" s="2"/>
      <c r="U483" s="2"/>
      <c r="V483" s="2"/>
      <c r="W483" s="2"/>
      <c r="X483" s="2"/>
      <c r="Y483" s="2"/>
      <c r="Z483" s="2"/>
      <c r="AA483" s="2"/>
    </row>
    <row r="484" spans="1:27" s="1" customFormat="1" ht="12.75" customHeight="1" x14ac:dyDescent="0.2">
      <c r="A484" s="838"/>
      <c r="B484" s="835"/>
      <c r="C484" s="2"/>
      <c r="D484" s="2"/>
      <c r="E484" s="983" t="s">
        <v>638</v>
      </c>
      <c r="F484" s="2"/>
      <c r="G484" s="2"/>
      <c r="H484" s="2"/>
      <c r="I484" s="2"/>
      <c r="J484" s="2"/>
      <c r="K484" s="2"/>
      <c r="L484" s="2"/>
      <c r="M484" s="2"/>
      <c r="N484" s="2"/>
      <c r="O484" s="849"/>
      <c r="P484" s="837"/>
      <c r="Q484" s="2"/>
      <c r="R484" s="2"/>
      <c r="S484" s="868" t="str">
        <f>IF('[1]E-ErgInt'!S484="","",'[1]E-ErgInt'!S484)</f>
        <v>Weiderecht</v>
      </c>
      <c r="T484" s="2"/>
      <c r="U484" s="2"/>
      <c r="V484" s="2"/>
      <c r="W484" s="2"/>
      <c r="X484" s="2"/>
      <c r="Y484" s="2"/>
      <c r="Z484" s="2"/>
      <c r="AA484" s="2"/>
    </row>
    <row r="485" spans="1:27" s="1" customFormat="1" ht="12.75" customHeight="1" x14ac:dyDescent="0.2">
      <c r="A485" s="838"/>
      <c r="B485" s="835"/>
      <c r="C485" s="2"/>
      <c r="D485" s="2"/>
      <c r="E485" s="983"/>
      <c r="F485" s="987" t="s">
        <v>563</v>
      </c>
      <c r="G485" s="982"/>
      <c r="H485" s="988"/>
      <c r="I485" s="2"/>
      <c r="J485" s="2"/>
      <c r="K485" s="2"/>
      <c r="L485" s="2"/>
      <c r="M485" s="2"/>
      <c r="N485" s="2"/>
      <c r="O485" s="843" t="str">
        <f>IF(H485="","",IF(AND('[1]E-ErgInt'!H485=H485,'[1]E-ErgInt'!H487=H487),Q485,0))</f>
        <v/>
      </c>
      <c r="P485" s="837" t="s">
        <v>463</v>
      </c>
      <c r="Q485" s="837">
        <v>0.25</v>
      </c>
      <c r="R485" s="2"/>
      <c r="S485" s="868" t="str">
        <f>IF('[1]E-ErgInt'!S485="","",'[1]E-ErgInt'!S485)</f>
        <v>Holzbringungsrecht</v>
      </c>
      <c r="T485" s="2"/>
      <c r="U485" s="2"/>
      <c r="V485" s="2"/>
      <c r="W485" s="2"/>
      <c r="X485" s="2"/>
      <c r="Y485" s="2"/>
      <c r="Z485" s="2"/>
      <c r="AA485" s="2"/>
    </row>
    <row r="486" spans="1:27" s="1" customFormat="1" ht="3.95" customHeight="1" x14ac:dyDescent="0.2">
      <c r="A486" s="838"/>
      <c r="B486" s="835"/>
      <c r="C486" s="2"/>
      <c r="D486" s="2"/>
      <c r="E486" s="983"/>
      <c r="F486" s="2"/>
      <c r="G486" s="2"/>
      <c r="H486" s="2"/>
      <c r="I486" s="2"/>
      <c r="J486" s="2"/>
      <c r="K486" s="2"/>
      <c r="L486" s="2"/>
      <c r="M486" s="2"/>
      <c r="N486" s="2"/>
      <c r="O486" s="849"/>
      <c r="P486" s="837"/>
      <c r="Q486" s="2"/>
      <c r="R486" s="2"/>
      <c r="S486" s="2"/>
      <c r="T486" s="2"/>
      <c r="U486" s="2"/>
      <c r="V486" s="2"/>
      <c r="W486" s="2"/>
      <c r="X486" s="2"/>
      <c r="Y486" s="2"/>
      <c r="Z486" s="2"/>
      <c r="AA486" s="2"/>
    </row>
    <row r="487" spans="1:27" s="1" customFormat="1" ht="12.75" customHeight="1" x14ac:dyDescent="0.2">
      <c r="A487" s="838"/>
      <c r="B487" s="835"/>
      <c r="C487" s="2"/>
      <c r="D487" s="2"/>
      <c r="E487" s="2"/>
      <c r="F487" s="987" t="s">
        <v>563</v>
      </c>
      <c r="G487" s="982"/>
      <c r="H487" s="988"/>
      <c r="I487" s="841" t="s">
        <v>462</v>
      </c>
      <c r="J487" s="989" t="s">
        <v>564</v>
      </c>
      <c r="K487" s="982"/>
      <c r="L487" s="982"/>
      <c r="M487" s="982"/>
      <c r="N487" s="2"/>
      <c r="O487" s="849"/>
      <c r="P487" s="837"/>
      <c r="Q487" s="2"/>
      <c r="R487" s="2"/>
      <c r="S487" s="2"/>
      <c r="T487" s="2"/>
      <c r="U487" s="2"/>
      <c r="V487" s="2"/>
      <c r="W487" s="2"/>
      <c r="X487" s="2"/>
      <c r="Y487" s="2"/>
      <c r="Z487" s="2"/>
      <c r="AA487" s="2"/>
    </row>
    <row r="488" spans="1:27" s="1" customFormat="1" ht="12.75" customHeight="1" x14ac:dyDescent="0.2">
      <c r="A488" s="838"/>
      <c r="B488" s="835"/>
      <c r="C488" s="2"/>
      <c r="D488" s="2"/>
      <c r="E488" s="2" t="s">
        <v>565</v>
      </c>
      <c r="F488" s="2"/>
      <c r="G488" s="2"/>
      <c r="H488" s="2"/>
      <c r="I488" s="2"/>
      <c r="J488" s="2"/>
      <c r="K488" s="2"/>
      <c r="L488" s="2"/>
      <c r="M488" s="2"/>
      <c r="N488" s="2"/>
      <c r="O488" s="849"/>
      <c r="P488" s="837"/>
      <c r="Q488" s="2"/>
      <c r="R488" s="2"/>
      <c r="S488" s="2"/>
      <c r="T488" s="2"/>
      <c r="U488" s="2"/>
      <c r="V488" s="2"/>
      <c r="W488" s="2"/>
      <c r="X488" s="2"/>
      <c r="Y488" s="2"/>
      <c r="Z488" s="2"/>
      <c r="AA488" s="2"/>
    </row>
    <row r="489" spans="1:27" s="1" customFormat="1" ht="12.75" customHeight="1" x14ac:dyDescent="0.2">
      <c r="A489" s="838"/>
      <c r="B489" s="835"/>
      <c r="C489" s="2"/>
      <c r="D489" s="2"/>
      <c r="E489" s="851"/>
      <c r="F489" s="987" t="s">
        <v>563</v>
      </c>
      <c r="G489" s="982"/>
      <c r="H489" s="988"/>
      <c r="I489" s="841" t="s">
        <v>462</v>
      </c>
      <c r="J489" s="989" t="s">
        <v>566</v>
      </c>
      <c r="K489" s="2"/>
      <c r="L489" s="2"/>
      <c r="M489" s="2"/>
      <c r="N489" s="2"/>
      <c r="O489" s="843" t="str">
        <f>IF(AND('[1]E-ErgInt'!E489=E489,'[1]E-ErgInt'!H489=H489,'[1]E-ErgInt'!E491=E491),Q489,"")</f>
        <v/>
      </c>
      <c r="P489" s="837" t="s">
        <v>463</v>
      </c>
      <c r="Q489" s="837">
        <v>0.25</v>
      </c>
      <c r="R489" s="2"/>
      <c r="S489" s="2"/>
      <c r="T489" s="2"/>
      <c r="U489" s="2"/>
      <c r="V489" s="2"/>
      <c r="W489" s="2"/>
      <c r="X489" s="2"/>
      <c r="Y489" s="2"/>
      <c r="Z489" s="2"/>
      <c r="AA489" s="2"/>
    </row>
    <row r="490" spans="1:27" s="1" customFormat="1" ht="3.95" customHeight="1" x14ac:dyDescent="0.2">
      <c r="A490" s="838"/>
      <c r="B490" s="835"/>
      <c r="C490" s="2"/>
      <c r="D490" s="2"/>
      <c r="E490" s="983"/>
      <c r="F490" s="2"/>
      <c r="G490" s="2"/>
      <c r="H490" s="2"/>
      <c r="I490" s="2"/>
      <c r="J490" s="2"/>
      <c r="K490" s="2"/>
      <c r="L490" s="2"/>
      <c r="M490" s="2"/>
      <c r="N490" s="2"/>
      <c r="O490" s="849"/>
      <c r="P490" s="837"/>
      <c r="Q490" s="2"/>
      <c r="R490" s="2"/>
      <c r="S490" s="2"/>
      <c r="T490" s="2"/>
      <c r="U490" s="2"/>
      <c r="V490" s="2"/>
      <c r="W490" s="2"/>
      <c r="X490" s="2"/>
      <c r="Y490" s="2"/>
      <c r="Z490" s="2"/>
      <c r="AA490" s="2"/>
    </row>
    <row r="491" spans="1:27" s="1" customFormat="1" ht="12.75" customHeight="1" x14ac:dyDescent="0.2">
      <c r="A491" s="838"/>
      <c r="B491" s="835"/>
      <c r="C491" s="2"/>
      <c r="D491" s="2"/>
      <c r="E491" s="851"/>
      <c r="F491" s="987" t="s">
        <v>567</v>
      </c>
      <c r="G491" s="982"/>
      <c r="H491" s="982"/>
      <c r="I491" s="982"/>
      <c r="J491" s="982"/>
      <c r="K491" s="982"/>
      <c r="L491" s="982"/>
      <c r="M491" s="982"/>
      <c r="N491" s="2"/>
      <c r="O491" s="849"/>
      <c r="P491" s="837"/>
      <c r="Q491" s="2"/>
      <c r="R491" s="2"/>
      <c r="S491" s="2"/>
      <c r="T491" s="2"/>
      <c r="U491" s="2"/>
      <c r="V491" s="2"/>
      <c r="W491" s="2"/>
      <c r="X491" s="2"/>
      <c r="Y491" s="2"/>
      <c r="Z491" s="2"/>
      <c r="AA491" s="2"/>
    </row>
    <row r="492" spans="1:27" s="1" customFormat="1" ht="12.75" customHeight="1" x14ac:dyDescent="0.2">
      <c r="A492" s="838"/>
      <c r="B492" s="835"/>
      <c r="C492" s="2"/>
      <c r="D492" s="2"/>
      <c r="E492" s="982"/>
      <c r="F492" s="982"/>
      <c r="G492" s="982"/>
      <c r="H492" s="982"/>
      <c r="I492" s="982"/>
      <c r="J492" s="982"/>
      <c r="K492" s="982"/>
      <c r="L492" s="982"/>
      <c r="M492" s="982"/>
      <c r="N492" s="2"/>
      <c r="O492" s="849"/>
      <c r="P492" s="837"/>
      <c r="Q492" s="2"/>
      <c r="R492" s="2"/>
      <c r="S492" s="2"/>
      <c r="T492" s="2"/>
      <c r="U492" s="2"/>
      <c r="V492" s="2"/>
      <c r="W492" s="2"/>
      <c r="X492" s="2"/>
      <c r="Y492" s="2"/>
      <c r="Z492" s="2"/>
      <c r="AA492" s="2"/>
    </row>
    <row r="493" spans="1:27" s="1" customFormat="1" ht="12.75" customHeight="1" x14ac:dyDescent="0.2">
      <c r="A493" s="838"/>
      <c r="B493" s="835"/>
      <c r="C493" s="2"/>
      <c r="D493" s="2"/>
      <c r="E493" s="983" t="s">
        <v>639</v>
      </c>
      <c r="F493" s="2"/>
      <c r="G493" s="2"/>
      <c r="H493" s="2"/>
      <c r="I493" s="2"/>
      <c r="J493" s="2"/>
      <c r="K493" s="2"/>
      <c r="L493" s="2"/>
      <c r="M493" s="2"/>
      <c r="N493" s="2"/>
      <c r="O493" s="849"/>
      <c r="P493" s="837"/>
      <c r="Q493" s="2"/>
      <c r="R493" s="2"/>
      <c r="S493" s="2"/>
      <c r="T493" s="2"/>
      <c r="U493" s="2"/>
      <c r="V493" s="2"/>
      <c r="W493" s="2"/>
      <c r="X493" s="2"/>
      <c r="Y493" s="2"/>
      <c r="Z493" s="2"/>
      <c r="AA493" s="2"/>
    </row>
    <row r="494" spans="1:27" s="1" customFormat="1" ht="12.75" customHeight="1" x14ac:dyDescent="0.2">
      <c r="A494" s="838"/>
      <c r="B494" s="835"/>
      <c r="C494" s="2"/>
      <c r="D494" s="2"/>
      <c r="E494" s="1165"/>
      <c r="F494" s="1166"/>
      <c r="G494" s="1166"/>
      <c r="H494" s="1166"/>
      <c r="I494" s="1166"/>
      <c r="J494" s="1166"/>
      <c r="K494" s="1166"/>
      <c r="L494" s="1166"/>
      <c r="M494" s="1167"/>
      <c r="N494" s="2"/>
      <c r="O494" s="843" t="str">
        <f>IF(E494="","",IF('[1]E-ErgInt'!E494=E494,Q494,0))</f>
        <v/>
      </c>
      <c r="P494" s="837" t="s">
        <v>463</v>
      </c>
      <c r="Q494" s="837">
        <v>0.5</v>
      </c>
      <c r="R494" s="2"/>
      <c r="S494" s="2"/>
      <c r="T494" s="2"/>
      <c r="U494" s="2"/>
      <c r="V494" s="2"/>
      <c r="W494" s="2"/>
      <c r="X494" s="2"/>
      <c r="Y494" s="2"/>
      <c r="Z494" s="2"/>
      <c r="AA494" s="2"/>
    </row>
    <row r="495" spans="1:27" s="1" customFormat="1" ht="12.75" customHeight="1" x14ac:dyDescent="0.2">
      <c r="A495" s="838"/>
      <c r="B495" s="835"/>
      <c r="C495" s="2"/>
      <c r="D495" s="2"/>
      <c r="E495" s="983" t="s">
        <v>638</v>
      </c>
      <c r="F495" s="2"/>
      <c r="G495" s="2"/>
      <c r="H495" s="2"/>
      <c r="I495" s="2"/>
      <c r="J495" s="2"/>
      <c r="K495" s="2"/>
      <c r="L495" s="2"/>
      <c r="M495" s="2"/>
      <c r="N495" s="2"/>
      <c r="O495" s="849"/>
      <c r="P495" s="837"/>
      <c r="Q495" s="2"/>
      <c r="R495" s="2"/>
      <c r="S495" s="2"/>
      <c r="T495" s="2"/>
      <c r="U495" s="2"/>
      <c r="V495" s="2"/>
      <c r="W495" s="2"/>
      <c r="X495" s="2"/>
      <c r="Y495" s="2"/>
      <c r="Z495" s="2"/>
      <c r="AA495" s="2"/>
    </row>
    <row r="496" spans="1:27" s="1" customFormat="1" ht="12.75" customHeight="1" x14ac:dyDescent="0.2">
      <c r="A496" s="838"/>
      <c r="B496" s="835"/>
      <c r="C496" s="2"/>
      <c r="D496" s="2"/>
      <c r="E496" s="983"/>
      <c r="F496" s="987" t="s">
        <v>563</v>
      </c>
      <c r="G496" s="982"/>
      <c r="H496" s="988"/>
      <c r="I496" s="2"/>
      <c r="J496" s="2"/>
      <c r="K496" s="2"/>
      <c r="L496" s="2"/>
      <c r="M496" s="2"/>
      <c r="N496" s="2"/>
      <c r="O496" s="843" t="str">
        <f>IF(H496="","",IF(AND('[1]E-ErgInt'!H496=H496,'[1]E-ErgInt'!H498=H498),Q496,0))</f>
        <v/>
      </c>
      <c r="P496" s="837" t="s">
        <v>463</v>
      </c>
      <c r="Q496" s="837">
        <v>0.25</v>
      </c>
      <c r="R496" s="2"/>
      <c r="S496" s="2"/>
      <c r="T496" s="2"/>
      <c r="U496" s="2"/>
      <c r="V496" s="2"/>
      <c r="W496" s="2"/>
      <c r="X496" s="2"/>
      <c r="Y496" s="2"/>
      <c r="Z496" s="2"/>
      <c r="AA496" s="2"/>
    </row>
    <row r="497" spans="1:27" s="1" customFormat="1" ht="3.95" customHeight="1" x14ac:dyDescent="0.2">
      <c r="A497" s="838"/>
      <c r="B497" s="835"/>
      <c r="C497" s="2"/>
      <c r="D497" s="2"/>
      <c r="E497" s="983"/>
      <c r="F497" s="2"/>
      <c r="G497" s="2"/>
      <c r="H497" s="2"/>
      <c r="I497" s="2"/>
      <c r="J497" s="2"/>
      <c r="K497" s="2"/>
      <c r="L497" s="2"/>
      <c r="M497" s="2"/>
      <c r="N497" s="2"/>
      <c r="O497" s="849"/>
      <c r="P497" s="837"/>
      <c r="Q497" s="2"/>
      <c r="R497" s="2"/>
      <c r="S497" s="2"/>
      <c r="T497" s="2"/>
      <c r="U497" s="2"/>
      <c r="V497" s="2"/>
      <c r="W497" s="2"/>
      <c r="X497" s="2"/>
      <c r="Y497" s="2"/>
      <c r="Z497" s="2"/>
      <c r="AA497" s="2"/>
    </row>
    <row r="498" spans="1:27" s="1" customFormat="1" ht="12.75" customHeight="1" x14ac:dyDescent="0.2">
      <c r="A498" s="838"/>
      <c r="B498" s="835"/>
      <c r="C498" s="2"/>
      <c r="D498" s="2"/>
      <c r="E498" s="2"/>
      <c r="F498" s="987" t="s">
        <v>563</v>
      </c>
      <c r="G498" s="982"/>
      <c r="H498" s="988"/>
      <c r="I498" s="841" t="s">
        <v>462</v>
      </c>
      <c r="J498" s="989" t="s">
        <v>564</v>
      </c>
      <c r="K498" s="982"/>
      <c r="L498" s="982"/>
      <c r="M498" s="982"/>
      <c r="N498" s="2"/>
      <c r="O498" s="849"/>
      <c r="P498" s="837"/>
      <c r="Q498" s="2"/>
      <c r="R498" s="2"/>
      <c r="S498" s="2"/>
      <c r="T498" s="2"/>
      <c r="U498" s="2"/>
      <c r="V498" s="2"/>
      <c r="W498" s="2"/>
      <c r="X498" s="2"/>
      <c r="Y498" s="2"/>
      <c r="Z498" s="2"/>
      <c r="AA498" s="2"/>
    </row>
    <row r="499" spans="1:27" s="1" customFormat="1" ht="12.75" customHeight="1" x14ac:dyDescent="0.2">
      <c r="A499" s="838"/>
      <c r="B499" s="835"/>
      <c r="C499" s="2"/>
      <c r="D499" s="2"/>
      <c r="E499" s="2" t="s">
        <v>640</v>
      </c>
      <c r="F499" s="2"/>
      <c r="G499" s="2"/>
      <c r="H499" s="2"/>
      <c r="I499" s="2"/>
      <c r="J499" s="2"/>
      <c r="K499" s="2"/>
      <c r="L499" s="2"/>
      <c r="M499" s="2"/>
      <c r="N499" s="2"/>
      <c r="O499" s="849"/>
      <c r="P499" s="837"/>
      <c r="Q499" s="2"/>
      <c r="R499" s="2"/>
      <c r="S499" s="2"/>
      <c r="T499" s="2"/>
      <c r="U499" s="2"/>
      <c r="V499" s="2"/>
      <c r="W499" s="2"/>
      <c r="X499" s="2"/>
      <c r="Y499" s="2"/>
      <c r="Z499" s="2"/>
      <c r="AA499" s="2"/>
    </row>
    <row r="500" spans="1:27" s="1" customFormat="1" ht="12.75" customHeight="1" x14ac:dyDescent="0.2">
      <c r="A500" s="838"/>
      <c r="B500" s="835"/>
      <c r="C500" s="2"/>
      <c r="D500" s="2"/>
      <c r="E500" s="851"/>
      <c r="F500" s="987" t="s">
        <v>563</v>
      </c>
      <c r="G500" s="982"/>
      <c r="H500" s="988"/>
      <c r="I500" s="841" t="s">
        <v>462</v>
      </c>
      <c r="J500" s="989" t="s">
        <v>566</v>
      </c>
      <c r="K500" s="2"/>
      <c r="L500" s="2"/>
      <c r="M500" s="2"/>
      <c r="N500" s="2"/>
      <c r="O500" s="843" t="str">
        <f>IF(AND('[1]E-ErgInt'!E500=E500,'[1]E-ErgInt'!H500=H500,'[1]E-ErgInt'!E502=E502),Q500,"")</f>
        <v/>
      </c>
      <c r="P500" s="837" t="s">
        <v>463</v>
      </c>
      <c r="Q500" s="837">
        <v>0.25</v>
      </c>
      <c r="R500" s="2"/>
      <c r="S500" s="2"/>
      <c r="T500" s="2"/>
      <c r="U500" s="2"/>
      <c r="V500" s="2"/>
      <c r="W500" s="2"/>
      <c r="X500" s="2"/>
      <c r="Y500" s="2"/>
      <c r="Z500" s="2"/>
      <c r="AA500" s="2"/>
    </row>
    <row r="501" spans="1:27" s="1" customFormat="1" ht="3.95" customHeight="1" x14ac:dyDescent="0.2">
      <c r="A501" s="838"/>
      <c r="B501" s="835"/>
      <c r="C501" s="2"/>
      <c r="D501" s="2"/>
      <c r="E501" s="983"/>
      <c r="F501" s="2"/>
      <c r="G501" s="2"/>
      <c r="H501" s="2"/>
      <c r="I501" s="2"/>
      <c r="J501" s="2"/>
      <c r="K501" s="2"/>
      <c r="L501" s="2"/>
      <c r="M501" s="2"/>
      <c r="N501" s="2"/>
      <c r="O501" s="849"/>
      <c r="P501" s="837"/>
      <c r="Q501" s="2"/>
      <c r="R501" s="2"/>
      <c r="S501" s="2"/>
      <c r="T501" s="2"/>
      <c r="U501" s="2"/>
      <c r="V501" s="2"/>
      <c r="W501" s="2"/>
      <c r="X501" s="2"/>
      <c r="Y501" s="2"/>
      <c r="Z501" s="2"/>
      <c r="AA501" s="2"/>
    </row>
    <row r="502" spans="1:27" s="1" customFormat="1" ht="12.75" customHeight="1" x14ac:dyDescent="0.2">
      <c r="A502" s="838"/>
      <c r="B502" s="835"/>
      <c r="C502" s="2"/>
      <c r="D502" s="2"/>
      <c r="E502" s="851"/>
      <c r="F502" s="987" t="s">
        <v>567</v>
      </c>
      <c r="G502" s="982"/>
      <c r="H502" s="982"/>
      <c r="I502" s="982"/>
      <c r="J502" s="982"/>
      <c r="K502" s="982"/>
      <c r="L502" s="982"/>
      <c r="M502" s="982"/>
      <c r="N502" s="2"/>
      <c r="O502" s="849"/>
      <c r="P502" s="837"/>
      <c r="Q502" s="2"/>
      <c r="R502" s="2"/>
      <c r="S502" s="2"/>
      <c r="T502" s="2"/>
      <c r="U502" s="2"/>
      <c r="V502" s="2"/>
      <c r="W502" s="2"/>
      <c r="X502" s="2"/>
      <c r="Y502" s="2"/>
      <c r="Z502" s="2"/>
      <c r="AA502" s="2"/>
    </row>
    <row r="503" spans="1:27" s="1" customFormat="1" ht="12.75" customHeight="1" x14ac:dyDescent="0.2">
      <c r="A503" s="838"/>
      <c r="B503" s="835"/>
      <c r="C503" s="2"/>
      <c r="D503" s="2"/>
      <c r="E503" s="982"/>
      <c r="F503" s="982"/>
      <c r="G503" s="982"/>
      <c r="H503" s="982"/>
      <c r="I503" s="982"/>
      <c r="J503" s="982"/>
      <c r="K503" s="982"/>
      <c r="L503" s="982"/>
      <c r="M503" s="982"/>
      <c r="N503" s="2"/>
      <c r="O503" s="849"/>
      <c r="P503" s="837"/>
      <c r="Q503" s="2"/>
      <c r="R503" s="2"/>
      <c r="S503" s="2"/>
      <c r="T503" s="2"/>
      <c r="U503" s="2"/>
      <c r="V503" s="2"/>
      <c r="W503" s="2"/>
      <c r="X503" s="2"/>
      <c r="Y503" s="2"/>
      <c r="Z503" s="2"/>
      <c r="AA503" s="2"/>
    </row>
    <row r="504" spans="1:27" s="1" customFormat="1" ht="25.5" customHeight="1" x14ac:dyDescent="0.2">
      <c r="A504" s="838"/>
      <c r="B504" s="835"/>
      <c r="C504" s="2"/>
      <c r="D504" s="860" t="s">
        <v>568</v>
      </c>
      <c r="E504" s="1138" t="s">
        <v>720</v>
      </c>
      <c r="F504" s="1138"/>
      <c r="G504" s="1138"/>
      <c r="H504" s="1138"/>
      <c r="I504" s="1138"/>
      <c r="J504" s="1138"/>
      <c r="K504" s="1138"/>
      <c r="L504" s="1138"/>
      <c r="M504" s="1138"/>
      <c r="N504" s="1138"/>
      <c r="O504" s="849"/>
      <c r="P504" s="837"/>
      <c r="Q504" s="2"/>
      <c r="R504" s="2"/>
      <c r="S504" s="2"/>
      <c r="T504" s="2"/>
      <c r="U504" s="2"/>
      <c r="V504" s="2"/>
      <c r="W504" s="2"/>
      <c r="X504" s="2"/>
      <c r="Y504" s="2"/>
      <c r="Z504" s="2"/>
      <c r="AA504" s="2"/>
    </row>
    <row r="505" spans="1:27" s="1" customFormat="1" ht="12.75" customHeight="1" x14ac:dyDescent="0.2">
      <c r="A505" s="838"/>
      <c r="B505" s="835"/>
      <c r="C505" s="2"/>
      <c r="D505" s="2"/>
      <c r="E505" s="983" t="s">
        <v>641</v>
      </c>
      <c r="F505" s="2"/>
      <c r="G505" s="2"/>
      <c r="H505" s="2"/>
      <c r="I505" s="2"/>
      <c r="J505" s="2"/>
      <c r="K505" s="2"/>
      <c r="L505" s="2"/>
      <c r="M505" s="2"/>
      <c r="N505" s="2"/>
      <c r="O505" s="849"/>
      <c r="P505" s="837"/>
      <c r="Q505" s="2"/>
      <c r="R505" s="2"/>
      <c r="S505" s="974" t="s">
        <v>569</v>
      </c>
      <c r="T505" s="974"/>
      <c r="U505" s="974"/>
      <c r="V505" s="974"/>
      <c r="W505" s="2"/>
      <c r="X505" s="974" t="s">
        <v>570</v>
      </c>
      <c r="Y505" s="2"/>
      <c r="Z505" s="2"/>
      <c r="AA505" s="2"/>
    </row>
    <row r="506" spans="1:27" s="1" customFormat="1" ht="12.75" customHeight="1" x14ac:dyDescent="0.2">
      <c r="A506" s="838"/>
      <c r="B506" s="835"/>
      <c r="C506" s="2"/>
      <c r="D506" s="2"/>
      <c r="E506" s="1165"/>
      <c r="F506" s="1166"/>
      <c r="G506" s="1166"/>
      <c r="H506" s="1166"/>
      <c r="I506" s="1166"/>
      <c r="J506" s="1166"/>
      <c r="K506" s="1166"/>
      <c r="L506" s="1166"/>
      <c r="M506" s="1167"/>
      <c r="N506" s="2"/>
      <c r="O506" s="843" t="str">
        <f>IF(E506="","",IF('[1]E-ErgInt'!E506=E506,Q506,0))</f>
        <v/>
      </c>
      <c r="P506" s="837" t="s">
        <v>463</v>
      </c>
      <c r="Q506" s="837">
        <v>0.25</v>
      </c>
      <c r="R506" s="2"/>
      <c r="S506" s="865" t="str">
        <f>IF('[1]E-ErgInt'!S506="","",'[1]E-ErgInt'!S506)</f>
        <v>Nutzungsrecht</v>
      </c>
      <c r="T506" s="2"/>
      <c r="U506" s="2"/>
      <c r="V506" s="2"/>
      <c r="W506" s="2"/>
      <c r="X506" s="979" t="str">
        <f>IF('[1]E-ErgInt'!X506="","",'[1]E-ErgInt'!X506)</f>
        <v xml:space="preserve">Raiffeisenbank Landeck reg. GenmbH </v>
      </c>
      <c r="Y506" s="2"/>
      <c r="Z506" s="2"/>
      <c r="AA506" s="2"/>
    </row>
    <row r="507" spans="1:27" s="1" customFormat="1" ht="12.75" customHeight="1" x14ac:dyDescent="0.2">
      <c r="A507" s="838"/>
      <c r="B507" s="835"/>
      <c r="C507" s="2"/>
      <c r="D507" s="2"/>
      <c r="E507" s="983" t="s">
        <v>642</v>
      </c>
      <c r="F507" s="2"/>
      <c r="G507" s="2"/>
      <c r="H507" s="2"/>
      <c r="I507" s="2"/>
      <c r="J507" s="2"/>
      <c r="K507" s="2"/>
      <c r="L507" s="2"/>
      <c r="M507" s="2"/>
      <c r="N507" s="2"/>
      <c r="O507" s="849"/>
      <c r="P507" s="837"/>
      <c r="Q507" s="2"/>
      <c r="R507" s="2"/>
      <c r="S507" s="865" t="str">
        <f>IF('[1]E-ErgInt'!S507="","",'[1]E-ErgInt'!S507)</f>
        <v>Weiderecht</v>
      </c>
      <c r="T507" s="2"/>
      <c r="U507" s="2"/>
      <c r="V507" s="2"/>
      <c r="W507" s="2"/>
      <c r="X507" s="2" t="str">
        <f>IF('[1]E-ErgInt'!X507="","",'[1]E-ErgInt'!X507)</f>
        <v xml:space="preserve">Koller Franz </v>
      </c>
      <c r="Y507" s="2"/>
      <c r="Z507" s="2"/>
      <c r="AA507" s="2"/>
    </row>
    <row r="508" spans="1:27" s="1" customFormat="1" ht="12.75" customHeight="1" x14ac:dyDescent="0.2">
      <c r="A508" s="838"/>
      <c r="B508" s="835"/>
      <c r="C508" s="2"/>
      <c r="D508" s="2"/>
      <c r="E508" s="1165"/>
      <c r="F508" s="1166"/>
      <c r="G508" s="1166"/>
      <c r="H508" s="1166"/>
      <c r="I508" s="1166"/>
      <c r="J508" s="1166"/>
      <c r="K508" s="1166"/>
      <c r="L508" s="1166"/>
      <c r="M508" s="1167"/>
      <c r="N508" s="2"/>
      <c r="O508" s="843" t="str">
        <f>IF(E508="","",IF('[1]E-ErgInt'!E508=E508,Q508,0))</f>
        <v/>
      </c>
      <c r="P508" s="837" t="s">
        <v>463</v>
      </c>
      <c r="Q508" s="837">
        <v>0.25</v>
      </c>
      <c r="R508" s="2"/>
      <c r="S508" s="865" t="str">
        <f>IF('[1]E-ErgInt'!S508="","",'[1]E-ErgInt'!S508)</f>
        <v>Immissionsverbot</v>
      </c>
      <c r="T508" s="2"/>
      <c r="U508" s="2"/>
      <c r="V508" s="2"/>
      <c r="W508" s="2"/>
      <c r="X508" s="2" t="str">
        <f>IF('[1]E-ErgInt'!X508="","",'[1]E-ErgInt'!X508)</f>
        <v xml:space="preserve">Karl Huber </v>
      </c>
      <c r="Y508" s="2"/>
      <c r="Z508" s="2"/>
      <c r="AA508" s="2"/>
    </row>
    <row r="509" spans="1:27" s="1" customFormat="1" ht="12.75" customHeight="1" x14ac:dyDescent="0.2">
      <c r="A509" s="838"/>
      <c r="B509" s="835"/>
      <c r="C509" s="2"/>
      <c r="D509" s="2"/>
      <c r="E509" s="982"/>
      <c r="F509" s="982"/>
      <c r="G509" s="982"/>
      <c r="H509" s="982"/>
      <c r="I509" s="982"/>
      <c r="J509" s="982"/>
      <c r="K509" s="982"/>
      <c r="L509" s="982"/>
      <c r="M509" s="982"/>
      <c r="N509" s="2"/>
      <c r="O509" s="849"/>
      <c r="P509" s="837"/>
      <c r="Q509" s="2"/>
      <c r="R509" s="2"/>
      <c r="S509" s="865" t="str">
        <f>IF('[1]E-ErgInt'!S509="","",'[1]E-ErgInt'!S509)</f>
        <v>Fischereirecht</v>
      </c>
      <c r="T509" s="2"/>
      <c r="U509" s="2"/>
      <c r="V509" s="2"/>
      <c r="W509" s="2"/>
      <c r="X509" s="2" t="str">
        <f>IF('[1]E-ErgInt'!X509="","",'[1]E-ErgInt'!X509)</f>
        <v>Mobilkom Österreich</v>
      </c>
      <c r="Y509" s="2"/>
      <c r="Z509" s="2"/>
      <c r="AA509" s="2"/>
    </row>
    <row r="510" spans="1:27" s="1" customFormat="1" ht="12.75" customHeight="1" x14ac:dyDescent="0.2">
      <c r="A510" s="838"/>
      <c r="B510" s="835"/>
      <c r="C510" s="2"/>
      <c r="D510" s="2"/>
      <c r="E510" s="983" t="s">
        <v>643</v>
      </c>
      <c r="F510" s="2"/>
      <c r="G510" s="2"/>
      <c r="H510" s="2"/>
      <c r="I510" s="2"/>
      <c r="J510" s="2"/>
      <c r="K510" s="2"/>
      <c r="L510" s="2"/>
      <c r="M510" s="2"/>
      <c r="N510" s="2"/>
      <c r="O510" s="849"/>
      <c r="P510" s="837"/>
      <c r="Q510" s="2"/>
      <c r="R510" s="2"/>
      <c r="S510" s="865" t="str">
        <f>IF('[1]E-ErgInt'!S510="","",'[1]E-ErgInt'!S510)</f>
        <v>Pfandrecht</v>
      </c>
      <c r="T510" s="2"/>
      <c r="U510" s="2"/>
      <c r="V510" s="2"/>
      <c r="W510" s="2"/>
      <c r="X510" s="2" t="str">
        <f>IF('[1]E-ErgInt'!X510="","",'[1]E-ErgInt'!X510)</f>
        <v>Sparkasse Imst</v>
      </c>
      <c r="Y510" s="2"/>
      <c r="Z510" s="2"/>
      <c r="AA510" s="2"/>
    </row>
    <row r="511" spans="1:27" s="1" customFormat="1" ht="12.75" customHeight="1" x14ac:dyDescent="0.2">
      <c r="A511" s="838"/>
      <c r="B511" s="835"/>
      <c r="C511" s="2"/>
      <c r="D511" s="2"/>
      <c r="E511" s="1165"/>
      <c r="F511" s="1166"/>
      <c r="G511" s="1166"/>
      <c r="H511" s="1166"/>
      <c r="I511" s="1166"/>
      <c r="J511" s="1166"/>
      <c r="K511" s="1166"/>
      <c r="L511" s="1166"/>
      <c r="M511" s="1167"/>
      <c r="N511" s="2"/>
      <c r="O511" s="843" t="str">
        <f>IF(E511="","",IF('[1]E-ErgInt'!E511=E511,Q511,0))</f>
        <v/>
      </c>
      <c r="P511" s="837" t="s">
        <v>463</v>
      </c>
      <c r="Q511" s="837">
        <v>0.25</v>
      </c>
      <c r="R511" s="2"/>
      <c r="S511" s="865" t="str">
        <f>IF('[1]E-ErgInt'!S511="","",'[1]E-ErgInt'!S511)</f>
        <v>Wiederkaufsrecht</v>
      </c>
      <c r="T511" s="2"/>
      <c r="U511" s="2"/>
      <c r="V511" s="2"/>
      <c r="W511" s="2"/>
      <c r="X511" s="979" t="str">
        <f>IF('[1]E-ErgInt'!X511="","",'[1]E-ErgInt'!X511)</f>
        <v xml:space="preserve">Karl Kreuzer Sen. </v>
      </c>
      <c r="Y511" s="2"/>
      <c r="Z511" s="2"/>
      <c r="AA511" s="2"/>
    </row>
    <row r="512" spans="1:27" s="1" customFormat="1" ht="12.75" customHeight="1" x14ac:dyDescent="0.2">
      <c r="A512" s="838"/>
      <c r="B512" s="835"/>
      <c r="C512" s="2"/>
      <c r="D512" s="2"/>
      <c r="E512" s="983" t="s">
        <v>642</v>
      </c>
      <c r="F512" s="2"/>
      <c r="G512" s="2"/>
      <c r="H512" s="2"/>
      <c r="I512" s="2"/>
      <c r="J512" s="2"/>
      <c r="K512" s="2"/>
      <c r="L512" s="2"/>
      <c r="M512" s="2"/>
      <c r="N512" s="2"/>
      <c r="O512" s="849"/>
      <c r="P512" s="837"/>
      <c r="Q512" s="2"/>
      <c r="R512" s="2"/>
      <c r="S512" s="865" t="str">
        <f>IF('[1]E-ErgInt'!S512="","",'[1]E-ErgInt'!S512)</f>
        <v>Belastungsverbot</v>
      </c>
      <c r="T512" s="2"/>
      <c r="U512" s="2"/>
      <c r="V512" s="2"/>
      <c r="W512" s="2"/>
      <c r="X512" s="979" t="str">
        <f>IF('[1]E-ErgInt'!X512="","",'[1]E-ErgInt'!X512)</f>
        <v>Karl Kreuzer Sen. und Josef Kreuzer mj</v>
      </c>
      <c r="Y512" s="2"/>
      <c r="Z512" s="2"/>
      <c r="AA512" s="2"/>
    </row>
    <row r="513" spans="1:27" s="1" customFormat="1" ht="12.75" customHeight="1" x14ac:dyDescent="0.2">
      <c r="A513" s="838"/>
      <c r="B513" s="835"/>
      <c r="C513" s="2"/>
      <c r="D513" s="2"/>
      <c r="E513" s="1165"/>
      <c r="F513" s="1166"/>
      <c r="G513" s="1166"/>
      <c r="H513" s="1166"/>
      <c r="I513" s="1166"/>
      <c r="J513" s="1166"/>
      <c r="K513" s="1166"/>
      <c r="L513" s="1166"/>
      <c r="M513" s="1167"/>
      <c r="N513" s="2"/>
      <c r="O513" s="843" t="str">
        <f>IF(E513="","",IF('[1]E-ErgInt'!E513=E513,Q513,0))</f>
        <v/>
      </c>
      <c r="P513" s="837" t="s">
        <v>463</v>
      </c>
      <c r="Q513" s="837">
        <v>0.25</v>
      </c>
      <c r="R513" s="2"/>
      <c r="S513" s="865" t="str">
        <f>IF('[1]E-ErgInt'!S513="","",'[1]E-ErgInt'!S513)</f>
        <v>Wohnungsrecht</v>
      </c>
      <c r="T513" s="2"/>
      <c r="U513" s="2"/>
      <c r="V513" s="2"/>
      <c r="W513" s="2"/>
      <c r="X513" s="2" t="str">
        <f>IF('[1]E-ErgInt'!X513="","",'[1]E-ErgInt'!X513)</f>
        <v>Gemeinde  Imst</v>
      </c>
      <c r="Y513" s="2"/>
      <c r="Z513" s="2"/>
      <c r="AA513" s="2"/>
    </row>
    <row r="514" spans="1:27" s="1" customFormat="1" ht="12.75" customHeight="1" x14ac:dyDescent="0.2">
      <c r="A514" s="838"/>
      <c r="B514" s="835"/>
      <c r="C514" s="2"/>
      <c r="D514" s="2"/>
      <c r="E514" s="982"/>
      <c r="F514" s="982"/>
      <c r="G514" s="982"/>
      <c r="H514" s="982"/>
      <c r="I514" s="982"/>
      <c r="J514" s="982"/>
      <c r="K514" s="982"/>
      <c r="L514" s="982"/>
      <c r="M514" s="982"/>
      <c r="N514" s="2"/>
      <c r="O514" s="849"/>
      <c r="P514" s="837"/>
      <c r="Q514" s="2"/>
      <c r="R514" s="2"/>
      <c r="S514" s="865" t="str">
        <f>IF('[1]E-ErgInt'!S514="","",'[1]E-ErgInt'!S514)</f>
        <v>Veräußerungsverbot</v>
      </c>
      <c r="T514" s="2"/>
      <c r="U514" s="2"/>
      <c r="V514" s="2"/>
      <c r="W514" s="2"/>
      <c r="X514" s="2"/>
      <c r="Y514" s="2"/>
      <c r="Z514" s="2"/>
      <c r="AA514" s="2"/>
    </row>
    <row r="515" spans="1:27" s="1" customFormat="1" ht="12.75" customHeight="1" x14ac:dyDescent="0.2">
      <c r="A515" s="838"/>
      <c r="B515" s="835"/>
      <c r="C515" s="2"/>
      <c r="D515" s="2"/>
      <c r="E515" s="983" t="s">
        <v>644</v>
      </c>
      <c r="F515" s="2"/>
      <c r="G515" s="2"/>
      <c r="H515" s="2"/>
      <c r="I515" s="2"/>
      <c r="J515" s="2"/>
      <c r="K515" s="2"/>
      <c r="L515" s="2"/>
      <c r="M515" s="2"/>
      <c r="N515" s="2"/>
      <c r="O515" s="849"/>
      <c r="P515" s="837"/>
      <c r="Q515" s="2"/>
      <c r="R515" s="2"/>
      <c r="S515" s="865" t="str">
        <f>IF('[1]E-ErgInt'!S515="","",'[1]E-ErgInt'!S515)</f>
        <v>Wegerecht</v>
      </c>
      <c r="T515" s="2"/>
      <c r="U515" s="2"/>
      <c r="V515" s="2"/>
      <c r="W515" s="2"/>
      <c r="X515" s="2"/>
      <c r="Y515" s="2"/>
      <c r="Z515" s="2"/>
      <c r="AA515" s="2"/>
    </row>
    <row r="516" spans="1:27" s="1" customFormat="1" ht="12.75" customHeight="1" x14ac:dyDescent="0.2">
      <c r="A516" s="838"/>
      <c r="B516" s="835"/>
      <c r="C516" s="2"/>
      <c r="D516" s="2"/>
      <c r="E516" s="1165"/>
      <c r="F516" s="1166"/>
      <c r="G516" s="1166"/>
      <c r="H516" s="1166"/>
      <c r="I516" s="1166"/>
      <c r="J516" s="1166"/>
      <c r="K516" s="1166"/>
      <c r="L516" s="1166"/>
      <c r="M516" s="1167"/>
      <c r="N516" s="2"/>
      <c r="O516" s="843" t="str">
        <f>IF(E516="","",IF('[1]E-ErgInt'!E516=E516,Q516,0))</f>
        <v/>
      </c>
      <c r="P516" s="837" t="s">
        <v>463</v>
      </c>
      <c r="Q516" s="837">
        <v>0.25</v>
      </c>
      <c r="R516" s="2"/>
      <c r="S516" s="865" t="str">
        <f>IF('[1]E-ErgInt'!S516="","",'[1]E-ErgInt'!S516)</f>
        <v>Fruchtgenussrecht</v>
      </c>
      <c r="T516" s="2"/>
      <c r="U516" s="2"/>
      <c r="V516" s="2"/>
      <c r="W516" s="2"/>
      <c r="X516" s="2"/>
      <c r="Y516" s="2"/>
      <c r="Z516" s="2"/>
      <c r="AA516" s="2"/>
    </row>
    <row r="517" spans="1:27" s="1" customFormat="1" ht="12.75" customHeight="1" x14ac:dyDescent="0.2">
      <c r="A517" s="838"/>
      <c r="B517" s="835"/>
      <c r="C517" s="2"/>
      <c r="D517" s="2"/>
      <c r="E517" s="983" t="s">
        <v>642</v>
      </c>
      <c r="F517" s="2"/>
      <c r="G517" s="2"/>
      <c r="H517" s="2"/>
      <c r="I517" s="2"/>
      <c r="J517" s="2"/>
      <c r="K517" s="2"/>
      <c r="L517" s="2"/>
      <c r="M517" s="2"/>
      <c r="N517" s="2"/>
      <c r="O517" s="849"/>
      <c r="P517" s="837"/>
      <c r="Q517" s="2"/>
      <c r="R517" s="2"/>
      <c r="S517" s="865" t="str">
        <f>IF('[1]E-ErgInt'!S517="","",'[1]E-ErgInt'!S517)</f>
        <v>Holzbringungsrecht</v>
      </c>
      <c r="T517" s="2"/>
      <c r="U517" s="2"/>
      <c r="V517" s="2"/>
      <c r="W517" s="2"/>
      <c r="X517" s="2"/>
      <c r="Y517" s="2"/>
      <c r="Z517" s="2"/>
      <c r="AA517" s="2"/>
    </row>
    <row r="518" spans="1:27" s="1" customFormat="1" ht="12.75" customHeight="1" x14ac:dyDescent="0.2">
      <c r="A518" s="838"/>
      <c r="B518" s="835"/>
      <c r="C518" s="2"/>
      <c r="D518" s="2"/>
      <c r="E518" s="1165"/>
      <c r="F518" s="1166"/>
      <c r="G518" s="1166"/>
      <c r="H518" s="1166"/>
      <c r="I518" s="1166"/>
      <c r="J518" s="1166"/>
      <c r="K518" s="1166"/>
      <c r="L518" s="1166"/>
      <c r="M518" s="1167"/>
      <c r="N518" s="2"/>
      <c r="O518" s="843" t="str">
        <f>IF(E518="","",IF('[1]E-ErgInt'!E518=E518,Q518,0))</f>
        <v/>
      </c>
      <c r="P518" s="837" t="s">
        <v>463</v>
      </c>
      <c r="Q518" s="837">
        <v>0.25</v>
      </c>
      <c r="R518" s="2"/>
      <c r="S518" s="865" t="str">
        <f>IF('[1]E-ErgInt'!S518="","",'[1]E-ErgInt'!S518)</f>
        <v>Duldung eines Handymasten</v>
      </c>
      <c r="T518" s="2"/>
      <c r="U518" s="2"/>
      <c r="V518" s="2"/>
      <c r="W518" s="2"/>
      <c r="X518" s="2"/>
      <c r="Y518" s="2"/>
      <c r="Z518" s="2"/>
      <c r="AA518" s="2"/>
    </row>
    <row r="519" spans="1:27" s="1" customFormat="1" ht="12.75" customHeight="1" x14ac:dyDescent="0.2">
      <c r="A519" s="838"/>
      <c r="B519" s="835"/>
      <c r="C519" s="2"/>
      <c r="D519" s="2"/>
      <c r="E519" s="982"/>
      <c r="F519" s="982"/>
      <c r="G519" s="982"/>
      <c r="H519" s="982"/>
      <c r="I519" s="982"/>
      <c r="J519" s="982"/>
      <c r="K519" s="982"/>
      <c r="L519" s="982"/>
      <c r="M519" s="982"/>
      <c r="N519" s="2"/>
      <c r="O519" s="849"/>
      <c r="P519" s="837"/>
      <c r="Q519" s="2"/>
      <c r="R519" s="2"/>
      <c r="S519" s="865" t="str">
        <f>IF('[1]E-ErgInt'!S519="","",'[1]E-ErgInt'!S519)</f>
        <v>Belastungs- und Veräußerungsverbot</v>
      </c>
      <c r="T519" s="2"/>
      <c r="U519" s="2"/>
      <c r="V519" s="2"/>
      <c r="W519" s="2"/>
      <c r="X519" s="2"/>
      <c r="Y519" s="2"/>
      <c r="Z519" s="2"/>
      <c r="AA519" s="2"/>
    </row>
    <row r="520" spans="1:27" s="1" customFormat="1" ht="12.75" customHeight="1" x14ac:dyDescent="0.2">
      <c r="A520" s="838"/>
      <c r="B520" s="835"/>
      <c r="C520" s="2"/>
      <c r="D520" s="2"/>
      <c r="E520" s="983" t="s">
        <v>645</v>
      </c>
      <c r="F520" s="2"/>
      <c r="G520" s="2"/>
      <c r="H520" s="2"/>
      <c r="I520" s="2"/>
      <c r="J520" s="2"/>
      <c r="K520" s="2"/>
      <c r="L520" s="2"/>
      <c r="M520" s="2"/>
      <c r="N520" s="2"/>
      <c r="O520" s="849"/>
      <c r="P520" s="837"/>
      <c r="Q520" s="2"/>
      <c r="R520" s="2"/>
      <c r="S520" s="865" t="str">
        <f>IF('[1]E-ErgInt'!S520="","",'[1]E-ErgInt'!S520)</f>
        <v>Vorkaufsrecht</v>
      </c>
      <c r="T520" s="2"/>
      <c r="U520" s="2"/>
      <c r="V520" s="2"/>
      <c r="W520" s="2"/>
      <c r="X520" s="2"/>
      <c r="Y520" s="2"/>
      <c r="Z520" s="2"/>
      <c r="AA520" s="2"/>
    </row>
    <row r="521" spans="1:27" s="1" customFormat="1" ht="12.75" customHeight="1" x14ac:dyDescent="0.2">
      <c r="A521" s="838"/>
      <c r="B521" s="835"/>
      <c r="C521" s="2"/>
      <c r="D521" s="2"/>
      <c r="E521" s="1165"/>
      <c r="F521" s="1166"/>
      <c r="G521" s="1166"/>
      <c r="H521" s="1166"/>
      <c r="I521" s="1166"/>
      <c r="J521" s="1166"/>
      <c r="K521" s="1166"/>
      <c r="L521" s="1166"/>
      <c r="M521" s="1167"/>
      <c r="N521" s="2"/>
      <c r="O521" s="843" t="str">
        <f>IF(E521="","",IF('[1]E-ErgInt'!E521=E521,Q521,0))</f>
        <v/>
      </c>
      <c r="P521" s="837" t="s">
        <v>463</v>
      </c>
      <c r="Q521" s="837">
        <v>0.25</v>
      </c>
      <c r="R521" s="2"/>
      <c r="S521" s="865" t="str">
        <f>IF('[1]E-ErgInt'!S521="","",'[1]E-ErgInt'!S521)</f>
        <v>Anschlusspflicht</v>
      </c>
      <c r="T521" s="2"/>
      <c r="U521" s="2"/>
      <c r="V521" s="2"/>
      <c r="W521" s="2"/>
      <c r="X521" s="2"/>
      <c r="Y521" s="2"/>
      <c r="Z521" s="2"/>
      <c r="AA521" s="2"/>
    </row>
    <row r="522" spans="1:27" s="1" customFormat="1" ht="12.75" customHeight="1" x14ac:dyDescent="0.2">
      <c r="A522" s="838"/>
      <c r="B522" s="835"/>
      <c r="C522" s="2"/>
      <c r="D522" s="2"/>
      <c r="E522" s="983" t="s">
        <v>642</v>
      </c>
      <c r="F522" s="2"/>
      <c r="G522" s="2"/>
      <c r="H522" s="2"/>
      <c r="I522" s="2"/>
      <c r="J522" s="2"/>
      <c r="K522" s="2"/>
      <c r="L522" s="2"/>
      <c r="M522" s="2"/>
      <c r="N522" s="2"/>
      <c r="O522" s="849"/>
      <c r="P522" s="837"/>
      <c r="Q522" s="2"/>
      <c r="R522" s="2"/>
      <c r="S522" s="865" t="str">
        <f>IF('[1]E-ErgInt'!S522="","",'[1]E-ErgInt'!S522)</f>
        <v>Wasserrecht</v>
      </c>
      <c r="T522" s="2"/>
      <c r="U522" s="2"/>
      <c r="V522" s="2"/>
      <c r="W522" s="2"/>
      <c r="X522" s="2"/>
      <c r="Y522" s="2"/>
      <c r="Z522" s="2"/>
      <c r="AA522" s="2"/>
    </row>
    <row r="523" spans="1:27" s="1" customFormat="1" ht="12.75" customHeight="1" x14ac:dyDescent="0.2">
      <c r="A523" s="838"/>
      <c r="B523" s="835"/>
      <c r="C523" s="2"/>
      <c r="D523" s="2"/>
      <c r="E523" s="1165"/>
      <c r="F523" s="1166"/>
      <c r="G523" s="1166"/>
      <c r="H523" s="1166"/>
      <c r="I523" s="1166"/>
      <c r="J523" s="1166"/>
      <c r="K523" s="1166"/>
      <c r="L523" s="1166"/>
      <c r="M523" s="1167"/>
      <c r="N523" s="2"/>
      <c r="O523" s="843" t="str">
        <f>IF(E523="","",IF('[1]E-ErgInt'!E523=E523,Q523,0))</f>
        <v/>
      </c>
      <c r="P523" s="837" t="s">
        <v>463</v>
      </c>
      <c r="Q523" s="837">
        <v>0.25</v>
      </c>
      <c r="R523" s="2"/>
      <c r="S523" s="2"/>
      <c r="T523" s="2"/>
      <c r="U523" s="2"/>
      <c r="V523" s="2"/>
      <c r="W523" s="2"/>
      <c r="X523" s="2"/>
      <c r="Y523" s="2"/>
      <c r="Z523" s="2"/>
      <c r="AA523" s="2"/>
    </row>
    <row r="524" spans="1:27" s="1" customFormat="1" ht="12.75" customHeight="1" x14ac:dyDescent="0.2">
      <c r="A524" s="838"/>
      <c r="B524" s="835"/>
      <c r="C524" s="2"/>
      <c r="D524" s="2"/>
      <c r="E524" s="982"/>
      <c r="F524" s="982"/>
      <c r="G524" s="982"/>
      <c r="H524" s="982"/>
      <c r="I524" s="982"/>
      <c r="J524" s="982"/>
      <c r="K524" s="982"/>
      <c r="L524" s="982"/>
      <c r="M524" s="982"/>
      <c r="N524" s="2"/>
      <c r="O524" s="849"/>
      <c r="P524" s="837"/>
      <c r="Q524" s="2"/>
      <c r="R524" s="2"/>
      <c r="S524" s="2"/>
      <c r="T524" s="2"/>
      <c r="U524" s="2"/>
      <c r="V524" s="2"/>
      <c r="W524" s="2"/>
      <c r="X524" s="2"/>
      <c r="Y524" s="2"/>
      <c r="Z524" s="2"/>
      <c r="AA524" s="2"/>
    </row>
    <row r="525" spans="1:27" s="1" customFormat="1" ht="12.75" customHeight="1" x14ac:dyDescent="0.2">
      <c r="A525" s="838"/>
      <c r="B525" s="835"/>
      <c r="C525" s="2"/>
      <c r="D525" s="2" t="s">
        <v>571</v>
      </c>
      <c r="E525" s="983" t="s">
        <v>646</v>
      </c>
      <c r="F525" s="2"/>
      <c r="G525" s="2"/>
      <c r="H525" s="2"/>
      <c r="I525" s="2"/>
      <c r="J525" s="2"/>
      <c r="K525" s="2"/>
      <c r="L525" s="2"/>
      <c r="M525" s="2"/>
      <c r="N525" s="2"/>
      <c r="O525" s="849"/>
      <c r="P525" s="837"/>
      <c r="Q525" s="2"/>
      <c r="R525" s="2"/>
      <c r="S525" s="2"/>
      <c r="T525" s="2"/>
      <c r="U525" s="2"/>
      <c r="V525" s="2"/>
      <c r="W525" s="2"/>
      <c r="X525" s="2"/>
      <c r="Y525" s="2"/>
      <c r="Z525" s="2"/>
      <c r="AA525" s="2"/>
    </row>
    <row r="526" spans="1:27" s="1" customFormat="1" ht="12.75" customHeight="1" x14ac:dyDescent="0.2">
      <c r="A526" s="838"/>
      <c r="B526" s="835"/>
      <c r="C526" s="2"/>
      <c r="D526" s="2"/>
      <c r="E526" s="851"/>
      <c r="F526" s="976" t="str">
        <f>IF('[1]E-ErgInt'!$F526="","",'[1]E-ErgInt'!$F526)</f>
        <v>Nach dem Wert des Rechtes (höherer Wert vor niedrigerem!)</v>
      </c>
      <c r="G526" s="2"/>
      <c r="H526" s="2"/>
      <c r="I526" s="2"/>
      <c r="J526" s="2"/>
      <c r="K526" s="2"/>
      <c r="L526" s="2"/>
      <c r="M526" s="2"/>
      <c r="N526" s="2"/>
      <c r="O526" s="843" t="str">
        <f>IF(AND(E526='[1]E-ErgInt'!E526,E528='[1]E-ErgInt'!E528,E530='[1]E-ErgInt'!E530,E532='[1]E-ErgInt'!E532),Q526,"")</f>
        <v/>
      </c>
      <c r="P526" s="837" t="s">
        <v>463</v>
      </c>
      <c r="Q526" s="837">
        <v>1</v>
      </c>
      <c r="R526" s="2"/>
      <c r="S526" s="2"/>
      <c r="T526" s="2"/>
      <c r="U526" s="2"/>
      <c r="V526" s="2"/>
      <c r="W526" s="2"/>
      <c r="X526" s="2"/>
      <c r="Y526" s="2"/>
      <c r="Z526" s="2"/>
      <c r="AA526" s="2"/>
    </row>
    <row r="527" spans="1:27" s="1" customFormat="1" ht="3.95" customHeight="1" x14ac:dyDescent="0.2">
      <c r="A527" s="838"/>
      <c r="B527" s="835"/>
      <c r="C527" s="2"/>
      <c r="D527" s="2"/>
      <c r="E527" s="2"/>
      <c r="F527" s="2"/>
      <c r="G527" s="2"/>
      <c r="H527" s="2"/>
      <c r="I527" s="2"/>
      <c r="J527" s="2"/>
      <c r="K527" s="2"/>
      <c r="L527" s="2"/>
      <c r="M527" s="2"/>
      <c r="N527" s="2"/>
      <c r="O527" s="849"/>
      <c r="P527" s="837"/>
      <c r="Q527" s="2"/>
      <c r="R527" s="2"/>
      <c r="S527" s="2"/>
      <c r="T527" s="2"/>
      <c r="U527" s="2"/>
      <c r="V527" s="2"/>
      <c r="W527" s="2"/>
      <c r="X527" s="2"/>
      <c r="Y527" s="2"/>
      <c r="Z527" s="2"/>
      <c r="AA527" s="2"/>
    </row>
    <row r="528" spans="1:27" s="1" customFormat="1" ht="12.75" customHeight="1" x14ac:dyDescent="0.2">
      <c r="A528" s="838"/>
      <c r="B528" s="835"/>
      <c r="C528" s="2"/>
      <c r="D528" s="2"/>
      <c r="E528" s="851"/>
      <c r="F528" s="976" t="str">
        <f>IF('[1]E-ErgInt'!$F528="","",'[1]E-ErgInt'!$F528)</f>
        <v>Nach Datum der Eintragung (Ältere vor Jüngeren!)</v>
      </c>
      <c r="G528" s="2"/>
      <c r="H528" s="2"/>
      <c r="I528" s="2"/>
      <c r="J528" s="2"/>
      <c r="K528" s="2"/>
      <c r="L528" s="2"/>
      <c r="M528" s="2"/>
      <c r="N528" s="2"/>
      <c r="O528" s="849"/>
      <c r="P528" s="837"/>
      <c r="Q528" s="2"/>
      <c r="R528" s="2"/>
      <c r="S528" s="2"/>
      <c r="T528" s="2"/>
      <c r="U528" s="2"/>
      <c r="V528" s="2"/>
      <c r="W528" s="2"/>
      <c r="X528" s="2"/>
      <c r="Y528" s="2"/>
      <c r="Z528" s="2"/>
      <c r="AA528" s="2"/>
    </row>
    <row r="529" spans="1:27" s="1" customFormat="1" ht="3.95" customHeight="1" x14ac:dyDescent="0.2">
      <c r="A529" s="838"/>
      <c r="B529" s="835"/>
      <c r="C529" s="2"/>
      <c r="D529" s="2"/>
      <c r="E529" s="2"/>
      <c r="F529" s="2"/>
      <c r="G529" s="2"/>
      <c r="H529" s="2"/>
      <c r="I529" s="2"/>
      <c r="J529" s="2"/>
      <c r="K529" s="2"/>
      <c r="L529" s="2"/>
      <c r="M529" s="2"/>
      <c r="N529" s="2"/>
      <c r="O529" s="849"/>
      <c r="P529" s="837"/>
      <c r="Q529" s="2"/>
      <c r="R529" s="2"/>
      <c r="S529" s="2"/>
      <c r="T529" s="2"/>
      <c r="U529" s="2"/>
      <c r="V529" s="2"/>
      <c r="W529" s="2"/>
      <c r="X529" s="2"/>
      <c r="Y529" s="2"/>
      <c r="Z529" s="2"/>
      <c r="AA529" s="2"/>
    </row>
    <row r="530" spans="1:27" s="1" customFormat="1" ht="12.75" customHeight="1" x14ac:dyDescent="0.2">
      <c r="A530" s="838"/>
      <c r="B530" s="835"/>
      <c r="C530" s="2"/>
      <c r="D530" s="2"/>
      <c r="E530" s="851"/>
      <c r="F530" s="976" t="str">
        <f>IF('[1]E-ErgInt'!$F530="","",'[1]E-ErgInt'!$F530)</f>
        <v>Nach dem Wert des Rechtes (niedrigerer Wert vor höherem!)</v>
      </c>
      <c r="G530" s="2"/>
      <c r="H530" s="2"/>
      <c r="I530" s="2"/>
      <c r="J530" s="2"/>
      <c r="K530" s="2"/>
      <c r="L530" s="2"/>
      <c r="M530" s="2"/>
      <c r="N530" s="2"/>
      <c r="O530" s="849"/>
      <c r="P530" s="837"/>
      <c r="Q530" s="2"/>
      <c r="R530" s="2"/>
      <c r="S530" s="2"/>
      <c r="T530" s="2"/>
      <c r="U530" s="2"/>
      <c r="V530" s="2"/>
      <c r="W530" s="2"/>
      <c r="X530" s="2"/>
      <c r="Y530" s="2"/>
      <c r="Z530" s="2"/>
      <c r="AA530" s="2"/>
    </row>
    <row r="531" spans="1:27" s="1" customFormat="1" ht="3.95" customHeight="1" x14ac:dyDescent="0.2">
      <c r="A531" s="838"/>
      <c r="B531" s="835"/>
      <c r="C531" s="2"/>
      <c r="D531" s="2"/>
      <c r="E531" s="2"/>
      <c r="G531" s="2"/>
      <c r="H531" s="2"/>
      <c r="I531" s="2"/>
      <c r="J531" s="2"/>
      <c r="K531" s="2"/>
      <c r="L531" s="2"/>
      <c r="M531" s="2"/>
      <c r="N531" s="2"/>
      <c r="O531" s="849"/>
      <c r="P531" s="837"/>
      <c r="Q531" s="2"/>
      <c r="R531" s="2"/>
      <c r="S531" s="2"/>
      <c r="T531" s="2"/>
      <c r="U531" s="2"/>
      <c r="V531" s="2"/>
      <c r="W531" s="2"/>
      <c r="X531" s="2"/>
      <c r="Y531" s="2"/>
      <c r="Z531" s="2"/>
      <c r="AA531" s="2"/>
    </row>
    <row r="532" spans="1:27" s="1" customFormat="1" ht="12.75" customHeight="1" x14ac:dyDescent="0.2">
      <c r="A532" s="838"/>
      <c r="B532" s="835"/>
      <c r="C532" s="2"/>
      <c r="D532" s="2"/>
      <c r="E532" s="851"/>
      <c r="F532" s="976" t="str">
        <f>IF('[1]E-ErgInt'!$F532="","",'[1]E-ErgInt'!$F532)</f>
        <v>Nach Datum der Eintragung (Jüngere vor Älteren!)</v>
      </c>
      <c r="G532" s="2"/>
      <c r="H532" s="2"/>
      <c r="I532" s="2"/>
      <c r="J532" s="2"/>
      <c r="K532" s="2"/>
      <c r="L532" s="2"/>
      <c r="M532" s="2"/>
      <c r="N532" s="2"/>
      <c r="O532" s="849"/>
      <c r="P532" s="837"/>
      <c r="Q532" s="2"/>
      <c r="R532" s="2"/>
      <c r="S532" s="2"/>
      <c r="T532" s="2"/>
      <c r="U532" s="2"/>
      <c r="V532" s="2"/>
      <c r="W532" s="2"/>
      <c r="X532" s="2"/>
      <c r="Y532" s="2"/>
      <c r="Z532" s="2"/>
      <c r="AA532" s="2"/>
    </row>
    <row r="533" spans="1:27" s="1" customFormat="1" ht="12.75" customHeight="1" x14ac:dyDescent="0.2">
      <c r="A533" s="838"/>
      <c r="B533" s="835"/>
      <c r="C533" s="2"/>
      <c r="D533" s="2"/>
      <c r="E533" s="2" t="s">
        <v>647</v>
      </c>
      <c r="F533" s="2"/>
      <c r="G533" s="2"/>
      <c r="H533" s="2"/>
      <c r="I533" s="2"/>
      <c r="J533" s="2"/>
      <c r="K533" s="2"/>
      <c r="L533" s="2"/>
      <c r="M533" s="2"/>
      <c r="N533" s="2"/>
      <c r="O533" s="849"/>
      <c r="P533" s="837"/>
      <c r="Q533" s="2"/>
      <c r="R533" s="2"/>
      <c r="S533" s="974" t="s">
        <v>572</v>
      </c>
      <c r="T533" s="974"/>
      <c r="U533" s="974"/>
      <c r="V533" s="974"/>
      <c r="W533" s="2"/>
      <c r="X533" s="2"/>
      <c r="Y533" s="2"/>
      <c r="Z533" s="2"/>
      <c r="AA533" s="2"/>
    </row>
    <row r="534" spans="1:27" s="1" customFormat="1" ht="12.75" customHeight="1" x14ac:dyDescent="0.2">
      <c r="A534" s="838"/>
      <c r="B534" s="835"/>
      <c r="C534" s="2"/>
      <c r="D534" s="2"/>
      <c r="E534" s="1165"/>
      <c r="F534" s="1166"/>
      <c r="G534" s="1166"/>
      <c r="H534" s="1166"/>
      <c r="I534" s="1166"/>
      <c r="J534" s="1166"/>
      <c r="K534" s="1166"/>
      <c r="L534" s="1166"/>
      <c r="M534" s="1167"/>
      <c r="N534" s="2"/>
      <c r="O534" s="843" t="str">
        <f>IF(E534="","",IF('[1]E-ErgInt'!E534=E534,Q534,0))</f>
        <v/>
      </c>
      <c r="P534" s="837" t="s">
        <v>463</v>
      </c>
      <c r="Q534" s="837">
        <v>1</v>
      </c>
      <c r="R534" s="2"/>
      <c r="S534" s="2" t="str">
        <f>IF('[1]E-ErgInt'!S534="","",'[1]E-ErgInt'!S534)</f>
        <v>Löschung</v>
      </c>
      <c r="T534" s="2" t="str">
        <f>IF('[1]E-ErgInt'!T534="","",'[1]E-ErgInt'!T534)</f>
        <v>Vorrang</v>
      </c>
      <c r="U534" s="2" t="str">
        <f>IF('[1]E-ErgInt'!U534="","",'[1]E-ErgInt'!U534)</f>
        <v>Änderung</v>
      </c>
      <c r="V534" s="2" t="str">
        <f>IF('[1]E-ErgInt'!V534="","",'[1]E-ErgInt'!V534)</f>
        <v>Rückreihung</v>
      </c>
      <c r="W534" s="2"/>
      <c r="X534" s="2"/>
      <c r="Y534" s="2"/>
      <c r="Z534" s="2"/>
      <c r="AA534" s="2"/>
    </row>
    <row r="535" spans="1:27" s="1" customFormat="1" ht="12.75" customHeight="1" x14ac:dyDescent="0.2">
      <c r="A535" s="838"/>
      <c r="B535" s="835"/>
      <c r="C535" s="2"/>
      <c r="D535" s="2"/>
      <c r="E535" s="982"/>
      <c r="F535" s="982"/>
      <c r="G535" s="982"/>
      <c r="H535" s="982"/>
      <c r="I535" s="982"/>
      <c r="J535" s="982"/>
      <c r="K535" s="982"/>
      <c r="L535" s="982"/>
      <c r="M535" s="982"/>
      <c r="N535" s="2"/>
      <c r="O535" s="849"/>
      <c r="P535" s="837"/>
      <c r="Q535" s="2"/>
      <c r="R535" s="2"/>
      <c r="S535" s="2"/>
      <c r="T535" s="2"/>
      <c r="U535" s="2"/>
      <c r="V535" s="2"/>
      <c r="W535" s="2"/>
      <c r="X535" s="2"/>
      <c r="Y535" s="2"/>
      <c r="Z535" s="2"/>
      <c r="AA535" s="2"/>
    </row>
    <row r="536" spans="1:27" s="2" customFormat="1" ht="12.75" customHeight="1" x14ac:dyDescent="0.2">
      <c r="A536" s="838"/>
      <c r="B536" s="835"/>
      <c r="C536" s="990" t="s">
        <v>573</v>
      </c>
      <c r="D536" s="990"/>
      <c r="E536" s="991"/>
      <c r="F536" s="991"/>
      <c r="G536" s="990"/>
      <c r="H536" s="990"/>
      <c r="I536" s="990"/>
      <c r="J536" s="990"/>
      <c r="K536" s="990"/>
      <c r="L536" s="990"/>
      <c r="M536" s="990"/>
      <c r="N536" s="990"/>
      <c r="O536" s="992">
        <f>SUM(O2:O535)</f>
        <v>0</v>
      </c>
      <c r="P536" s="993" t="s">
        <v>463</v>
      </c>
      <c r="Q536" s="994">
        <f>SUM(Q2:Q535)</f>
        <v>138</v>
      </c>
    </row>
    <row r="537" spans="1:27" s="2" customFormat="1" ht="3" customHeight="1" x14ac:dyDescent="0.2">
      <c r="A537" s="838"/>
      <c r="B537" s="835"/>
      <c r="C537" s="995"/>
      <c r="D537" s="995"/>
      <c r="E537" s="996"/>
      <c r="F537" s="996"/>
      <c r="G537" s="995"/>
      <c r="H537" s="995"/>
      <c r="I537" s="995"/>
      <c r="J537" s="995"/>
      <c r="K537" s="995"/>
      <c r="L537" s="995"/>
      <c r="M537" s="995"/>
      <c r="N537" s="995"/>
      <c r="O537" s="997"/>
      <c r="P537" s="998"/>
      <c r="Q537" s="999"/>
    </row>
    <row r="538" spans="1:27" ht="12.75" hidden="1" customHeight="1" x14ac:dyDescent="0.2">
      <c r="A538" s="838"/>
      <c r="B538" s="835"/>
      <c r="C538" s="2"/>
      <c r="D538" s="2"/>
      <c r="E538" s="2"/>
      <c r="F538" s="2"/>
      <c r="G538" s="2"/>
      <c r="H538" s="2"/>
      <c r="I538" s="2"/>
      <c r="J538" s="2"/>
      <c r="K538" s="2"/>
      <c r="L538" s="2"/>
      <c r="M538" s="2"/>
      <c r="N538" s="2"/>
      <c r="O538" s="849"/>
      <c r="P538" s="837"/>
      <c r="Q538" s="2"/>
      <c r="R538" s="2"/>
      <c r="S538" s="2"/>
      <c r="T538" s="2"/>
      <c r="U538" s="2"/>
      <c r="V538" s="2"/>
      <c r="W538" s="2"/>
      <c r="X538" s="2"/>
      <c r="Y538" s="2"/>
      <c r="Z538" s="2"/>
      <c r="AA538" s="2"/>
    </row>
    <row r="539" spans="1:27" ht="12.75" hidden="1" customHeight="1" x14ac:dyDescent="0.2">
      <c r="A539" s="975"/>
      <c r="B539" s="975"/>
      <c r="C539" s="975"/>
      <c r="D539" s="975"/>
      <c r="E539" s="975"/>
      <c r="F539" s="975"/>
      <c r="G539" s="975"/>
      <c r="H539" s="975"/>
      <c r="I539" s="975"/>
      <c r="J539" s="975"/>
      <c r="K539" s="975"/>
      <c r="L539" s="975"/>
      <c r="M539" s="975"/>
      <c r="N539" s="975"/>
      <c r="O539" s="1000"/>
      <c r="P539" s="1001"/>
      <c r="Q539" s="975"/>
      <c r="R539" s="975"/>
      <c r="S539" s="975"/>
      <c r="T539" s="975"/>
      <c r="U539" s="975"/>
      <c r="V539" s="975"/>
      <c r="W539" s="975"/>
      <c r="X539" s="975"/>
      <c r="Y539" s="975"/>
      <c r="Z539" s="975"/>
      <c r="AA539" s="975"/>
    </row>
  </sheetData>
  <sheetProtection sheet="1" objects="1" scenarios="1"/>
  <mergeCells count="421">
    <mergeCell ref="E431:F431"/>
    <mergeCell ref="E459:F459"/>
    <mergeCell ref="E483:M483"/>
    <mergeCell ref="E466:F466"/>
    <mergeCell ref="E470:F470"/>
    <mergeCell ref="E461:F461"/>
    <mergeCell ref="E448:F448"/>
    <mergeCell ref="E450:F450"/>
    <mergeCell ref="E453:F453"/>
    <mergeCell ref="E456:F456"/>
    <mergeCell ref="E464:F464"/>
    <mergeCell ref="F111:M112"/>
    <mergeCell ref="F113:M114"/>
    <mergeCell ref="E511:M511"/>
    <mergeCell ref="E494:M494"/>
    <mergeCell ref="E479:F479"/>
    <mergeCell ref="L294:M294"/>
    <mergeCell ref="L295:M295"/>
    <mergeCell ref="L296:M296"/>
    <mergeCell ref="L297:M297"/>
    <mergeCell ref="L300:M300"/>
    <mergeCell ref="L292:M292"/>
    <mergeCell ref="L293:M293"/>
    <mergeCell ref="L298:M298"/>
    <mergeCell ref="L299:M299"/>
    <mergeCell ref="L302:M302"/>
    <mergeCell ref="L303:M303"/>
    <mergeCell ref="G327:J327"/>
    <mergeCell ref="G314:J314"/>
    <mergeCell ref="G323:J323"/>
    <mergeCell ref="G324:J324"/>
    <mergeCell ref="D408:F408"/>
    <mergeCell ref="L320:M320"/>
    <mergeCell ref="E205:M205"/>
    <mergeCell ref="F182:M184"/>
    <mergeCell ref="E120:M120"/>
    <mergeCell ref="E135:M135"/>
    <mergeCell ref="L306:M306"/>
    <mergeCell ref="L313:M313"/>
    <mergeCell ref="L304:M304"/>
    <mergeCell ref="F163:M163"/>
    <mergeCell ref="F177:M178"/>
    <mergeCell ref="L312:M312"/>
    <mergeCell ref="L311:M311"/>
    <mergeCell ref="L305:M305"/>
    <mergeCell ref="L288:M288"/>
    <mergeCell ref="L289:M289"/>
    <mergeCell ref="L290:M290"/>
    <mergeCell ref="L291:M291"/>
    <mergeCell ref="L287:M287"/>
    <mergeCell ref="L286:M286"/>
    <mergeCell ref="L301:M301"/>
    <mergeCell ref="E186:M186"/>
    <mergeCell ref="L309:M309"/>
    <mergeCell ref="G312:J312"/>
    <mergeCell ref="D290:E290"/>
    <mergeCell ref="G305:J305"/>
    <mergeCell ref="G310:J310"/>
    <mergeCell ref="G308:J308"/>
    <mergeCell ref="C143:C224"/>
    <mergeCell ref="E213:M213"/>
    <mergeCell ref="F215:M216"/>
    <mergeCell ref="F217:M218"/>
    <mergeCell ref="E534:M534"/>
    <mergeCell ref="E513:M513"/>
    <mergeCell ref="E518:M518"/>
    <mergeCell ref="E516:M516"/>
    <mergeCell ref="E521:M521"/>
    <mergeCell ref="D394:F394"/>
    <mergeCell ref="E155:M155"/>
    <mergeCell ref="D412:F412"/>
    <mergeCell ref="D410:F410"/>
    <mergeCell ref="E523:M523"/>
    <mergeCell ref="D406:F406"/>
    <mergeCell ref="E508:M508"/>
    <mergeCell ref="E506:M506"/>
    <mergeCell ref="E472:M472"/>
    <mergeCell ref="E474:F474"/>
    <mergeCell ref="D398:F398"/>
    <mergeCell ref="D402:F402"/>
    <mergeCell ref="D400:F400"/>
    <mergeCell ref="E477:F477"/>
    <mergeCell ref="G326:J326"/>
    <mergeCell ref="F73:M75"/>
    <mergeCell ref="F94:M95"/>
    <mergeCell ref="F219:M220"/>
    <mergeCell ref="G304:J304"/>
    <mergeCell ref="G320:J320"/>
    <mergeCell ref="D313:E313"/>
    <mergeCell ref="A1:A2"/>
    <mergeCell ref="D404:F404"/>
    <mergeCell ref="F76:M78"/>
    <mergeCell ref="F115:M116"/>
    <mergeCell ref="F96:M97"/>
    <mergeCell ref="E107:M107"/>
    <mergeCell ref="F109:M110"/>
    <mergeCell ref="F179:M181"/>
    <mergeCell ref="F117:M118"/>
    <mergeCell ref="F221:M222"/>
    <mergeCell ref="F202:M203"/>
    <mergeCell ref="E80:M80"/>
    <mergeCell ref="E90:M90"/>
    <mergeCell ref="F92:M93"/>
    <mergeCell ref="E196:M196"/>
    <mergeCell ref="F198:M199"/>
    <mergeCell ref="L317:M317"/>
    <mergeCell ref="D396:F396"/>
    <mergeCell ref="O1:Q1"/>
    <mergeCell ref="E14:M14"/>
    <mergeCell ref="F27:M29"/>
    <mergeCell ref="F30:M32"/>
    <mergeCell ref="F21:M23"/>
    <mergeCell ref="K5:M7"/>
    <mergeCell ref="F16:M18"/>
    <mergeCell ref="F19:M20"/>
    <mergeCell ref="F71:M72"/>
    <mergeCell ref="E25:M25"/>
    <mergeCell ref="F51:M52"/>
    <mergeCell ref="F53:M54"/>
    <mergeCell ref="F55:M56"/>
    <mergeCell ref="E69:M69"/>
    <mergeCell ref="F33:M34"/>
    <mergeCell ref="E49:M49"/>
    <mergeCell ref="F57:M57"/>
    <mergeCell ref="L323:M323"/>
    <mergeCell ref="L324:M324"/>
    <mergeCell ref="L325:M325"/>
    <mergeCell ref="L326:M326"/>
    <mergeCell ref="L307:M307"/>
    <mergeCell ref="G313:J313"/>
    <mergeCell ref="G321:J321"/>
    <mergeCell ref="L315:M315"/>
    <mergeCell ref="L318:M318"/>
    <mergeCell ref="L316:M316"/>
    <mergeCell ref="L319:M319"/>
    <mergeCell ref="L321:M321"/>
    <mergeCell ref="L310:M310"/>
    <mergeCell ref="L322:M322"/>
    <mergeCell ref="L314:M314"/>
    <mergeCell ref="G315:J315"/>
    <mergeCell ref="G316:J316"/>
    <mergeCell ref="G317:J317"/>
    <mergeCell ref="G318:J318"/>
    <mergeCell ref="G319:J319"/>
    <mergeCell ref="G325:J325"/>
    <mergeCell ref="L308:M308"/>
    <mergeCell ref="G311:J311"/>
    <mergeCell ref="G309:J309"/>
    <mergeCell ref="D314:E314"/>
    <mergeCell ref="G283:J283"/>
    <mergeCell ref="D305:E305"/>
    <mergeCell ref="D306:E306"/>
    <mergeCell ref="D307:E307"/>
    <mergeCell ref="D308:E308"/>
    <mergeCell ref="G292:J292"/>
    <mergeCell ref="G296:J296"/>
    <mergeCell ref="G299:J299"/>
    <mergeCell ref="G300:J300"/>
    <mergeCell ref="G301:J301"/>
    <mergeCell ref="G302:J302"/>
    <mergeCell ref="G307:J307"/>
    <mergeCell ref="G303:J303"/>
    <mergeCell ref="D295:E295"/>
    <mergeCell ref="G290:J290"/>
    <mergeCell ref="G291:J291"/>
    <mergeCell ref="D301:E301"/>
    <mergeCell ref="D299:E299"/>
    <mergeCell ref="D300:E300"/>
    <mergeCell ref="D298:E298"/>
    <mergeCell ref="D288:E288"/>
    <mergeCell ref="D289:E289"/>
    <mergeCell ref="D296:E296"/>
    <mergeCell ref="G306:J306"/>
    <mergeCell ref="O275:P275"/>
    <mergeCell ref="G284:J284"/>
    <mergeCell ref="G285:J285"/>
    <mergeCell ref="G286:J286"/>
    <mergeCell ref="L281:M281"/>
    <mergeCell ref="G281:J281"/>
    <mergeCell ref="G282:J282"/>
    <mergeCell ref="L283:M283"/>
    <mergeCell ref="L284:M284"/>
    <mergeCell ref="L285:M285"/>
    <mergeCell ref="L282:M282"/>
    <mergeCell ref="G297:J297"/>
    <mergeCell ref="G293:J293"/>
    <mergeCell ref="G294:J294"/>
    <mergeCell ref="G295:J295"/>
    <mergeCell ref="G287:J287"/>
    <mergeCell ref="G288:J288"/>
    <mergeCell ref="G289:J289"/>
    <mergeCell ref="W270:X270"/>
    <mergeCell ref="W271:X271"/>
    <mergeCell ref="D280:E280"/>
    <mergeCell ref="J276:N277"/>
    <mergeCell ref="L280:M280"/>
    <mergeCell ref="G278:J278"/>
    <mergeCell ref="G279:J279"/>
    <mergeCell ref="G280:J280"/>
    <mergeCell ref="D279:E279"/>
    <mergeCell ref="D278:E278"/>
    <mergeCell ref="L278:M278"/>
    <mergeCell ref="L279:M279"/>
    <mergeCell ref="D281:E281"/>
    <mergeCell ref="D282:E282"/>
    <mergeCell ref="D297:E297"/>
    <mergeCell ref="L376:M376"/>
    <mergeCell ref="L387:M387"/>
    <mergeCell ref="L383:M383"/>
    <mergeCell ref="L371:M371"/>
    <mergeCell ref="L372:M372"/>
    <mergeCell ref="L373:M373"/>
    <mergeCell ref="L374:M374"/>
    <mergeCell ref="L377:M377"/>
    <mergeCell ref="L378:M378"/>
    <mergeCell ref="L379:M379"/>
    <mergeCell ref="L380:M380"/>
    <mergeCell ref="L350:M350"/>
    <mergeCell ref="L363:M363"/>
    <mergeCell ref="L364:M364"/>
    <mergeCell ref="L353:M353"/>
    <mergeCell ref="L366:M366"/>
    <mergeCell ref="L367:M367"/>
    <mergeCell ref="L368:M368"/>
    <mergeCell ref="L369:M369"/>
    <mergeCell ref="L370:M370"/>
    <mergeCell ref="G354:J354"/>
    <mergeCell ref="L354:M354"/>
    <mergeCell ref="L355:M355"/>
    <mergeCell ref="L356:M356"/>
    <mergeCell ref="G368:J368"/>
    <mergeCell ref="G369:J369"/>
    <mergeCell ref="G370:J370"/>
    <mergeCell ref="G362:J362"/>
    <mergeCell ref="G363:J363"/>
    <mergeCell ref="G360:J360"/>
    <mergeCell ref="G361:J361"/>
    <mergeCell ref="G359:J359"/>
    <mergeCell ref="L361:M361"/>
    <mergeCell ref="L362:M362"/>
    <mergeCell ref="G364:J364"/>
    <mergeCell ref="G365:J365"/>
    <mergeCell ref="L365:M365"/>
    <mergeCell ref="L359:M359"/>
    <mergeCell ref="L360:M360"/>
    <mergeCell ref="G357:J357"/>
    <mergeCell ref="G358:J358"/>
    <mergeCell ref="L358:M358"/>
    <mergeCell ref="L357:M357"/>
    <mergeCell ref="G382:J382"/>
    <mergeCell ref="G366:J366"/>
    <mergeCell ref="G367:J367"/>
    <mergeCell ref="G380:J380"/>
    <mergeCell ref="G387:J387"/>
    <mergeCell ref="G385:J385"/>
    <mergeCell ref="G374:J374"/>
    <mergeCell ref="G375:J375"/>
    <mergeCell ref="G376:J376"/>
    <mergeCell ref="G386:J386"/>
    <mergeCell ref="G381:J381"/>
    <mergeCell ref="G383:J383"/>
    <mergeCell ref="G384:J384"/>
    <mergeCell ref="G377:J377"/>
    <mergeCell ref="G371:J371"/>
    <mergeCell ref="G372:J372"/>
    <mergeCell ref="G373:J373"/>
    <mergeCell ref="G379:J379"/>
    <mergeCell ref="G378:J378"/>
    <mergeCell ref="L384:M384"/>
    <mergeCell ref="L385:M385"/>
    <mergeCell ref="L386:M386"/>
    <mergeCell ref="L381:M381"/>
    <mergeCell ref="L382:M382"/>
    <mergeCell ref="L375:M375"/>
    <mergeCell ref="D386:E386"/>
    <mergeCell ref="D387:E387"/>
    <mergeCell ref="G338:J338"/>
    <mergeCell ref="G339:J339"/>
    <mergeCell ref="G340:J340"/>
    <mergeCell ref="G341:J341"/>
    <mergeCell ref="G342:J342"/>
    <mergeCell ref="G343:J343"/>
    <mergeCell ref="D380:E380"/>
    <mergeCell ref="D381:E381"/>
    <mergeCell ref="G355:J355"/>
    <mergeCell ref="G344:J344"/>
    <mergeCell ref="G345:J345"/>
    <mergeCell ref="G346:J346"/>
    <mergeCell ref="G347:J347"/>
    <mergeCell ref="G348:J348"/>
    <mergeCell ref="G349:J349"/>
    <mergeCell ref="G350:J350"/>
    <mergeCell ref="G351:J351"/>
    <mergeCell ref="D383:E383"/>
    <mergeCell ref="D384:E384"/>
    <mergeCell ref="D373:E373"/>
    <mergeCell ref="D382:E382"/>
    <mergeCell ref="D385:E385"/>
    <mergeCell ref="D374:E374"/>
    <mergeCell ref="D375:E375"/>
    <mergeCell ref="D376:E376"/>
    <mergeCell ref="D377:E377"/>
    <mergeCell ref="D378:E378"/>
    <mergeCell ref="D379:E379"/>
    <mergeCell ref="D371:E371"/>
    <mergeCell ref="D358:E358"/>
    <mergeCell ref="D369:E369"/>
    <mergeCell ref="D370:E370"/>
    <mergeCell ref="D363:E363"/>
    <mergeCell ref="D364:E364"/>
    <mergeCell ref="D365:E365"/>
    <mergeCell ref="D366:E366"/>
    <mergeCell ref="D372:E372"/>
    <mergeCell ref="D367:E367"/>
    <mergeCell ref="D368:E368"/>
    <mergeCell ref="D361:E361"/>
    <mergeCell ref="D362:E362"/>
    <mergeCell ref="D348:E348"/>
    <mergeCell ref="D351:E351"/>
    <mergeCell ref="D352:E352"/>
    <mergeCell ref="D353:E353"/>
    <mergeCell ref="D354:E354"/>
    <mergeCell ref="D357:E357"/>
    <mergeCell ref="D359:E359"/>
    <mergeCell ref="D360:E360"/>
    <mergeCell ref="O331:P331"/>
    <mergeCell ref="O332:P332"/>
    <mergeCell ref="O333:P333"/>
    <mergeCell ref="O334:P334"/>
    <mergeCell ref="D347:E347"/>
    <mergeCell ref="L345:M345"/>
    <mergeCell ref="O335:P335"/>
    <mergeCell ref="D355:E355"/>
    <mergeCell ref="D356:E356"/>
    <mergeCell ref="D338:E338"/>
    <mergeCell ref="D350:E350"/>
    <mergeCell ref="D339:E339"/>
    <mergeCell ref="D340:E340"/>
    <mergeCell ref="D341:E341"/>
    <mergeCell ref="D342:E342"/>
    <mergeCell ref="D343:E343"/>
    <mergeCell ref="D344:E344"/>
    <mergeCell ref="G353:J353"/>
    <mergeCell ref="G356:J356"/>
    <mergeCell ref="L351:M351"/>
    <mergeCell ref="L352:M352"/>
    <mergeCell ref="L347:M347"/>
    <mergeCell ref="L348:M348"/>
    <mergeCell ref="G352:J352"/>
    <mergeCell ref="L339:M339"/>
    <mergeCell ref="L343:M343"/>
    <mergeCell ref="L344:M344"/>
    <mergeCell ref="L340:M340"/>
    <mergeCell ref="D345:E345"/>
    <mergeCell ref="D349:E349"/>
    <mergeCell ref="D317:E317"/>
    <mergeCell ref="L349:M349"/>
    <mergeCell ref="D318:E318"/>
    <mergeCell ref="D319:E319"/>
    <mergeCell ref="D320:E320"/>
    <mergeCell ref="D325:E325"/>
    <mergeCell ref="D326:E326"/>
    <mergeCell ref="D329:E329"/>
    <mergeCell ref="D323:E323"/>
    <mergeCell ref="D324:E324"/>
    <mergeCell ref="D328:E328"/>
    <mergeCell ref="D321:E321"/>
    <mergeCell ref="G322:J322"/>
    <mergeCell ref="G329:J329"/>
    <mergeCell ref="L329:M329"/>
    <mergeCell ref="G328:J328"/>
    <mergeCell ref="L327:M327"/>
    <mergeCell ref="L328:M328"/>
    <mergeCell ref="E99:M99"/>
    <mergeCell ref="D228:M228"/>
    <mergeCell ref="D229:M229"/>
    <mergeCell ref="D231:M231"/>
    <mergeCell ref="F223:M224"/>
    <mergeCell ref="F157:M158"/>
    <mergeCell ref="F159:M160"/>
    <mergeCell ref="D322:E322"/>
    <mergeCell ref="D315:E315"/>
    <mergeCell ref="D316:E316"/>
    <mergeCell ref="D283:E283"/>
    <mergeCell ref="D292:E292"/>
    <mergeCell ref="D303:E303"/>
    <mergeCell ref="D304:E304"/>
    <mergeCell ref="D309:E309"/>
    <mergeCell ref="D291:E291"/>
    <mergeCell ref="D310:E310"/>
    <mergeCell ref="D311:E311"/>
    <mergeCell ref="D284:E284"/>
    <mergeCell ref="D302:E302"/>
    <mergeCell ref="D286:E286"/>
    <mergeCell ref="D287:E287"/>
    <mergeCell ref="D293:E293"/>
    <mergeCell ref="D294:E294"/>
    <mergeCell ref="F161:M162"/>
    <mergeCell ref="E175:M175"/>
    <mergeCell ref="F200:M201"/>
    <mergeCell ref="E504:N504"/>
    <mergeCell ref="F267:M268"/>
    <mergeCell ref="D232:M232"/>
    <mergeCell ref="F251:M252"/>
    <mergeCell ref="F253:M254"/>
    <mergeCell ref="F265:M266"/>
    <mergeCell ref="D285:E285"/>
    <mergeCell ref="D312:E312"/>
    <mergeCell ref="G298:J298"/>
    <mergeCell ref="D327:E327"/>
    <mergeCell ref="D337:E337"/>
    <mergeCell ref="L338:M338"/>
    <mergeCell ref="L346:M346"/>
    <mergeCell ref="D346:E346"/>
    <mergeCell ref="L341:M341"/>
    <mergeCell ref="L342:M342"/>
    <mergeCell ref="L336:M336"/>
    <mergeCell ref="D336:E336"/>
    <mergeCell ref="G336:J336"/>
    <mergeCell ref="G337:J337"/>
    <mergeCell ref="L337:M337"/>
  </mergeCells>
  <phoneticPr fontId="4" type="noConversion"/>
  <conditionalFormatting sqref="C536:Q537 P419:Q419 O390 P389:Q390 O391:Q417 O421:Q421 O431:Q431 O434:Q434 O437:Q437 O448:Q448 O450:Q450 O453:Q453 O456:Q456 O459:Q459 O464:Q464 O466:Q466 O470:Q470 O472:Q472 O474:Q474 O477:Q477 O479:Q479 O483:Q483 O485:Q485 O489:Q489 O494:Q494 O496:Q496 O500:Q500 O506:Q506 O508:Q508 O511:Q511 O513:Q513 O516:Q516 O518:Q518 O521:Q521 O523:Q523 O526:Q526 O534:Q534 O461:Q461 O336:P388 O331:Q335 O276:P330 O1:Q275">
    <cfRule type="expression" dxfId="149" priority="15" stopIfTrue="1">
      <formula>$N$1&lt;&gt;"x"</formula>
    </cfRule>
  </conditionalFormatting>
  <conditionalFormatting sqref="M289:M329 F337:M387 F279:L329">
    <cfRule type="expression" dxfId="148" priority="14" stopIfTrue="1">
      <formula>$D279="Bilanz"</formula>
    </cfRule>
  </conditionalFormatting>
  <conditionalFormatting sqref="D337:E387 D279:E329">
    <cfRule type="expression" dxfId="147" priority="13" stopIfTrue="1">
      <formula>$D279="Bilanz"</formula>
    </cfRule>
  </conditionalFormatting>
  <conditionalFormatting sqref="R331">
    <cfRule type="cellIs" dxfId="146" priority="11" stopIfTrue="1" operator="equal">
      <formula>"u"</formula>
    </cfRule>
  </conditionalFormatting>
  <conditionalFormatting sqref="R332">
    <cfRule type="cellIs" dxfId="145" priority="10" stopIfTrue="1" operator="equal">
      <formula>"v"</formula>
    </cfRule>
  </conditionalFormatting>
  <conditionalFormatting sqref="R333">
    <cfRule type="cellIs" dxfId="144" priority="9" stopIfTrue="1" operator="equal">
      <formula>"w"</formula>
    </cfRule>
  </conditionalFormatting>
  <conditionalFormatting sqref="R334">
    <cfRule type="cellIs" dxfId="143" priority="8" stopIfTrue="1" operator="equal">
      <formula>"x"</formula>
    </cfRule>
  </conditionalFormatting>
  <conditionalFormatting sqref="R335">
    <cfRule type="cellIs" dxfId="142" priority="7" stopIfTrue="1" operator="equal">
      <formula>"y"</formula>
    </cfRule>
  </conditionalFormatting>
  <conditionalFormatting sqref="S331:S335">
    <cfRule type="cellIs" dxfId="141" priority="5" stopIfTrue="1" operator="equal">
      <formula>"+"</formula>
    </cfRule>
    <cfRule type="cellIs" dxfId="140" priority="6" stopIfTrue="1" operator="equal">
      <formula>"-"</formula>
    </cfRule>
  </conditionalFormatting>
  <conditionalFormatting sqref="D227:M232">
    <cfRule type="cellIs" dxfId="139" priority="1" stopIfTrue="1" operator="equal">
      <formula>"Daten fehlen!"</formula>
    </cfRule>
  </conditionalFormatting>
  <dataValidations count="22">
    <dataValidation type="list" allowBlank="1" showInputMessage="1" showErrorMessage="1" sqref="E532 E267 E265 E263 E261 E259 E257 E255 E253 E251 E249 E247 E245 E243 E241 E238 E236 E234 E140:E141 E102 E96 E81 E83 E71 E62 E60 E55 E57 E40 E38 E33 E30 E27 E19 E21 E16 E51 E53 E73 E76 E92 E94 E109 E111 E113 E115 E117 E128 E130 E138 E100 E206 E208 E202 E187 E189 E177 E168 E166 E161 E163 E146 E144 E157 E159 E179 E182 E198 E200 E215 E217 E219 E221 E223 E226:E227 E421:E427 E445:E446 E443 E441 E439 E437 E489 E491 E500 E502 E530 E528 E526" xr:uid="{00000000-0002-0000-0100-000000000000}">
      <formula1>Ankreuzen</formula1>
    </dataValidation>
    <dataValidation type="list" allowBlank="1" showInputMessage="1" showErrorMessage="1" sqref="E453 E477 E448 E464" xr:uid="{00000000-0002-0000-0100-000001000000}">
      <formula1>"E-Blatt,C-Blatt,A1-Blatt,B1-Blatt,B2-Blatt,C1-Blatt,A2-Blatt,F-Blatt,B-Blatt,A3-Blatt,C2-Blatt,"</formula1>
    </dataValidation>
    <dataValidation type="list" allowBlank="1" showInputMessage="1" showErrorMessage="1" sqref="E450:F450 E479:F479 E466:F466" xr:uid="{00000000-0002-0000-0100-000002000000}">
      <formula1>"Einlageblatt,Eigentumsblatt,Grundstücksblatt,Lastenblatt,Gutsbestandsblatt,Rechteblatt"</formula1>
    </dataValidation>
    <dataValidation type="list" allowBlank="1" showInputMessage="1" showErrorMessage="1" sqref="E506:M506 E521:M521 E516:M516 E511:M511" xr:uid="{00000000-0002-0000-0100-000003000000}">
      <formula1>$S$506:$S$522</formula1>
    </dataValidation>
    <dataValidation type="list" allowBlank="1" showInputMessage="1" showErrorMessage="1" sqref="E508:M508 E523:M523 E518:M518 E513:M513" xr:uid="{00000000-0002-0000-0100-000004000000}">
      <formula1>$X$506:$X$513</formula1>
    </dataValidation>
    <dataValidation type="list" allowBlank="1" showInputMessage="1" showErrorMessage="1" sqref="E534:M534" xr:uid="{00000000-0002-0000-0100-000005000000}">
      <formula1>$S$534:$V$534</formula1>
    </dataValidation>
    <dataValidation type="list" allowBlank="1" showInputMessage="1" showErrorMessage="1" sqref="E472:M472" xr:uid="{00000000-0002-0000-0100-000006000000}">
      <formula1>$S$469:$S$475</formula1>
    </dataValidation>
    <dataValidation type="list" allowBlank="1" showInputMessage="1" showErrorMessage="1" sqref="E483:M483 E494:M494" xr:uid="{00000000-0002-0000-0100-000007000000}">
      <formula1>$S$480:$S$485</formula1>
    </dataValidation>
    <dataValidation type="decimal" operator="greaterThan" allowBlank="1" showInputMessage="1" showErrorMessage="1" errorTitle="Positiver Wert!!!" error="Dieser Wert muss positiv sein!_x000a__x000a_Falls du mit &quot;RMZ&quot; gerechnet hast, solltest du nach dem &quot;=&quot; ein &quot;-&quot; eingeben!!!" promptTitle="ACHTUNG!" prompt="An dieser Stelle muss die Annuität positiv sein!!!_x000a__x000a_Falls du mit &quot;RMZ&quot; rechnen möchtest, solltest du nach dem &quot;=&quot; ein &quot;-&quot; einfügen!" sqref="L279:M329" xr:uid="{00000000-0002-0000-0100-000008000000}">
      <formula1>0</formula1>
    </dataValidation>
    <dataValidation type="list" allowBlank="1" showInputMessage="1" showErrorMessage="1" sqref="E14:M14" xr:uid="{00000000-0002-0000-0100-000009000000}">
      <formula1>VglLHK_GEK</formula1>
    </dataValidation>
    <dataValidation type="list" allowBlank="1" showInputMessage="1" showErrorMessage="1" sqref="E25:M25" xr:uid="{00000000-0002-0000-0100-00000A000000}">
      <formula1>VglKD_KDG</formula1>
    </dataValidation>
    <dataValidation type="list" allowBlank="1" showInputMessage="1" showErrorMessage="1" sqref="E49:M49" xr:uid="{00000000-0002-0000-0100-00000B000000}">
      <formula1>Wirtschaftlichkeit</formula1>
    </dataValidation>
    <dataValidation type="list" allowBlank="1" showInputMessage="1" showErrorMessage="1" sqref="F162 G55:M57 F54:M54 F56 G161:M163 F160:M160" xr:uid="{00000000-0002-0000-0100-00000C000000}">
      <formula1>FolgerungenWirtschaftlichkeit</formula1>
    </dataValidation>
    <dataValidation type="list" allowBlank="1" showInputMessage="1" showErrorMessage="1" sqref="E69:M69" xr:uid="{00000000-0002-0000-0100-00000D000000}">
      <formula1>Finanzierbarkeit</formula1>
    </dataValidation>
    <dataValidation type="list" allowBlank="1" showInputMessage="1" showErrorMessage="1" sqref="F180:F181 F77:F78 G71:M78 F72 F74:F75 F183:F184 G177:M184 F178" xr:uid="{00000000-0002-0000-0100-00000E000000}">
      <formula1>FolgerungenFinanzierbarkeit</formula1>
    </dataValidation>
    <dataValidation type="list" allowBlank="1" showInputMessage="1" showErrorMessage="1" sqref="F201 G92:M95 F93 F95 E90:M90 G198:M201 F199" xr:uid="{00000000-0002-0000-0100-00000F000000}">
      <formula1>Arbeitskräfte</formula1>
    </dataValidation>
    <dataValidation type="list" allowBlank="1" showInputMessage="1" showErrorMessage="1" sqref="E107:M107" xr:uid="{00000000-0002-0000-0100-000010000000}">
      <formula1>Energiebilanz</formula1>
    </dataValidation>
    <dataValidation type="list" allowBlank="1" showInputMessage="1" showErrorMessage="1" sqref="E135:M135" xr:uid="{00000000-0002-0000-0100-000011000000}">
      <formula1>KDGvsKD</formula1>
    </dataValidation>
    <dataValidation type="list" allowBlank="1" showInputMessage="1" showErrorMessage="1" sqref="E155:M155" xr:uid="{00000000-0002-0000-0100-000012000000}">
      <formula1>WirtschaftlichkeitII</formula1>
    </dataValidation>
    <dataValidation type="list" allowBlank="1" showInputMessage="1" showErrorMessage="1" sqref="E175:M175" xr:uid="{00000000-0002-0000-0100-000013000000}">
      <formula1>FinanzierbarkeitII</formula1>
    </dataValidation>
    <dataValidation type="list" allowBlank="1" showInputMessage="1" showErrorMessage="1" sqref="E196:M196" xr:uid="{00000000-0002-0000-0100-000014000000}">
      <formula1>ArbeitskräfteII</formula1>
    </dataValidation>
    <dataValidation type="list" allowBlank="1" showInputMessage="1" showErrorMessage="1" sqref="E213:M213" xr:uid="{00000000-0002-0000-0100-000015000000}">
      <formula1>EnergiebilanzII</formula1>
    </dataValidation>
  </dataValidations>
  <pageMargins left="0.78740157480314965" right="0.78740157480314965" top="0.78740157480314965" bottom="0.39370078740157483" header="0.39370078740157483" footer="0"/>
  <pageSetup paperSize="9" scale="80" fitToHeight="4" orientation="portrait" r:id="rId1"/>
  <headerFooter alignWithMargins="0">
    <oddHeader>&amp;R&amp;8&amp;U&amp;F - Seite &amp;P/&amp;N</oddHeader>
  </headerFooter>
  <rowBreaks count="2" manualBreakCount="2">
    <brk id="79" min="2" max="16" man="1"/>
    <brk id="503" min="2"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8"/>
  </sheetPr>
  <dimension ref="A1:N199"/>
  <sheetViews>
    <sheetView showGridLines="0" zoomScaleNormal="100" workbookViewId="0">
      <pane ySplit="4" topLeftCell="A5" activePane="bottomLeft" state="frozen"/>
      <selection activeCell="G43" sqref="G43"/>
      <selection pane="bottomLeft" activeCell="J26" sqref="J26"/>
    </sheetView>
  </sheetViews>
  <sheetFormatPr baseColWidth="10" defaultColWidth="0" defaultRowHeight="0" customHeight="1" zeroHeight="1" x14ac:dyDescent="0.2"/>
  <cols>
    <col min="1" max="1" width="2.7109375" style="1004" customWidth="1"/>
    <col min="2" max="2" width="18.5703125" style="1004" customWidth="1"/>
    <col min="3" max="7" width="12.7109375" style="1004" customWidth="1"/>
    <col min="8" max="8" width="2.7109375" style="1004" customWidth="1"/>
    <col min="9" max="9" width="0.85546875" style="413" customWidth="1"/>
    <col min="10" max="10" width="20.7109375" style="413" customWidth="1"/>
    <col min="11" max="14" width="20.5703125" style="1004" hidden="1" customWidth="1"/>
    <col min="15" max="16384" width="11.42578125" style="1004" hidden="1"/>
  </cols>
  <sheetData>
    <row r="1" spans="1:10" ht="24.95" customHeight="1" x14ac:dyDescent="0.45">
      <c r="A1" s="1181"/>
      <c r="B1" s="1002" t="s">
        <v>648</v>
      </c>
      <c r="C1" s="1003"/>
      <c r="D1" s="1003"/>
      <c r="E1" s="1003"/>
      <c r="F1" s="1003"/>
      <c r="G1" s="1003"/>
      <c r="H1" s="1003"/>
      <c r="I1" s="9"/>
      <c r="J1" s="1160" t="s">
        <v>11</v>
      </c>
    </row>
    <row r="2" spans="1:10" ht="12.6" customHeight="1" x14ac:dyDescent="0.2">
      <c r="A2" s="1181"/>
      <c r="B2" s="1005" t="s">
        <v>574</v>
      </c>
      <c r="C2" s="1006"/>
      <c r="D2" s="1006"/>
      <c r="E2" s="1006"/>
      <c r="F2" s="1006"/>
      <c r="G2" s="1006"/>
      <c r="H2" s="1006"/>
      <c r="I2" s="835"/>
      <c r="J2" s="1160"/>
    </row>
    <row r="3" spans="1:10" ht="12.6" customHeight="1" x14ac:dyDescent="0.25">
      <c r="A3" s="16"/>
      <c r="B3" s="1007" t="s">
        <v>575</v>
      </c>
      <c r="C3" s="1008"/>
      <c r="D3" s="1008"/>
      <c r="E3" s="1008"/>
      <c r="F3" s="1008"/>
      <c r="G3" s="1008"/>
      <c r="H3" s="1008"/>
      <c r="I3" s="835"/>
      <c r="J3" s="1160"/>
    </row>
    <row r="4" spans="1:10" ht="20.100000000000001" customHeight="1" x14ac:dyDescent="0.25">
      <c r="B4" s="1009"/>
      <c r="I4" s="835"/>
      <c r="J4" s="1160"/>
    </row>
    <row r="5" spans="1:10" s="439" customFormat="1" ht="20.100000000000001" customHeight="1" thickBot="1" x14ac:dyDescent="0.25">
      <c r="B5" s="1010" t="s">
        <v>576</v>
      </c>
      <c r="C5" s="1011" t="s">
        <v>51</v>
      </c>
      <c r="D5" s="1011" t="s">
        <v>52</v>
      </c>
      <c r="E5" s="1012" t="s">
        <v>577</v>
      </c>
      <c r="F5" s="1011" t="s">
        <v>578</v>
      </c>
      <c r="G5" s="1011" t="s">
        <v>512</v>
      </c>
      <c r="I5" s="835"/>
      <c r="J5" s="1013"/>
    </row>
    <row r="6" spans="1:10" s="439" customFormat="1" ht="15" customHeight="1" thickBot="1" x14ac:dyDescent="0.25">
      <c r="B6" s="1014" t="str">
        <f>IF(PlanII!F5="","",PlanII!F5)</f>
        <v>Eigenkapital</v>
      </c>
      <c r="C6" s="1015">
        <f>IF(PlanII!G5="","",PlanII!G5)</f>
        <v>66500</v>
      </c>
      <c r="D6" s="1016">
        <f>IF(PlanII!H5="","",PlanII!H5)</f>
        <v>0.03</v>
      </c>
      <c r="E6" s="1123">
        <f>IF(B6="","",-PMT(D6,F6,C6)/C6)</f>
        <v>4.3262377890462882E-2</v>
      </c>
      <c r="F6" s="1017">
        <f>IF(B6="","",IF(PlanII!D5="","",PlanII!D5))</f>
        <v>40</v>
      </c>
      <c r="G6" s="1018">
        <f t="shared" ref="G6:G7" si="0">PMT(D6,F6,C6)</f>
        <v>-2876.9481297157818</v>
      </c>
      <c r="I6" s="835"/>
      <c r="J6" s="1013"/>
    </row>
    <row r="7" spans="1:10" s="439" customFormat="1" ht="15" customHeight="1" thickBot="1" x14ac:dyDescent="0.25">
      <c r="B7" s="1014" t="str">
        <f>IF(PlanII!F6="","",PlanII!F6)</f>
        <v>AIK-Kredit</v>
      </c>
      <c r="C7" s="1015">
        <f>IF(PlanII!G6="","",PlanII!G6)</f>
        <v>52000</v>
      </c>
      <c r="D7" s="1016">
        <f>IF(PlanII!H6="","",PlanII!H6)</f>
        <v>2.5000000000000001E-2</v>
      </c>
      <c r="E7" s="1123">
        <f>IF(B7="","",-PMT(D7,F7,C7)/C7)</f>
        <v>3.9836233162469821E-2</v>
      </c>
      <c r="F7" s="1017">
        <f>IF(B7="","",IF(PlanII!D5="","",PlanII!D5))</f>
        <v>40</v>
      </c>
      <c r="G7" s="1018">
        <f t="shared" si="0"/>
        <v>-2071.4841244484305</v>
      </c>
      <c r="I7" s="835"/>
      <c r="J7" s="1013"/>
    </row>
    <row r="8" spans="1:10" s="439" customFormat="1" ht="15" customHeight="1" x14ac:dyDescent="0.2">
      <c r="B8" s="1014" t="str">
        <f>IF(PlanII!F7="","",PlanII!F7)</f>
        <v/>
      </c>
      <c r="C8" s="1015" t="str">
        <f>IF(PlanII!G7="","",PlanII!G7)</f>
        <v/>
      </c>
      <c r="D8" s="1016" t="str">
        <f>IF(PlanII!H7="","",PlanII!H7)</f>
        <v/>
      </c>
      <c r="E8" s="1123" t="str">
        <f>IF(B8="","",-PMT(D8,F8,C8)/C8)</f>
        <v/>
      </c>
      <c r="F8" s="1017"/>
      <c r="G8" s="1105"/>
      <c r="I8" s="835"/>
      <c r="J8" s="1013"/>
    </row>
    <row r="9" spans="1:10" s="439" customFormat="1" ht="15" customHeight="1" thickBot="1" x14ac:dyDescent="0.25">
      <c r="B9" s="1014" t="str">
        <f>IF(PlanII!F8="","",PlanII!F8)</f>
        <v/>
      </c>
      <c r="C9" s="1015" t="str">
        <f>IF(PlanII!G8="","",PlanII!G8)</f>
        <v/>
      </c>
      <c r="D9" s="1016" t="str">
        <f>IF(PlanII!H8="","",PlanII!H8)</f>
        <v/>
      </c>
      <c r="E9" s="1123" t="str">
        <f>IF(B9="","",-PMT(D9,F9,C9)/C9)</f>
        <v/>
      </c>
      <c r="F9" s="1017"/>
      <c r="G9" s="1106"/>
      <c r="I9" s="835"/>
      <c r="J9" s="1013"/>
    </row>
    <row r="10" spans="1:10" s="439" customFormat="1" ht="15" customHeight="1" thickBot="1" x14ac:dyDescent="0.25">
      <c r="B10" s="1014" t="str">
        <f>IF(PlanII!F9="","",PlanII!F9)</f>
        <v>Bankdarlehen</v>
      </c>
      <c r="C10" s="1015">
        <f>IF(PlanII!G9="","",PlanII!G9)</f>
        <v>30370</v>
      </c>
      <c r="D10" s="1016">
        <f>IF(PlanII!H9="","",PlanII!H9)</f>
        <v>0.06</v>
      </c>
      <c r="E10" s="1123">
        <f>IF(B10="","",-PMT(D10,F10,C10)/C10)</f>
        <v>6.646153592067551E-2</v>
      </c>
      <c r="F10" s="1017">
        <f>IF(B10="","",IF(PlanII!D5="","",PlanII!D5))</f>
        <v>40</v>
      </c>
      <c r="G10" s="1019">
        <f>PMT(D10,F10,C10)</f>
        <v>-2018.4368459109151</v>
      </c>
      <c r="I10" s="835"/>
      <c r="J10" s="1013"/>
    </row>
    <row r="11" spans="1:10" s="439" customFormat="1" ht="15" customHeight="1" thickBot="1" x14ac:dyDescent="0.25">
      <c r="B11" s="1020" t="s">
        <v>579</v>
      </c>
      <c r="C11" s="1020"/>
      <c r="D11" s="1020"/>
      <c r="E11" s="1020"/>
      <c r="F11" s="1020"/>
      <c r="G11" s="1021">
        <f>SUM(G6:G10)</f>
        <v>-6966.8691000751278</v>
      </c>
      <c r="I11" s="835"/>
      <c r="J11" s="1013"/>
    </row>
    <row r="12" spans="1:10" s="439" customFormat="1" ht="9.9499999999999993" customHeight="1" x14ac:dyDescent="0.2">
      <c r="I12" s="835"/>
      <c r="J12" s="1013"/>
    </row>
    <row r="13" spans="1:10" s="439" customFormat="1" ht="20.100000000000001" customHeight="1" x14ac:dyDescent="0.2">
      <c r="B13" s="1022" t="s">
        <v>580</v>
      </c>
      <c r="C13" s="1022"/>
      <c r="D13" s="1023" t="str">
        <f>IF(C20="","","Gesamt-DB")</f>
        <v/>
      </c>
      <c r="E13" s="1023" t="str">
        <f>IF(C21="","","LW Einkommen")</f>
        <v>LW Einkommen</v>
      </c>
      <c r="F13" s="1023" t="str">
        <f>IF(C22="","","Ges.-Einkommen")</f>
        <v/>
      </c>
      <c r="I13" s="835"/>
      <c r="J13" s="1013"/>
    </row>
    <row r="14" spans="1:10" s="439" customFormat="1" ht="15" customHeight="1" x14ac:dyDescent="0.2">
      <c r="B14" s="1024" t="str">
        <f>"  "&amp;IF($C$20&lt;&gt;"",$D$13,IF($C$21&lt;&gt;"",$E$13,IF($C$22&lt;&gt;"",$F$13,"")))&amp;" bei PLAN-Variante"</f>
        <v xml:space="preserve">  LW Einkommen bei PLAN-Variante</v>
      </c>
      <c r="C14" s="1025"/>
      <c r="D14" s="1103" t="str">
        <f>IF(E14&lt;&gt;"","",IF(PlanII!E52="","noch leer",PlanII!E52))</f>
        <v/>
      </c>
      <c r="E14" s="1026">
        <f>IF(PlanII!E57="","noch leer",PlanII!E57)</f>
        <v>10800.354335801061</v>
      </c>
      <c r="F14" s="1103" t="str">
        <f>IF(E14&lt;&gt;"","",IF(PlanII!E61="","noch leer",PlanII!E61))</f>
        <v/>
      </c>
      <c r="I14" s="835"/>
      <c r="J14" s="1013"/>
    </row>
    <row r="15" spans="1:10" s="439" customFormat="1" ht="15" customHeight="1" thickBot="1" x14ac:dyDescent="0.25">
      <c r="B15" s="1024" t="str">
        <f>"- "&amp;IF($C$20&lt;&gt;"",$D$13,IF($C$21&lt;&gt;"",$E$13,IF($C$22&lt;&gt;"",$F$13,"")))&amp;" bei IST-Organistation"</f>
        <v>- LW Einkommen bei IST-Organistation</v>
      </c>
      <c r="C15" s="1025"/>
      <c r="D15" s="1103" t="str">
        <f>IF(E15&lt;&gt;"","",IF(Ist!E37="","noch leer",Ist!E37))</f>
        <v/>
      </c>
      <c r="E15" s="1104">
        <f>IF(Ist!E39="","noch leer",Ist!E39)</f>
        <v>2862.7708084163896</v>
      </c>
      <c r="F15" s="1103" t="str">
        <f>IF(E15&lt;&gt;"","",IF(Ist!E43="","noch leer",Ist!E43))</f>
        <v/>
      </c>
      <c r="I15" s="835"/>
      <c r="J15" s="1013"/>
    </row>
    <row r="16" spans="1:10" s="439" customFormat="1" ht="15" customHeight="1" thickBot="1" x14ac:dyDescent="0.25">
      <c r="B16" s="1027" t="s">
        <v>581</v>
      </c>
      <c r="C16" s="1020"/>
      <c r="D16" s="1020"/>
      <c r="E16" s="1028">
        <f>E14-E15</f>
        <v>7937.5835273846715</v>
      </c>
      <c r="F16" s="1020"/>
      <c r="I16" s="835"/>
      <c r="J16" s="1013"/>
    </row>
    <row r="17" spans="1:10" s="439" customFormat="1" ht="9.9499999999999993" customHeight="1" x14ac:dyDescent="0.2">
      <c r="I17" s="835"/>
      <c r="J17" s="1013"/>
    </row>
    <row r="18" spans="1:10" s="439" customFormat="1" ht="15" customHeight="1" x14ac:dyDescent="0.2">
      <c r="B18" s="1022" t="s">
        <v>582</v>
      </c>
      <c r="C18" s="510"/>
      <c r="D18" s="510"/>
      <c r="E18" s="510"/>
      <c r="F18" s="510"/>
      <c r="I18" s="835"/>
      <c r="J18" s="1013"/>
    </row>
    <row r="19" spans="1:10" s="439" customFormat="1" ht="15" customHeight="1" thickBot="1" x14ac:dyDescent="0.25">
      <c r="B19" s="1022" t="s">
        <v>583</v>
      </c>
      <c r="C19" s="1022"/>
      <c r="D19" s="1022" t="s">
        <v>584</v>
      </c>
      <c r="E19" s="510"/>
      <c r="F19" s="510"/>
      <c r="I19" s="835"/>
      <c r="J19" s="1013"/>
    </row>
    <row r="20" spans="1:10" s="1029" customFormat="1" ht="11.25" hidden="1" x14ac:dyDescent="0.2">
      <c r="B20" s="1030" t="s">
        <v>585</v>
      </c>
      <c r="C20" s="1031" t="str">
        <f>IF('[1]E-Fin II'!C20="","",'[1]E-Fin II'!C20)</f>
        <v/>
      </c>
      <c r="D20" s="1032"/>
      <c r="E20" s="1032"/>
      <c r="F20" s="1032"/>
      <c r="G20" s="1033"/>
      <c r="I20" s="835"/>
      <c r="J20" s="1013"/>
    </row>
    <row r="21" spans="1:10" s="1029" customFormat="1" ht="11.25" hidden="1" x14ac:dyDescent="0.2">
      <c r="B21" s="1030" t="s">
        <v>586</v>
      </c>
      <c r="C21" s="1031" t="str">
        <f>IF('[1]E-Fin II'!C21="","",'[1]E-Fin II'!C21)</f>
        <v>ü</v>
      </c>
      <c r="D21" s="1032"/>
      <c r="E21" s="1032"/>
      <c r="F21" s="1032"/>
      <c r="G21" s="1033"/>
      <c r="I21" s="835"/>
      <c r="J21" s="1013"/>
    </row>
    <row r="22" spans="1:10" s="1029" customFormat="1" ht="12" hidden="1" thickBot="1" x14ac:dyDescent="0.25">
      <c r="B22" s="1030" t="s">
        <v>39</v>
      </c>
      <c r="C22" s="1031" t="str">
        <f>IF('[1]E-Fin II'!C22="","",'[1]E-Fin II'!C22)</f>
        <v/>
      </c>
      <c r="D22" s="1032"/>
      <c r="E22" s="1032"/>
      <c r="F22" s="1032"/>
      <c r="I22" s="12"/>
      <c r="J22" s="1013"/>
    </row>
    <row r="23" spans="1:10" s="439" customFormat="1" ht="15" customHeight="1" thickBot="1" x14ac:dyDescent="0.25">
      <c r="B23" s="1015">
        <f>IF(C20="ü",IF(D16="","",D16),IF(C21="ü",IF(E16="","",E16),IF(C22="ü",IF(F16="","",F16),"")))</f>
        <v>7937.5835273846715</v>
      </c>
      <c r="C23" s="1034" t="s">
        <v>54</v>
      </c>
      <c r="D23" s="1035">
        <f>IF(G11="","",-G11)</f>
        <v>6966.8691000751278</v>
      </c>
      <c r="E23" s="1034" t="s">
        <v>587</v>
      </c>
      <c r="F23" s="1036">
        <f>B23-D23</f>
        <v>970.71442730954368</v>
      </c>
      <c r="I23" s="835"/>
      <c r="J23" s="1013"/>
    </row>
    <row r="24" spans="1:10" s="439" customFormat="1" ht="15" customHeight="1" thickBot="1" x14ac:dyDescent="0.25">
      <c r="B24" s="1037" t="s">
        <v>588</v>
      </c>
      <c r="C24" s="1037"/>
      <c r="D24" s="1037"/>
      <c r="E24" s="1038" t="s">
        <v>589</v>
      </c>
      <c r="F24" s="1038" t="s">
        <v>590</v>
      </c>
      <c r="I24" s="835"/>
      <c r="J24" s="1013"/>
    </row>
    <row r="25" spans="1:10" s="439" customFormat="1" ht="15" customHeight="1" thickBot="1" x14ac:dyDescent="0.25">
      <c r="B25" s="414"/>
      <c r="C25" s="1039"/>
      <c r="D25" s="1040" t="s">
        <v>591</v>
      </c>
      <c r="E25" s="1041" t="s">
        <v>1</v>
      </c>
      <c r="F25" s="1041"/>
      <c r="I25" s="835"/>
      <c r="J25" s="1013"/>
    </row>
    <row r="26" spans="1:10" s="439" customFormat="1" ht="35.1" customHeight="1" x14ac:dyDescent="0.2">
      <c r="I26" s="835"/>
      <c r="J26" s="1013"/>
    </row>
    <row r="27" spans="1:10" s="439" customFormat="1" ht="24.95" customHeight="1" x14ac:dyDescent="0.2">
      <c r="A27" s="16"/>
      <c r="B27" s="17" t="s">
        <v>592</v>
      </c>
      <c r="C27" s="17"/>
      <c r="D27" s="17"/>
      <c r="E27" s="17"/>
      <c r="F27" s="17"/>
      <c r="G27" s="17"/>
      <c r="H27" s="17"/>
      <c r="I27" s="835"/>
      <c r="J27" s="1013"/>
    </row>
    <row r="28" spans="1:10" s="439" customFormat="1" ht="12.6" customHeight="1" x14ac:dyDescent="0.2">
      <c r="A28" s="16"/>
      <c r="B28" s="1042" t="s">
        <v>593</v>
      </c>
      <c r="C28" s="16"/>
      <c r="D28" s="16"/>
      <c r="E28" s="16"/>
      <c r="F28" s="16"/>
      <c r="G28" s="16"/>
      <c r="H28" s="16"/>
      <c r="I28" s="835"/>
      <c r="J28" s="1013"/>
    </row>
    <row r="29" spans="1:10" s="439" customFormat="1" ht="15" customHeight="1" x14ac:dyDescent="0.2">
      <c r="I29" s="13"/>
      <c r="J29" s="1013"/>
    </row>
    <row r="30" spans="1:10" s="439" customFormat="1" ht="20.100000000000001" customHeight="1" thickBot="1" x14ac:dyDescent="0.25">
      <c r="B30" s="1010" t="s">
        <v>594</v>
      </c>
      <c r="C30" s="1011" t="s">
        <v>51</v>
      </c>
      <c r="D30" s="1011" t="s">
        <v>52</v>
      </c>
      <c r="E30" s="1012" t="s">
        <v>577</v>
      </c>
      <c r="F30" s="1011" t="s">
        <v>53</v>
      </c>
      <c r="G30" s="1011" t="s">
        <v>512</v>
      </c>
      <c r="I30" s="13"/>
      <c r="J30" s="1013"/>
    </row>
    <row r="31" spans="1:10" s="439" customFormat="1" ht="15" customHeight="1" thickBot="1" x14ac:dyDescent="0.25">
      <c r="B31" s="1014" t="str">
        <f>IF(PlanII!F6="","",PlanII!F6)</f>
        <v>AIK-Kredit</v>
      </c>
      <c r="C31" s="1015">
        <f>IF(PlanII!G6="","",PlanII!G6)</f>
        <v>52000</v>
      </c>
      <c r="D31" s="1016">
        <f>IF(PlanII!H6="","",PlanII!H6)</f>
        <v>2.5000000000000001E-2</v>
      </c>
      <c r="E31" s="1123">
        <f>IF(B31="","",-PMT(D31,F31,C31)/C31)</f>
        <v>6.6760615129335232E-2</v>
      </c>
      <c r="F31" s="1017">
        <f>IF(PlanII!I6="","",PlanII!I6)</f>
        <v>19</v>
      </c>
      <c r="G31" s="1018">
        <f>PMT(D31,F31,C31)</f>
        <v>-3471.551986725432</v>
      </c>
      <c r="I31" s="13"/>
      <c r="J31" s="1013"/>
    </row>
    <row r="32" spans="1:10" s="439" customFormat="1" ht="15" customHeight="1" x14ac:dyDescent="0.2">
      <c r="B32" s="1014" t="str">
        <f>IF(PlanII!F7="","",PlanII!F7)</f>
        <v/>
      </c>
      <c r="C32" s="1015" t="str">
        <f>IF(PlanII!G7="","",PlanII!G7)</f>
        <v/>
      </c>
      <c r="D32" s="1016" t="str">
        <f>IF(PlanII!H7="","",PlanII!H7)</f>
        <v/>
      </c>
      <c r="E32" s="1123" t="str">
        <f>IF(B32="","",-PMT(D32,F32,C32)/C32)</f>
        <v/>
      </c>
      <c r="F32" s="1017" t="str">
        <f>IF(PlanII!I7="","",PlanII!I7)</f>
        <v/>
      </c>
      <c r="G32" s="1105"/>
      <c r="I32" s="835"/>
      <c r="J32" s="1013"/>
    </row>
    <row r="33" spans="1:10" s="439" customFormat="1" ht="15" customHeight="1" thickBot="1" x14ac:dyDescent="0.25">
      <c r="B33" s="1014" t="str">
        <f>IF(PlanII!F8="","",PlanII!F8)</f>
        <v/>
      </c>
      <c r="C33" s="1015" t="str">
        <f>IF(PlanII!G8="","",PlanII!G8)</f>
        <v/>
      </c>
      <c r="D33" s="1016" t="str">
        <f>IF(PlanII!H8="","",PlanII!H8)</f>
        <v/>
      </c>
      <c r="E33" s="1123" t="str">
        <f>IF(B33="","",-PMT(D33,F33,C33)/C33)</f>
        <v/>
      </c>
      <c r="F33" s="1017" t="str">
        <f>IF(PlanII!I8="","",PlanII!I8)</f>
        <v/>
      </c>
      <c r="G33" s="1106"/>
      <c r="I33" s="835"/>
      <c r="J33" s="1013"/>
    </row>
    <row r="34" spans="1:10" s="439" customFormat="1" ht="15" customHeight="1" thickBot="1" x14ac:dyDescent="0.25">
      <c r="B34" s="1014" t="str">
        <f>IF(PlanII!F9="","",PlanII!F9)</f>
        <v>Bankdarlehen</v>
      </c>
      <c r="C34" s="1015">
        <f>IF(PlanII!G9="","",PlanII!G9)</f>
        <v>30370</v>
      </c>
      <c r="D34" s="1016">
        <f>IF(PlanII!H9="","",PlanII!H9)</f>
        <v>0.06</v>
      </c>
      <c r="E34" s="1123">
        <f>IF(B34="","",-PMT(D34,F34,C34)/C34)</f>
        <v>0.13586795822038383</v>
      </c>
      <c r="F34" s="1017">
        <f>IF(PlanII!I9="","",PlanII!I9)</f>
        <v>10</v>
      </c>
      <c r="G34" s="1019">
        <f>PMT(D34,F34,C34)</f>
        <v>-4126.3098911530569</v>
      </c>
      <c r="I34" s="835"/>
      <c r="J34" s="1013"/>
    </row>
    <row r="35" spans="1:10" s="439" customFormat="1" ht="15" customHeight="1" thickBot="1" x14ac:dyDescent="0.25">
      <c r="B35" s="1043" t="s">
        <v>595</v>
      </c>
      <c r="C35" s="1043"/>
      <c r="D35" s="1043"/>
      <c r="E35" s="1043"/>
      <c r="F35" s="1043"/>
      <c r="G35" s="1021">
        <f>SUM(G31:G34)</f>
        <v>-7597.8618778784894</v>
      </c>
      <c r="I35" s="835"/>
      <c r="J35" s="1013"/>
    </row>
    <row r="36" spans="1:10" s="439" customFormat="1" ht="35.1" customHeight="1" x14ac:dyDescent="0.2">
      <c r="I36" s="835"/>
      <c r="J36" s="1013"/>
    </row>
    <row r="37" spans="1:10" s="439" customFormat="1" ht="24.95" customHeight="1" x14ac:dyDescent="0.2">
      <c r="A37" s="16"/>
      <c r="B37" s="17" t="s">
        <v>596</v>
      </c>
      <c r="C37" s="17"/>
      <c r="D37" s="17"/>
      <c r="E37" s="17"/>
      <c r="F37" s="17"/>
      <c r="G37" s="17"/>
      <c r="H37" s="17"/>
      <c r="I37" s="835"/>
      <c r="J37" s="1013"/>
    </row>
    <row r="38" spans="1:10" s="439" customFormat="1" ht="15" customHeight="1" x14ac:dyDescent="0.2">
      <c r="I38" s="835"/>
      <c r="J38" s="1013"/>
    </row>
    <row r="39" spans="1:10" s="439" customFormat="1" ht="20.100000000000001" customHeight="1" thickBot="1" x14ac:dyDescent="0.25">
      <c r="B39" s="1185" t="str">
        <f>B30</f>
        <v>Fremdkapitalart</v>
      </c>
      <c r="C39" s="1185"/>
      <c r="D39" s="1185"/>
      <c r="E39" s="1044" t="s">
        <v>597</v>
      </c>
      <c r="F39" s="1045" t="s">
        <v>598</v>
      </c>
      <c r="G39" s="1045" t="s">
        <v>599</v>
      </c>
      <c r="I39" s="835"/>
      <c r="J39" s="1013"/>
    </row>
    <row r="40" spans="1:10" s="439" customFormat="1" ht="15" customHeight="1" thickBot="1" x14ac:dyDescent="0.25">
      <c r="B40" s="432" t="str">
        <f>IF(B31="","",B31)</f>
        <v>AIK-Kredit</v>
      </c>
      <c r="C40" s="432"/>
      <c r="D40" s="432"/>
      <c r="E40" s="1046">
        <f>IF(AND(B31="",B32="",B33="",B34=""),"kein Kapitaldienst",IF(B31="","",IF(G31="","noch leer",G31)))</f>
        <v>-3471.551986725432</v>
      </c>
      <c r="F40" s="1018">
        <f>C31/F31</f>
        <v>2736.8421052631579</v>
      </c>
      <c r="G40" s="1018">
        <f>SUM(E40:F40)</f>
        <v>-734.7098814622741</v>
      </c>
      <c r="I40" s="835"/>
      <c r="J40" s="1013"/>
    </row>
    <row r="41" spans="1:10" s="439" customFormat="1" ht="15" customHeight="1" x14ac:dyDescent="0.2">
      <c r="B41" s="432" t="str">
        <f>IF(B32="","",B32)</f>
        <v/>
      </c>
      <c r="C41" s="432"/>
      <c r="D41" s="432"/>
      <c r="E41" s="1046" t="str">
        <f>IF(AND(B31="",B32="",B33="",B34=""),"kein Kapitaldienst",IF(B32="","",IF(G32="","noch leer",G32)))</f>
        <v/>
      </c>
      <c r="F41" s="1105"/>
      <c r="G41" s="1105"/>
      <c r="I41" s="835"/>
      <c r="J41" s="1013"/>
    </row>
    <row r="42" spans="1:10" s="439" customFormat="1" ht="15" customHeight="1" thickBot="1" x14ac:dyDescent="0.25">
      <c r="B42" s="432" t="str">
        <f>IF(B33="","",B33)</f>
        <v/>
      </c>
      <c r="C42" s="432"/>
      <c r="D42" s="432"/>
      <c r="E42" s="1046" t="str">
        <f>IF(AND(B31="",B32="",B33="",B34=""),"kein Kapitaldienst",IF(B33="","",IF(G33="","noch leer",G33)))</f>
        <v/>
      </c>
      <c r="F42" s="1106"/>
      <c r="G42" s="1106"/>
      <c r="I42" s="835"/>
      <c r="J42" s="1013"/>
    </row>
    <row r="43" spans="1:10" s="439" customFormat="1" ht="15" customHeight="1" thickBot="1" x14ac:dyDescent="0.25">
      <c r="B43" s="432" t="str">
        <f>IF(B34="","",B34)</f>
        <v>Bankdarlehen</v>
      </c>
      <c r="C43" s="432"/>
      <c r="D43" s="432"/>
      <c r="E43" s="1046">
        <f>IF(AND(B31="",B32="",B33="",B34=""),"kein Kapitaldienst",IF(B34="","",IF(G34="","noch leer",G34)))</f>
        <v>-4126.3098911530569</v>
      </c>
      <c r="F43" s="1018">
        <f>C34/F34</f>
        <v>3037</v>
      </c>
      <c r="G43" s="1019">
        <f>SUM(E43:F43)</f>
        <v>-1089.3098911530569</v>
      </c>
      <c r="I43" s="835"/>
      <c r="J43" s="1013"/>
    </row>
    <row r="44" spans="1:10" s="439" customFormat="1" ht="15" customHeight="1" thickBot="1" x14ac:dyDescent="0.25">
      <c r="B44" s="1043" t="s">
        <v>600</v>
      </c>
      <c r="C44" s="1043"/>
      <c r="D44" s="1043"/>
      <c r="E44" s="1121">
        <f>IF(AND(E40="noch leer",E41="noch leer",E42="noch leer",E43="noch leer")=0,"noch leer",SUM(E40:E43))</f>
        <v>-7597.8618778784894</v>
      </c>
      <c r="F44" s="368">
        <f>SUM(F40:F43)</f>
        <v>5773.8421052631584</v>
      </c>
      <c r="G44" s="368">
        <f>SUM(G40:G43)</f>
        <v>-1824.019772615331</v>
      </c>
      <c r="I44" s="835"/>
      <c r="J44" s="1013"/>
    </row>
    <row r="45" spans="1:10" s="439" customFormat="1" ht="15" customHeight="1" x14ac:dyDescent="0.2">
      <c r="I45" s="835"/>
      <c r="J45" s="1013"/>
    </row>
    <row r="46" spans="1:10" s="439" customFormat="1" ht="30" customHeight="1" x14ac:dyDescent="0.2">
      <c r="B46" s="1182" t="s">
        <v>601</v>
      </c>
      <c r="C46" s="1182"/>
      <c r="D46" s="1182"/>
      <c r="E46" s="1182"/>
      <c r="F46" s="1183">
        <f>IF(G44="","noch leer",G44)</f>
        <v>-1824.019772615331</v>
      </c>
      <c r="G46" s="1184"/>
      <c r="I46" s="835"/>
      <c r="J46" s="1013"/>
    </row>
    <row r="47" spans="1:10" s="439" customFormat="1" ht="15" customHeight="1" x14ac:dyDescent="0.2">
      <c r="I47" s="835"/>
      <c r="J47" s="1013"/>
    </row>
    <row r="48" spans="1:10" ht="11.25" hidden="1" x14ac:dyDescent="0.2">
      <c r="I48" s="1004"/>
      <c r="J48" s="1004"/>
    </row>
    <row r="49" spans="9:10" ht="11.25" hidden="1" x14ac:dyDescent="0.2">
      <c r="I49" s="1004"/>
      <c r="J49" s="1004"/>
    </row>
    <row r="50" spans="9:10" ht="11.25" hidden="1" x14ac:dyDescent="0.2">
      <c r="I50" s="1004"/>
      <c r="J50" s="1004"/>
    </row>
    <row r="51" spans="9:10" ht="11.25" hidden="1" x14ac:dyDescent="0.2">
      <c r="I51" s="1004"/>
      <c r="J51" s="1004"/>
    </row>
    <row r="52" spans="9:10" ht="11.25" hidden="1" x14ac:dyDescent="0.2">
      <c r="I52" s="1004"/>
      <c r="J52" s="1004"/>
    </row>
    <row r="53" spans="9:10" ht="11.25" hidden="1" x14ac:dyDescent="0.2">
      <c r="I53" s="1004"/>
      <c r="J53" s="1004"/>
    </row>
    <row r="54" spans="9:10" ht="11.25" hidden="1" x14ac:dyDescent="0.2">
      <c r="I54" s="1004"/>
      <c r="J54" s="1004"/>
    </row>
    <row r="55" spans="9:10" ht="11.25" hidden="1" x14ac:dyDescent="0.2">
      <c r="I55" s="1004"/>
      <c r="J55" s="1004"/>
    </row>
    <row r="56" spans="9:10" ht="11.25" hidden="1" x14ac:dyDescent="0.2">
      <c r="I56" s="1004"/>
      <c r="J56" s="1004"/>
    </row>
    <row r="57" spans="9:10" ht="0" hidden="1" customHeight="1" x14ac:dyDescent="0.2">
      <c r="I57" s="835"/>
      <c r="J57" s="439"/>
    </row>
    <row r="58" spans="9:10" ht="0" hidden="1" customHeight="1" x14ac:dyDescent="0.2">
      <c r="I58" s="835"/>
      <c r="J58" s="439"/>
    </row>
    <row r="59" spans="9:10" ht="0" hidden="1" customHeight="1" x14ac:dyDescent="0.2">
      <c r="I59" s="835"/>
      <c r="J59" s="439"/>
    </row>
    <row r="60" spans="9:10" ht="0" hidden="1" customHeight="1" x14ac:dyDescent="0.2">
      <c r="I60" s="835"/>
      <c r="J60" s="439"/>
    </row>
    <row r="61" spans="9:10" ht="0" hidden="1" customHeight="1" x14ac:dyDescent="0.2">
      <c r="I61" s="835"/>
      <c r="J61" s="439"/>
    </row>
    <row r="62" spans="9:10" ht="0" hidden="1" customHeight="1" x14ac:dyDescent="0.2">
      <c r="I62" s="835"/>
      <c r="J62" s="439"/>
    </row>
    <row r="63" spans="9:10" ht="0" hidden="1" customHeight="1" x14ac:dyDescent="0.2"/>
    <row r="64" spans="9:10"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sheetProtection sheet="1" objects="1" scenarios="1"/>
  <mergeCells count="5">
    <mergeCell ref="A1:A2"/>
    <mergeCell ref="J1:J4"/>
    <mergeCell ref="B46:E46"/>
    <mergeCell ref="F46:G46"/>
    <mergeCell ref="B39:D39"/>
  </mergeCells>
  <phoneticPr fontId="4" type="noConversion"/>
  <conditionalFormatting sqref="C6:F7 C31:F31 C10:F10 C34:F34">
    <cfRule type="expression" dxfId="138" priority="1" stopIfTrue="1">
      <formula>$B6=""</formula>
    </cfRule>
  </conditionalFormatting>
  <conditionalFormatting sqref="F46:G46 D23 B23">
    <cfRule type="cellIs" dxfId="137" priority="2" stopIfTrue="1" operator="equal">
      <formula>"noch leer"</formula>
    </cfRule>
  </conditionalFormatting>
  <conditionalFormatting sqref="G6:G7 G31 F40:G40 G10 G34 F43:G43">
    <cfRule type="expression" dxfId="136" priority="3" stopIfTrue="1">
      <formula>$B6=""</formula>
    </cfRule>
  </conditionalFormatting>
  <conditionalFormatting sqref="E40 E43">
    <cfRule type="expression" dxfId="135" priority="4" stopIfTrue="1">
      <formula>$B40=""</formula>
    </cfRule>
    <cfRule type="cellIs" dxfId="134" priority="5" stopIfTrue="1" operator="equal">
      <formula>"noch leer"</formula>
    </cfRule>
  </conditionalFormatting>
  <conditionalFormatting sqref="D13">
    <cfRule type="expression" dxfId="133" priority="6" stopIfTrue="1">
      <formula>$C$20=""</formula>
    </cfRule>
  </conditionalFormatting>
  <conditionalFormatting sqref="E13">
    <cfRule type="expression" dxfId="132" priority="7" stopIfTrue="1">
      <formula>$C$21=""</formula>
    </cfRule>
  </conditionalFormatting>
  <conditionalFormatting sqref="F13">
    <cfRule type="expression" dxfId="131" priority="8" stopIfTrue="1">
      <formula>$C$22=""</formula>
    </cfRule>
  </conditionalFormatting>
  <conditionalFormatting sqref="E16">
    <cfRule type="expression" dxfId="130" priority="13" stopIfTrue="1">
      <formula>$C$21=""</formula>
    </cfRule>
    <cfRule type="cellIs" dxfId="129" priority="14" stopIfTrue="1" operator="equal">
      <formula>"noch leer"</formula>
    </cfRule>
  </conditionalFormatting>
  <conditionalFormatting sqref="E14:E15">
    <cfRule type="expression" dxfId="128" priority="17" stopIfTrue="1">
      <formula>$C$21=""</formula>
    </cfRule>
    <cfRule type="cellIs" dxfId="127" priority="18"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8"/>
  </sheetPr>
  <dimension ref="A1:L62"/>
  <sheetViews>
    <sheetView showGridLines="0" zoomScaleNormal="100" workbookViewId="0">
      <pane ySplit="2" topLeftCell="A3" activePane="bottomLeft" state="frozen"/>
      <selection activeCell="J26" sqref="J26"/>
      <selection pane="bottomLeft" activeCell="J26" sqref="J26"/>
    </sheetView>
  </sheetViews>
  <sheetFormatPr baseColWidth="10" defaultColWidth="0" defaultRowHeight="11.25" customHeight="1" zeroHeight="1" x14ac:dyDescent="0.2"/>
  <cols>
    <col min="1" max="1" width="2.7109375" style="413" customWidth="1"/>
    <col min="2" max="2" width="18.7109375" style="413" customWidth="1"/>
    <col min="3" max="3" width="7.7109375" style="413" customWidth="1"/>
    <col min="4" max="5" width="8.7109375" style="413" customWidth="1"/>
    <col min="6" max="6" width="12.7109375" style="413" customWidth="1"/>
    <col min="7" max="9" width="9.7109375" style="413" customWidth="1"/>
    <col min="10" max="10" width="2.7109375" style="413" customWidth="1"/>
    <col min="11" max="11" width="0.85546875" style="413" customWidth="1"/>
    <col min="12" max="12" width="20.7109375" style="413" customWidth="1"/>
    <col min="13" max="16384" width="11.42578125" style="1" hidden="1"/>
  </cols>
  <sheetData>
    <row r="1" spans="1:12" ht="24.95" customHeight="1" x14ac:dyDescent="0.2">
      <c r="A1" s="16"/>
      <c r="B1" s="17" t="s">
        <v>602</v>
      </c>
      <c r="C1" s="17"/>
      <c r="D1" s="17"/>
      <c r="E1" s="17"/>
      <c r="F1" s="17"/>
      <c r="G1" s="17"/>
      <c r="H1" s="17"/>
      <c r="I1" s="17"/>
      <c r="J1" s="17"/>
      <c r="K1" s="9"/>
      <c r="L1" s="1160" t="s">
        <v>11</v>
      </c>
    </row>
    <row r="2" spans="1:12" ht="20.100000000000001" customHeight="1" x14ac:dyDescent="0.2">
      <c r="K2" s="835"/>
      <c r="L2" s="1161"/>
    </row>
    <row r="3" spans="1:12" ht="12.6" customHeight="1" x14ac:dyDescent="0.2">
      <c r="B3" s="1010" t="s">
        <v>603</v>
      </c>
      <c r="C3" s="1010"/>
      <c r="D3" s="1010"/>
      <c r="E3" s="1010"/>
      <c r="F3" s="1010"/>
      <c r="G3" s="1010"/>
      <c r="H3" s="1010"/>
      <c r="I3" s="1010"/>
      <c r="K3" s="835"/>
      <c r="L3" s="1013"/>
    </row>
    <row r="4" spans="1:12" ht="12.6" customHeight="1" thickBot="1" x14ac:dyDescent="0.25">
      <c r="B4" s="1010" t="s">
        <v>604</v>
      </c>
      <c r="C4" s="1047" t="s">
        <v>51</v>
      </c>
      <c r="D4" s="1047" t="s">
        <v>605</v>
      </c>
      <c r="E4" s="1047" t="s">
        <v>606</v>
      </c>
      <c r="F4" s="1047" t="s">
        <v>576</v>
      </c>
      <c r="G4" s="1047" t="s">
        <v>51</v>
      </c>
      <c r="H4" s="1047" t="s">
        <v>52</v>
      </c>
      <c r="I4" s="1047" t="s">
        <v>53</v>
      </c>
      <c r="K4" s="835"/>
      <c r="L4" s="1013"/>
    </row>
    <row r="5" spans="1:12" ht="12.6" customHeight="1" thickBot="1" x14ac:dyDescent="0.25">
      <c r="B5" s="1014" t="str">
        <f>IF([1]PlanII!D15="","",[1]PlanII!D15)</f>
        <v>Stallneubau</v>
      </c>
      <c r="C5" s="1015">
        <f>IF([1]PlanII!G15="","",[1]PlanII!G15)</f>
        <v>158900</v>
      </c>
      <c r="D5" s="1017">
        <f>IF([1]PlanII!I15="","",[1]PlanII!I15)</f>
        <v>40</v>
      </c>
      <c r="E5" s="1018">
        <f t="shared" ref="E5:E7" si="0">C5/D5</f>
        <v>3972.5</v>
      </c>
      <c r="F5" s="1014" t="str">
        <f>IF([1]PlanII!M15="","",[1]PlanII!M15)</f>
        <v>Eigenkapital</v>
      </c>
      <c r="G5" s="1015">
        <f>IF([1]PlanII!P15="","",[1]PlanII!P15)</f>
        <v>66500</v>
      </c>
      <c r="H5" s="1016">
        <f>IF([1]PlanII!R15="","",[1]PlanII!R15)</f>
        <v>0.03</v>
      </c>
      <c r="I5" s="1048">
        <f>IF([1]PlanII!T15="","",[1]PlanII!T15)</f>
        <v>40</v>
      </c>
      <c r="K5" s="835"/>
      <c r="L5" s="1013"/>
    </row>
    <row r="6" spans="1:12" ht="12.6" customHeight="1" thickBot="1" x14ac:dyDescent="0.25">
      <c r="B6" s="1014" t="str">
        <f>IF([1]PlanII!D17="","",[1]PlanII!D17)</f>
        <v>Ausstattung</v>
      </c>
      <c r="C6" s="1015">
        <f>IF([1]PlanII!G17="","",[1]PlanII!G17)</f>
        <v>41100</v>
      </c>
      <c r="D6" s="1017">
        <f>IF([1]PlanII!I17="","",[1]PlanII!I17)</f>
        <v>25</v>
      </c>
      <c r="E6" s="1018">
        <f t="shared" si="0"/>
        <v>1644</v>
      </c>
      <c r="F6" s="1014" t="str">
        <f>IF([1]PlanII!M17="","",[1]PlanII!M17)</f>
        <v>AIK-Kredit</v>
      </c>
      <c r="G6" s="1015">
        <f>IF([1]PlanII!P17="","",[1]PlanII!P17)</f>
        <v>52000</v>
      </c>
      <c r="H6" s="1016">
        <f>IF([1]PlanII!R17="","",[1]PlanII!R17)</f>
        <v>2.5000000000000001E-2</v>
      </c>
      <c r="I6" s="1048">
        <f>IF([1]PlanII!T17="","",[1]PlanII!T17)</f>
        <v>19</v>
      </c>
      <c r="K6" s="835"/>
      <c r="L6" s="1013"/>
    </row>
    <row r="7" spans="1:12" ht="12.6" customHeight="1" thickBot="1" x14ac:dyDescent="0.25">
      <c r="B7" s="1014" t="str">
        <f>IF([1]PlanII!D19="","",[1]PlanII!D19)</f>
        <v>Tierzukauf</v>
      </c>
      <c r="C7" s="1015">
        <f>IF([1]PlanII!G19="","",[1]PlanII!G19)</f>
        <v>4760</v>
      </c>
      <c r="D7" s="1017">
        <f>IF([1]PlanII!I19="","",[1]PlanII!I19)</f>
        <v>5</v>
      </c>
      <c r="E7" s="1018">
        <f t="shared" si="0"/>
        <v>952</v>
      </c>
      <c r="F7" s="1014" t="str">
        <f>IF([1]PlanII!M19="","",[1]PlanII!M19)</f>
        <v/>
      </c>
      <c r="G7" s="1015" t="str">
        <f>IF([1]PlanII!P19="","",[1]PlanII!P19)</f>
        <v/>
      </c>
      <c r="H7" s="1016" t="str">
        <f>IF([1]PlanII!R19="","",[1]PlanII!R19)</f>
        <v/>
      </c>
      <c r="I7" s="1048" t="str">
        <f>IF([1]PlanII!T19="","",[1]PlanII!T19)</f>
        <v/>
      </c>
      <c r="K7" s="835"/>
      <c r="L7" s="1013"/>
    </row>
    <row r="8" spans="1:12" ht="12.6" customHeight="1" x14ac:dyDescent="0.2">
      <c r="B8" s="1014" t="str">
        <f>IF([1]PlanII!D21="","",[1]PlanII!D21)</f>
        <v/>
      </c>
      <c r="C8" s="1015" t="str">
        <f>IF([1]PlanII!G21="","",[1]PlanII!G21)</f>
        <v/>
      </c>
      <c r="D8" s="1017" t="str">
        <f>IF([1]PlanII!I21="","",[1]PlanII!I21)</f>
        <v/>
      </c>
      <c r="E8" s="1105"/>
      <c r="F8" s="1014" t="str">
        <f>IF([1]PlanII!M21="","",[1]PlanII!M21)</f>
        <v/>
      </c>
      <c r="G8" s="1015" t="str">
        <f>IF([1]PlanII!P21="","",[1]PlanII!P21)</f>
        <v/>
      </c>
      <c r="H8" s="1016" t="str">
        <f>IF([1]PlanII!R21="","",[1]PlanII!R21)</f>
        <v/>
      </c>
      <c r="I8" s="1048" t="str">
        <f>IF([1]PlanII!T21="","",[1]PlanII!T21)</f>
        <v/>
      </c>
      <c r="K8" s="835"/>
      <c r="L8" s="1013"/>
    </row>
    <row r="9" spans="1:12" ht="12.6" customHeight="1" x14ac:dyDescent="0.2">
      <c r="B9" s="1014" t="str">
        <f>IF([1]PlanII!D23="","",[1]PlanII!D23)</f>
        <v/>
      </c>
      <c r="C9" s="1015" t="str">
        <f>IF([1]PlanII!G23="","",[1]PlanII!G23)</f>
        <v/>
      </c>
      <c r="D9" s="1017" t="str">
        <f>IF([1]PlanII!I23="","",[1]PlanII!I23)</f>
        <v/>
      </c>
      <c r="E9" s="1015"/>
      <c r="F9" s="1014" t="str">
        <f>IF(SUM(C5:C11)=SUM(G5:G8),"",IF(AND(F7="",F8=""),"Bankdarlehen",IF(OR(F7="",F8=""),"Bankdarlehen 2","Bankdarlehen 3")))</f>
        <v>Bankdarlehen</v>
      </c>
      <c r="G9" s="1015">
        <f>IF(SUM(C5:C11)-SUM(G5:G8)=0,"",SUM(C5:C11)-SUM(G5:G8))</f>
        <v>30370</v>
      </c>
      <c r="H9" s="1016">
        <f>IF([1]PlanII!R23="","",[1]PlanII!R23)</f>
        <v>0.06</v>
      </c>
      <c r="I9" s="1048">
        <f>IF([1]PlanII!T23="","",[1]PlanII!T23)</f>
        <v>10</v>
      </c>
      <c r="K9" s="835"/>
      <c r="L9" s="1013"/>
    </row>
    <row r="10" spans="1:12" ht="6" customHeight="1" x14ac:dyDescent="0.2">
      <c r="B10" s="432"/>
      <c r="C10" s="432"/>
      <c r="D10" s="432"/>
      <c r="E10" s="432"/>
      <c r="F10" s="432"/>
      <c r="G10" s="432"/>
      <c r="H10" s="432"/>
      <c r="I10" s="432"/>
      <c r="K10" s="835"/>
      <c r="L10" s="1013"/>
    </row>
    <row r="11" spans="1:12" ht="12.6" customHeight="1" thickBot="1" x14ac:dyDescent="0.25">
      <c r="B11" s="1014" t="str">
        <f>IF([1]PlanII!B25="","",MID([1]PlanII!B25,1,20))</f>
        <v>Investitionszuschuss</v>
      </c>
      <c r="C11" s="1049">
        <f>IF([1]PlanII!I25="","",-[1]PlanII!I25)</f>
        <v>-55890</v>
      </c>
      <c r="D11" s="439"/>
      <c r="E11" s="1050"/>
      <c r="F11" s="407"/>
      <c r="G11" s="1051"/>
      <c r="K11" s="835"/>
      <c r="L11" s="1013"/>
    </row>
    <row r="12" spans="1:12" ht="12.6" customHeight="1" thickBot="1" x14ac:dyDescent="0.25">
      <c r="B12" s="1052" t="s">
        <v>607</v>
      </c>
      <c r="C12" s="1053">
        <f>SUM(C5:C11)</f>
        <v>148870</v>
      </c>
      <c r="D12" s="1054" t="s">
        <v>649</v>
      </c>
      <c r="E12" s="1028">
        <f>SUM(E5:E11)</f>
        <v>6568.5</v>
      </c>
      <c r="F12" s="1052" t="s">
        <v>608</v>
      </c>
      <c r="G12" s="1028">
        <f>SUM(G5:G11)</f>
        <v>148870</v>
      </c>
      <c r="K12" s="835"/>
      <c r="L12" s="1013"/>
    </row>
    <row r="13" spans="1:12" ht="17.100000000000001" customHeight="1" x14ac:dyDescent="0.2">
      <c r="K13" s="835"/>
      <c r="L13" s="1013"/>
    </row>
    <row r="14" spans="1:12" ht="20.100000000000001" hidden="1" customHeight="1" x14ac:dyDescent="0.2">
      <c r="B14" s="1022" t="str">
        <f>[1]PlanII!B27</f>
        <v>Rationalisierungsgewinne</v>
      </c>
      <c r="C14" s="1022"/>
      <c r="D14" s="1022"/>
      <c r="E14" s="1022"/>
      <c r="F14" s="1022"/>
      <c r="G14" s="1022"/>
      <c r="K14" s="835"/>
      <c r="L14" s="1013"/>
    </row>
    <row r="15" spans="1:12" ht="12.6" hidden="1" customHeight="1" x14ac:dyDescent="0.2">
      <c r="B15" s="432" t="s">
        <v>609</v>
      </c>
      <c r="C15" s="432"/>
      <c r="D15" s="1055">
        <f>IF([1]PlanII!G28="","",[1]PlanII!G28)</f>
        <v>-0.15</v>
      </c>
      <c r="E15" s="432" t="s">
        <v>610</v>
      </c>
      <c r="F15" s="432"/>
      <c r="G15" s="1055">
        <f>IF([1]PlanII!P28="","",[1]PlanII!P28)</f>
        <v>-0.4</v>
      </c>
      <c r="K15" s="835"/>
      <c r="L15" s="1013"/>
    </row>
    <row r="16" spans="1:12" ht="12.6" hidden="1" customHeight="1" x14ac:dyDescent="0.2">
      <c r="B16" s="432" t="s">
        <v>611</v>
      </c>
      <c r="C16" s="432"/>
      <c r="D16" s="1055">
        <f>IF([1]PlanII!G30="","",[1]PlanII!G30)</f>
        <v>-0.11</v>
      </c>
      <c r="E16" s="432" t="s">
        <v>612</v>
      </c>
      <c r="F16" s="432"/>
      <c r="G16" s="1055">
        <f>IF([1]PlanII!P30="","",[1]PlanII!P30)</f>
        <v>-0.3</v>
      </c>
      <c r="K16" s="835"/>
      <c r="L16" s="1013"/>
    </row>
    <row r="17" spans="2:12" ht="6" hidden="1" customHeight="1" x14ac:dyDescent="0.2">
      <c r="K17" s="835"/>
      <c r="L17" s="1013"/>
    </row>
    <row r="18" spans="2:12" ht="12.6" customHeight="1" x14ac:dyDescent="0.2">
      <c r="B18" s="1191" t="s">
        <v>613</v>
      </c>
      <c r="C18" s="1193" t="s">
        <v>18</v>
      </c>
      <c r="D18" s="1192" t="s">
        <v>19</v>
      </c>
      <c r="E18" s="1192"/>
      <c r="F18" s="1192" t="s">
        <v>20</v>
      </c>
      <c r="G18" s="1192"/>
      <c r="H18" s="1193" t="s">
        <v>614</v>
      </c>
      <c r="I18" s="1194"/>
      <c r="K18" s="835"/>
      <c r="L18" s="1013"/>
    </row>
    <row r="19" spans="2:12" ht="12.6" customHeight="1" x14ac:dyDescent="0.2">
      <c r="B19" s="1191" t="s">
        <v>22</v>
      </c>
      <c r="C19" s="1193" t="s">
        <v>23</v>
      </c>
      <c r="D19" s="1192" t="s">
        <v>24</v>
      </c>
      <c r="E19" s="1192"/>
      <c r="F19" s="1192" t="s">
        <v>25</v>
      </c>
      <c r="G19" s="1192"/>
      <c r="H19" s="1194" t="s">
        <v>26</v>
      </c>
      <c r="I19" s="1194"/>
      <c r="K19" s="835"/>
      <c r="L19" s="1013"/>
    </row>
    <row r="20" spans="2:12" ht="12.6" customHeight="1" thickBot="1" x14ac:dyDescent="0.25">
      <c r="B20" s="1191"/>
      <c r="C20" s="1193"/>
      <c r="D20" s="1056" t="s">
        <v>27</v>
      </c>
      <c r="E20" s="1056" t="s">
        <v>28</v>
      </c>
      <c r="F20" s="1056" t="s">
        <v>27</v>
      </c>
      <c r="G20" s="1056" t="s">
        <v>28</v>
      </c>
      <c r="H20" s="1056" t="s">
        <v>29</v>
      </c>
      <c r="I20" s="1056" t="s">
        <v>28</v>
      </c>
      <c r="K20" s="835"/>
      <c r="L20" s="1013"/>
    </row>
    <row r="21" spans="2:12" ht="12.6" customHeight="1" thickBot="1" x14ac:dyDescent="0.25">
      <c r="B21" s="432" t="str">
        <f>IF([1]PlanII!D33="","",[1]PlanII!B33&amp;" "&amp;[1]PlanII!D33)</f>
        <v>DB Milchschafe</v>
      </c>
      <c r="C21" s="1057">
        <f>IF([1]PlanII!G33="","",[1]PlanII!G33)</f>
        <v>70</v>
      </c>
      <c r="D21" s="1046">
        <f>IF([1]PlanII!K33="","",[1]PlanII!K33*(1+$D$15))</f>
        <v>334.30500000000001</v>
      </c>
      <c r="E21" s="1018">
        <f t="shared" ref="E21:E22" si="1">$C21*D21</f>
        <v>23401.350000000002</v>
      </c>
      <c r="F21" s="1058">
        <f>IF([1]PlanII!M33="","",[1]PlanII!M33)</f>
        <v>3726</v>
      </c>
      <c r="G21" s="1059">
        <f>-$C21*F21</f>
        <v>-260820</v>
      </c>
      <c r="H21" s="1060">
        <f>IF([1]PlanII!P33="","",[1]PlanII!P33*(1+$G$15))</f>
        <v>46.559999999999995</v>
      </c>
      <c r="I21" s="1061">
        <f t="shared" ref="I21:I22" si="2">$C21*H21</f>
        <v>3259.2</v>
      </c>
      <c r="K21" s="835"/>
      <c r="L21" s="1013"/>
    </row>
    <row r="22" spans="2:12" ht="12.6" customHeight="1" thickBot="1" x14ac:dyDescent="0.25">
      <c r="B22" s="432" t="str">
        <f>IF([1]PlanII!D35="","",[1]PlanII!B35&amp;" "&amp;[1]PlanII!D35)</f>
        <v>DB Lämmer</v>
      </c>
      <c r="C22" s="1062">
        <f>IF([1]PlanII!G35="","",[1]PlanII!G35)</f>
        <v>110</v>
      </c>
      <c r="D22" s="1063">
        <f>IF([1]PlanII!K35="","",[1]PlanII!K35*(1+$D$15))</f>
        <v>63.324999999999996</v>
      </c>
      <c r="E22" s="1018">
        <f t="shared" si="1"/>
        <v>6965.7499999999991</v>
      </c>
      <c r="F22" s="1058">
        <f>IF([1]PlanII!M35="","",[1]PlanII!M35)</f>
        <v>0</v>
      </c>
      <c r="G22" s="1059">
        <f>-$C22*F22</f>
        <v>0</v>
      </c>
      <c r="H22" s="1060">
        <f>IF([1]PlanII!P35="","",[1]PlanII!P35*(1+$G$15))</f>
        <v>4.9800000000000004</v>
      </c>
      <c r="I22" s="1061">
        <f t="shared" si="2"/>
        <v>547.80000000000007</v>
      </c>
      <c r="K22" s="12"/>
      <c r="L22" s="1013"/>
    </row>
    <row r="23" spans="2:12" ht="12.6" customHeight="1" x14ac:dyDescent="0.2">
      <c r="B23" s="432" t="str">
        <f>IF([1]PlanII!D37="","",[1]PlanII!B37&amp;" "&amp;[1]PlanII!D37)</f>
        <v>DB Kartoffel</v>
      </c>
      <c r="C23" s="1062">
        <f>IF([1]PlanII!G37="","",[1]PlanII!G37)</f>
        <v>3</v>
      </c>
      <c r="D23" s="1046">
        <f>IF([1]PlanII!K37="","",[1]PlanII!K37*(1+$D$15))</f>
        <v>791.77499999999998</v>
      </c>
      <c r="E23" s="1015">
        <f>IF(OR(D23="",$C23=""),"",D23*$C23)</f>
        <v>2375.3249999999998</v>
      </c>
      <c r="F23" s="1058">
        <f>IF([1]PlanII!M37="","",[1]PlanII!M37)</f>
        <v>0</v>
      </c>
      <c r="G23" s="1064">
        <f>IF(OR(F23="",$C23=""),"",-F23*$C23)</f>
        <v>0</v>
      </c>
      <c r="H23" s="1065">
        <f>IF([1]PlanII!P37="","",[1]PlanII!P37*(1+$G$15))</f>
        <v>52.8</v>
      </c>
      <c r="I23" s="1066">
        <f>IF(OR(H23="",$C23=""),"",H23*$C23)</f>
        <v>158.39999999999998</v>
      </c>
      <c r="K23" s="835"/>
      <c r="L23" s="1013"/>
    </row>
    <row r="24" spans="2:12" ht="12.6" customHeight="1" x14ac:dyDescent="0.2">
      <c r="B24" s="432" t="str">
        <f>IF([1]PlanII!D39="","",[1]PlanII!B39&amp;" "&amp;[1]PlanII!D39)</f>
        <v/>
      </c>
      <c r="C24" s="1062" t="str">
        <f>IF([1]PlanII!G39="","",[1]PlanII!G39)</f>
        <v/>
      </c>
      <c r="D24" s="1067" t="str">
        <f>IF([1]PlanII!K39="","",[1]PlanII!K39*(1+$D$15))</f>
        <v/>
      </c>
      <c r="E24" s="1015" t="str">
        <f>IF(OR(D24="",$C24=""),"",D24*$C24)</f>
        <v/>
      </c>
      <c r="F24" s="1058" t="str">
        <f>IF([1]PlanII!M39="","",[1]PlanII!M39)</f>
        <v/>
      </c>
      <c r="G24" s="1064" t="str">
        <f>IF(OR(F24="",$C24=""),"",-F24*$C24)</f>
        <v/>
      </c>
      <c r="H24" s="1065" t="str">
        <f>IF([1]PlanII!P39="","",[1]PlanII!P39*(1+$G$15))</f>
        <v/>
      </c>
      <c r="I24" s="1066" t="str">
        <f>IF(OR(H24="",$C24=""),"",H24*$C24)</f>
        <v/>
      </c>
      <c r="K24" s="835"/>
      <c r="L24" s="1013"/>
    </row>
    <row r="25" spans="2:12" ht="12.6" customHeight="1" x14ac:dyDescent="0.2">
      <c r="B25" s="432" t="str">
        <f>IF([1]PlanII!D41="","",[1]PlanII!B41&amp;" "&amp;[1]PlanII!D41)</f>
        <v/>
      </c>
      <c r="C25" s="1068" t="str">
        <f>IF([1]PlanII!G41="","",[1]PlanII!G41)</f>
        <v/>
      </c>
      <c r="D25" s="1046" t="str">
        <f>IF([1]PlanII!K41="","",[1]PlanII!K41*(1+$D$15))</f>
        <v/>
      </c>
      <c r="E25" s="1015" t="str">
        <f>IF(OR(D25="",$C25=""),"",D25*$C25)</f>
        <v/>
      </c>
      <c r="F25" s="1058" t="str">
        <f>IF([1]PlanII!M41="","",[1]PlanII!M41)</f>
        <v/>
      </c>
      <c r="G25" s="1064" t="str">
        <f>IF(OR(F25="",$C25=""),"",-F25*$C25)</f>
        <v/>
      </c>
      <c r="H25" s="1065" t="str">
        <f>IF([1]PlanII!P41="","",[1]PlanII!P41*(1+$G$15))</f>
        <v/>
      </c>
      <c r="I25" s="1066" t="str">
        <f>IF(OR(H25="",$C25=""),"",H25*$C25)</f>
        <v/>
      </c>
      <c r="K25" s="835"/>
      <c r="L25" s="1013"/>
    </row>
    <row r="26" spans="2:12" ht="12.6" customHeight="1" x14ac:dyDescent="0.2">
      <c r="B26" s="432" t="str">
        <f>IF([1]PlanII!D43="","",[1]PlanII!B43&amp;" "&amp;[1]PlanII!D43)</f>
        <v/>
      </c>
      <c r="C26" s="1068" t="str">
        <f>IF([1]PlanII!G43="","",[1]PlanII!G43)</f>
        <v/>
      </c>
      <c r="D26" s="1046" t="str">
        <f>IF([1]PlanII!K43="","",[1]PlanII!K43*(1+$D$15))</f>
        <v/>
      </c>
      <c r="E26" s="1015" t="str">
        <f>IF(OR(D26="",$C26=""),"",D26*$C26)</f>
        <v/>
      </c>
      <c r="F26" s="1058" t="str">
        <f>IF([1]PlanII!M43="","",[1]PlanII!M43)</f>
        <v/>
      </c>
      <c r="G26" s="1064"/>
      <c r="H26" s="1065" t="str">
        <f>IF([1]PlanII!P43="","",[1]PlanII!P43*(1+$G$15))</f>
        <v/>
      </c>
      <c r="I26" s="1066" t="str">
        <f>IF(OR(H26="",$C26=""),"",H26*$C26)</f>
        <v/>
      </c>
      <c r="K26" s="835"/>
      <c r="L26" s="1013"/>
    </row>
    <row r="27" spans="2:12" ht="12.6" customHeight="1" x14ac:dyDescent="0.2">
      <c r="B27" s="432" t="str">
        <f>IF([1]PlanII!D45="","",[1]PlanII!B45&amp;" "&amp;[1]PlanII!D45)</f>
        <v/>
      </c>
      <c r="C27" s="1068" t="str">
        <f>IF([1]PlanII!G45="","",[1]PlanII!G45)</f>
        <v/>
      </c>
      <c r="D27" s="1046" t="str">
        <f>IF([1]PlanII!K45="","",[1]PlanII!K45*(1+$D$15))</f>
        <v/>
      </c>
      <c r="E27" s="1015"/>
      <c r="F27" s="1058" t="str">
        <f>IF([1]PlanII!M45="","",[1]PlanII!M45)</f>
        <v/>
      </c>
      <c r="G27" s="1064"/>
      <c r="H27" s="1065" t="str">
        <f>IF([1]PlanII!P45="","",[1]PlanII!P45*(1+$G$15))</f>
        <v/>
      </c>
      <c r="I27" s="1066"/>
      <c r="K27" s="835"/>
      <c r="L27" s="1013"/>
    </row>
    <row r="28" spans="2:12" ht="12.6" customHeight="1" thickBot="1" x14ac:dyDescent="0.25">
      <c r="B28" s="432" t="str">
        <f>IF([1]PlanII!D48="","",[1]PlanII!B48&amp;" "&amp;[1]PlanII!D48)</f>
        <v>VK Dauergrünland 3-schnittig</v>
      </c>
      <c r="C28" s="1068">
        <f>IF([1]PlanII!G48="","",[1]PlanII!G48)</f>
        <v>6</v>
      </c>
      <c r="D28" s="1046">
        <f>IF([1]PlanII!K48="","",[1]PlanII!K48*(1+$D$16))</f>
        <v>1308.1220000000001</v>
      </c>
      <c r="E28" s="1049">
        <f>IF(OR(D28="",$C28=""),"",-D28*$C28)</f>
        <v>-7848.732</v>
      </c>
      <c r="F28" s="1058">
        <f>IF([1]PlanII!M48="","",[1]PlanII!M48*(1+$G$16))</f>
        <v>36530.899999999994</v>
      </c>
      <c r="G28" s="1069">
        <f>IF(OR(F28="",$C28=""),"",F28*$C28)</f>
        <v>219185.39999999997</v>
      </c>
      <c r="H28" s="1065">
        <f>IF([1]PlanII!P48="","",[1]PlanII!P48*(1+$G$15))</f>
        <v>52.859999999999992</v>
      </c>
      <c r="I28" s="1070">
        <f>IF(OR(H28="",$C28=""),"",H28*$C28)</f>
        <v>317.15999999999997</v>
      </c>
      <c r="K28" s="835"/>
      <c r="L28" s="1013"/>
    </row>
    <row r="29" spans="2:12" ht="12.6" customHeight="1" thickBot="1" x14ac:dyDescent="0.25">
      <c r="B29" s="432" t="str">
        <f>IF([1]PlanII!D50="","",[1]PlanII!B50&amp;" "&amp;[1]PlanII!D50)</f>
        <v>VK Dauergrünland 1-schnittig</v>
      </c>
      <c r="C29" s="1068">
        <f>IF([1]PlanII!G50="","",[1]PlanII!G50)</f>
        <v>2.5</v>
      </c>
      <c r="D29" s="1046">
        <f>IF([1]PlanII!K50="","",[1]PlanII!K50*(1+$D$16))</f>
        <v>170.96899999999999</v>
      </c>
      <c r="E29" s="1018">
        <f>-$C29*D29</f>
        <v>-427.42250000000001</v>
      </c>
      <c r="F29" s="1058">
        <f>IF([1]PlanII!M50="","",[1]PlanII!M50*(1+$G$16))</f>
        <v>11004.699999999999</v>
      </c>
      <c r="G29" s="1059">
        <f>$C29*F29</f>
        <v>27511.749999999996</v>
      </c>
      <c r="H29" s="1065">
        <f>IF([1]PlanII!P50="","",[1]PlanII!P50*(1+$G$15))</f>
        <v>10.62</v>
      </c>
      <c r="I29" s="1061">
        <f>$C29*H29</f>
        <v>26.549999999999997</v>
      </c>
      <c r="K29" s="13"/>
      <c r="L29" s="1013"/>
    </row>
    <row r="30" spans="2:12" ht="12.6" customHeight="1" x14ac:dyDescent="0.2">
      <c r="B30" s="432" t="str">
        <f>IF([1]PlanII!D52="","",[1]PlanII!B52&amp;" "&amp;[1]PlanII!D52)</f>
        <v>VK Feldfutter - Heu</v>
      </c>
      <c r="C30" s="1068">
        <f>IF([1]PlanII!G52="","",[1]PlanII!G52)</f>
        <v>1.6</v>
      </c>
      <c r="D30" s="1046">
        <f>IF([1]PlanII!K52="","",[1]PlanII!K52*(1+$D$16))</f>
        <v>714.49199999999996</v>
      </c>
      <c r="E30" s="1071">
        <f>IF(OR(D30="",$C30=""),"",-D30*$C30)</f>
        <v>-1143.1872000000001</v>
      </c>
      <c r="F30" s="1058">
        <f>IF([1]PlanII!M52="","",[1]PlanII!M52*(1+$G$16))</f>
        <v>39370.799999999996</v>
      </c>
      <c r="G30" s="1072">
        <f>IF(OR(F30="",$C30=""),"",F30*$C30)</f>
        <v>62993.279999999999</v>
      </c>
      <c r="H30" s="1065">
        <f>IF([1]PlanII!P52="","",[1]PlanII!P52*(1+$G$15))</f>
        <v>25.439999999999998</v>
      </c>
      <c r="I30" s="1073">
        <f>IF(OR(H30="",$C30=""),"",H30*$C30)</f>
        <v>40.704000000000001</v>
      </c>
      <c r="K30" s="13"/>
      <c r="L30" s="1013"/>
    </row>
    <row r="31" spans="2:12" ht="12.6" customHeight="1" x14ac:dyDescent="0.2">
      <c r="B31" s="432" t="str">
        <f>IF([1]PlanII!D54="","",[1]PlanII!B54&amp;" "&amp;[1]PlanII!D54)</f>
        <v/>
      </c>
      <c r="C31" s="1068" t="str">
        <f>IF([1]PlanII!G54="","",[1]PlanII!G54)</f>
        <v/>
      </c>
      <c r="D31" s="1046" t="str">
        <f>IF([1]PlanII!K54="","",[1]PlanII!K54*(1+$D$16))</f>
        <v/>
      </c>
      <c r="E31" s="1015" t="str">
        <f>IF(OR(D31="",$C31=""),"",-D31*$C31)</f>
        <v/>
      </c>
      <c r="F31" s="1058" t="str">
        <f>IF([1]PlanII!M54="","",[1]PlanII!M54*(1+$G$16))</f>
        <v/>
      </c>
      <c r="G31" s="1064" t="str">
        <f>IF(OR(F31="",$C31=""),"",F31*$C31)</f>
        <v/>
      </c>
      <c r="H31" s="1065" t="str">
        <f>IF([1]PlanII!P54="","",[1]PlanII!P54*(1+$G$15))</f>
        <v/>
      </c>
      <c r="I31" s="1066" t="str">
        <f>IF(OR(H31="",$C31=""),"",H31*$C31)</f>
        <v/>
      </c>
      <c r="K31" s="13"/>
      <c r="L31" s="1013"/>
    </row>
    <row r="32" spans="2:12" ht="12.6" customHeight="1" x14ac:dyDescent="0.2">
      <c r="B32" s="432" t="str">
        <f>IF([1]PlanII!D56="","",[1]PlanII!B56&amp;" "&amp;[1]PlanII!D56)</f>
        <v/>
      </c>
      <c r="C32" s="1068" t="str">
        <f>IF([1]PlanII!G56="","",[1]PlanII!G56)</f>
        <v/>
      </c>
      <c r="D32" s="1046" t="str">
        <f>IF([1]PlanII!K56="","",[1]PlanII!K56*(1+$D$16))</f>
        <v/>
      </c>
      <c r="E32" s="1015" t="str">
        <f>IF(OR(D32="",$C32=""),"",-D32*$C32)</f>
        <v/>
      </c>
      <c r="F32" s="1058" t="str">
        <f>IF([1]PlanII!M56="","",[1]PlanII!M56*(1+$G$16))</f>
        <v/>
      </c>
      <c r="G32" s="1064" t="str">
        <f>IF(OR(F32="",$C32=""),"",F32*$C32)</f>
        <v/>
      </c>
      <c r="H32" s="1065" t="str">
        <f>IF([1]PlanII!P56="","",[1]PlanII!P56*(1+$G$15))</f>
        <v/>
      </c>
      <c r="I32" s="1066" t="str">
        <f>IF(OR(H32="",$C32=""),"",H32*$C32)</f>
        <v/>
      </c>
      <c r="K32" s="835"/>
      <c r="L32" s="1013"/>
    </row>
    <row r="33" spans="2:12" ht="12.6" customHeight="1" x14ac:dyDescent="0.2">
      <c r="B33" s="432" t="str">
        <f>IF([1]PlanII!D58="","",[1]PlanII!B58&amp;" "&amp;[1]PlanII!D58)</f>
        <v/>
      </c>
      <c r="C33" s="1068" t="str">
        <f>IF([1]PlanII!G58="","",[1]PlanII!G58)</f>
        <v/>
      </c>
      <c r="D33" s="1046" t="str">
        <f>IF([1]PlanII!K58="","",[1]PlanII!K58*(1+$D$16))</f>
        <v/>
      </c>
      <c r="E33" s="1015" t="str">
        <f>IF(OR(D33="",$C33=""),"",-D33*$C33)</f>
        <v/>
      </c>
      <c r="F33" s="1058" t="str">
        <f>IF([1]PlanII!M58="","",[1]PlanII!M58*(1+$G$16))</f>
        <v/>
      </c>
      <c r="G33" s="1064" t="str">
        <f>IF(OR(F33="",$C33=""),"",F33*$C33)</f>
        <v/>
      </c>
      <c r="H33" s="1065" t="str">
        <f>IF([1]PlanII!P58="","",[1]PlanII!P58*(1+$G$15))</f>
        <v/>
      </c>
      <c r="I33" s="1066" t="str">
        <f>IF(OR(H33="",$C33=""),"",H33*$C33)</f>
        <v/>
      </c>
      <c r="K33" s="835"/>
      <c r="L33" s="1013"/>
    </row>
    <row r="34" spans="2:12" ht="12.6" customHeight="1" thickBot="1" x14ac:dyDescent="0.25">
      <c r="B34" s="432" t="str">
        <f>IF([1]PlanII!D60="","",[1]PlanII!B60&amp;" "&amp;[1]PlanII!D60)</f>
        <v xml:space="preserve"> Sonstige Arbeiten</v>
      </c>
      <c r="C34" s="1068">
        <f>IF([1]PlanII!G60="","",[1]PlanII!G60)</f>
        <v>1</v>
      </c>
      <c r="D34" s="1046" t="str">
        <f>IF([1]PlanII!K60="","",[1]PlanII!K60*(1+$D$16))</f>
        <v/>
      </c>
      <c r="E34" s="1049" t="str">
        <f>IF(OR(D34="",$C34=""),"",-D34*$C34)</f>
        <v/>
      </c>
      <c r="F34" s="1058" t="str">
        <f>IF([1]PlanII!M60="","",[1]PlanII!M60*(1+$G$16))</f>
        <v/>
      </c>
      <c r="G34" s="1064" t="str">
        <f>IF(OR(F34="",$C34=""),"",F34*$C34)</f>
        <v/>
      </c>
      <c r="H34" s="1065">
        <f>IF([1]PlanII!P60="","",[1]PlanII!P60*(1+$G$15))</f>
        <v>251.16</v>
      </c>
      <c r="I34" s="1066">
        <f>IF(OR(H34="",$C34=""),"",H34*$C34)</f>
        <v>251.16</v>
      </c>
      <c r="K34" s="835"/>
      <c r="L34" s="1013"/>
    </row>
    <row r="35" spans="2:12" ht="12.6" customHeight="1" thickBot="1" x14ac:dyDescent="0.25">
      <c r="B35" s="29" t="s">
        <v>30</v>
      </c>
      <c r="C35" s="29"/>
      <c r="D35" s="29"/>
      <c r="E35" s="368">
        <f>SUM(E21:E34)</f>
        <v>23323.083300000002</v>
      </c>
      <c r="K35" s="835"/>
      <c r="L35" s="1013"/>
    </row>
    <row r="36" spans="2:12" ht="17.100000000000001" customHeight="1" x14ac:dyDescent="0.2">
      <c r="K36" s="835"/>
      <c r="L36" s="1013"/>
    </row>
    <row r="37" spans="2:12" ht="12.6" customHeight="1" thickBot="1" x14ac:dyDescent="0.25">
      <c r="B37" s="1022" t="s">
        <v>31</v>
      </c>
      <c r="C37" s="1022"/>
      <c r="D37" s="1022"/>
      <c r="E37" s="1022"/>
      <c r="F37" s="1022" t="s">
        <v>32</v>
      </c>
      <c r="G37" s="1047"/>
      <c r="H37" s="1022"/>
      <c r="I37" s="1047"/>
      <c r="J37" s="32"/>
      <c r="K37" s="835"/>
      <c r="L37" s="1013"/>
    </row>
    <row r="38" spans="2:12" ht="12.6" customHeight="1" x14ac:dyDescent="0.2">
      <c r="B38" s="432" t="str">
        <f>IF([1]PlanII!B64="","",[1]PlanII!B64)</f>
        <v>Pachteinnahmen (1,5 ha Acker verpachtet)</v>
      </c>
      <c r="C38" s="1039"/>
      <c r="D38" s="1039"/>
      <c r="E38" s="1015">
        <f>IF([1]PlanII!G64="","",[1]PlanII!G64)</f>
        <v>377</v>
      </c>
      <c r="F38" s="1187" t="s">
        <v>33</v>
      </c>
      <c r="G38" s="1188">
        <f t="shared" ref="G38" si="3">SUM(G21:G34)</f>
        <v>48870.429999999964</v>
      </c>
      <c r="H38" s="1187" t="s">
        <v>34</v>
      </c>
      <c r="I38" s="1188">
        <f t="shared" ref="I38" si="4">SUM(I21:I34)</f>
        <v>4600.9740000000002</v>
      </c>
      <c r="K38" s="835"/>
      <c r="L38" s="1013"/>
    </row>
    <row r="39" spans="2:12" ht="12.6" customHeight="1" x14ac:dyDescent="0.2">
      <c r="B39" s="432" t="str">
        <f>IF([1]PlanII!B66="","",[1]PlanII!B66)</f>
        <v/>
      </c>
      <c r="C39" s="1039"/>
      <c r="D39" s="1039"/>
      <c r="E39" s="1015">
        <f>IF([1]PlanII!G66="","",[1]PlanII!G66)</f>
        <v>0</v>
      </c>
      <c r="F39" s="1187"/>
      <c r="G39" s="1189"/>
      <c r="H39" s="1187"/>
      <c r="I39" s="1189"/>
      <c r="K39" s="835"/>
      <c r="L39" s="1013"/>
    </row>
    <row r="40" spans="2:12" ht="12.6" customHeight="1" thickBot="1" x14ac:dyDescent="0.25">
      <c r="B40" s="432" t="str">
        <f>IF([1]PlanII!B68="","",[1]PlanII!B68)</f>
        <v/>
      </c>
      <c r="C40" s="1039"/>
      <c r="D40" s="1039"/>
      <c r="E40" s="1049" t="str">
        <f>IF([1]PlanII!G68="","",[1]PlanII!G68)</f>
        <v/>
      </c>
      <c r="F40" s="1187"/>
      <c r="G40" s="1190"/>
      <c r="H40" s="1187"/>
      <c r="I40" s="1190"/>
      <c r="K40" s="835"/>
      <c r="L40" s="1013"/>
    </row>
    <row r="41" spans="2:12" ht="12.6" customHeight="1" thickBot="1" x14ac:dyDescent="0.25">
      <c r="B41" s="1020" t="s">
        <v>35</v>
      </c>
      <c r="C41" s="1020"/>
      <c r="D41" s="1020"/>
      <c r="E41" s="368">
        <f>SUM(E38:E40)</f>
        <v>377</v>
      </c>
      <c r="K41" s="835"/>
      <c r="L41" s="1013"/>
    </row>
    <row r="42" spans="2:12" ht="17.100000000000001" customHeight="1" x14ac:dyDescent="0.2">
      <c r="K42" s="835"/>
      <c r="L42" s="1013"/>
    </row>
    <row r="43" spans="2:12" ht="12.6" customHeight="1" x14ac:dyDescent="0.2">
      <c r="B43" s="1022" t="s">
        <v>36</v>
      </c>
      <c r="C43" s="1022"/>
      <c r="D43" s="1056" t="s">
        <v>37</v>
      </c>
      <c r="E43" s="1022"/>
      <c r="F43" s="1022" t="s">
        <v>38</v>
      </c>
      <c r="G43" s="1047"/>
      <c r="H43" s="1022"/>
      <c r="I43" s="1047"/>
      <c r="K43" s="835"/>
      <c r="L43" s="1013"/>
    </row>
    <row r="44" spans="2:12" ht="12.6" customHeight="1" x14ac:dyDescent="0.2">
      <c r="B44" s="432" t="str">
        <f>IF([1]PlanII!B71="","",[1]PlanII!B71)</f>
        <v>Ausgleichszulage</v>
      </c>
      <c r="C44" s="1039"/>
      <c r="D44" s="1039"/>
      <c r="E44" s="1015">
        <f>IF([1]PlanII!G71="","",[1]PlanII!G71)</f>
        <v>2310</v>
      </c>
      <c r="F44" s="37" t="s">
        <v>615</v>
      </c>
      <c r="G44" s="37"/>
      <c r="H44" s="37"/>
      <c r="I44" s="1015">
        <f>IF(Ist!I35="","noch leer",Ist!I35)</f>
        <v>17394.973604651164</v>
      </c>
      <c r="J44" s="39"/>
      <c r="K44" s="835"/>
      <c r="L44" s="1013"/>
    </row>
    <row r="45" spans="2:12" ht="12.6" customHeight="1" thickBot="1" x14ac:dyDescent="0.25">
      <c r="B45" s="432" t="str">
        <f>IF([1]PlanII!B73="","",[1]PlanII!B73)</f>
        <v>EBP</v>
      </c>
      <c r="C45" s="1039"/>
      <c r="D45" s="1039"/>
      <c r="E45" s="1015">
        <f>IF([1]PlanII!G73="","",[1]PlanII!G73)</f>
        <v>1430</v>
      </c>
      <c r="F45" s="1074" t="s">
        <v>473</v>
      </c>
      <c r="G45" s="1074"/>
      <c r="H45" s="1074"/>
      <c r="I45" s="1049">
        <f>IF(AND(FinII!D16="",FinII!E16="",FinII!F16=""),"noch leer",IF(FinII!C20&lt;&gt;"",FinII!D16,IF(FinII!C21&lt;&gt;"",FinII!E16,IF(FinII!C22&lt;&gt;"",FinII!F16,""))))</f>
        <v>7937.5835273846715</v>
      </c>
      <c r="J45" s="39"/>
      <c r="K45" s="835"/>
      <c r="L45" s="1013"/>
    </row>
    <row r="46" spans="2:12" ht="12.6" customHeight="1" thickBot="1" x14ac:dyDescent="0.25">
      <c r="B46" s="432" t="str">
        <f>IF([1]PlanII!B75="","",[1]PlanII!B75)</f>
        <v>Weideprämie</v>
      </c>
      <c r="C46" s="1039"/>
      <c r="D46" s="1039"/>
      <c r="E46" s="1015">
        <f>IF([1]PlanII!G75="","",[1]PlanII!G75)</f>
        <v>1500</v>
      </c>
      <c r="F46" s="41" t="s">
        <v>616</v>
      </c>
      <c r="G46" s="41"/>
      <c r="H46" s="41"/>
      <c r="I46" s="368">
        <f>SUM(I44:I45)</f>
        <v>25332.557132035836</v>
      </c>
      <c r="J46" s="39"/>
      <c r="K46" s="835"/>
      <c r="L46" s="1013"/>
    </row>
    <row r="47" spans="2:12" ht="12.6" customHeight="1" x14ac:dyDescent="0.2">
      <c r="B47" s="432" t="str">
        <f>IF([1]PlanII!B77="","",[1]PlanII!B77)</f>
        <v>ÖPUL</v>
      </c>
      <c r="C47" s="1039"/>
      <c r="D47" s="1039"/>
      <c r="E47" s="1015">
        <f>IF([1]PlanII!G77="","",[1]PlanII!G77)</f>
        <v>808</v>
      </c>
      <c r="F47" s="1039" t="s">
        <v>617</v>
      </c>
      <c r="G47" s="1039"/>
      <c r="H47" s="1039"/>
      <c r="I47" s="1075">
        <f>IF(FinII!G35="","noch leer",FinII!G35)</f>
        <v>-7597.8618778784894</v>
      </c>
      <c r="K47" s="835"/>
      <c r="L47" s="1013"/>
    </row>
    <row r="48" spans="2:12" ht="12.6" customHeight="1" thickBot="1" x14ac:dyDescent="0.25">
      <c r="B48" s="432" t="str">
        <f>IF([1]PlanII!B79="","",[1]PlanII!B79)</f>
        <v/>
      </c>
      <c r="C48" s="1039"/>
      <c r="D48" s="1039"/>
      <c r="E48" s="1015" t="str">
        <f>IF([1]PlanII!G79="","",[1]PlanII!G79)</f>
        <v/>
      </c>
      <c r="F48" s="41" t="s">
        <v>618</v>
      </c>
      <c r="G48" s="41"/>
      <c r="H48" s="41"/>
      <c r="I48" s="1076">
        <f>IF(G12="","noch leer",G12)</f>
        <v>148870</v>
      </c>
      <c r="K48" s="835"/>
      <c r="L48" s="1013"/>
    </row>
    <row r="49" spans="2:12" ht="12.6" customHeight="1" thickBot="1" x14ac:dyDescent="0.25">
      <c r="B49" s="432" t="str">
        <f>IF([1]PlanII!B81="","",[1]PlanII!B81)</f>
        <v/>
      </c>
      <c r="C49" s="1039"/>
      <c r="D49" s="1039"/>
      <c r="E49" s="1049" t="str">
        <f>IF([1]PlanII!G81="","",[1]PlanII!G81)</f>
        <v/>
      </c>
      <c r="F49" s="1077" t="s">
        <v>619</v>
      </c>
      <c r="G49" s="1077"/>
      <c r="H49" s="1077"/>
      <c r="I49" s="49">
        <f>SUM(G6:G9)</f>
        <v>82370</v>
      </c>
      <c r="K49" s="835"/>
      <c r="L49" s="1013"/>
    </row>
    <row r="50" spans="2:12" ht="12.6" customHeight="1" thickBot="1" x14ac:dyDescent="0.25">
      <c r="B50" s="29" t="s">
        <v>44</v>
      </c>
      <c r="C50" s="29"/>
      <c r="D50" s="29"/>
      <c r="E50" s="368">
        <f>SUM(E44:E49)</f>
        <v>6048</v>
      </c>
      <c r="F50" s="1078"/>
      <c r="K50" s="835"/>
      <c r="L50" s="1013"/>
    </row>
    <row r="51" spans="2:12" ht="17.100000000000001" customHeight="1" thickBot="1" x14ac:dyDescent="0.25">
      <c r="K51" s="835"/>
      <c r="L51" s="1013"/>
    </row>
    <row r="52" spans="2:12" ht="12.6" customHeight="1" thickBot="1" x14ac:dyDescent="0.25">
      <c r="B52" s="29" t="s">
        <v>45</v>
      </c>
      <c r="C52" s="29"/>
      <c r="D52" s="29"/>
      <c r="E52" s="368">
        <f>E35+E41+E50</f>
        <v>29748.083300000002</v>
      </c>
      <c r="K52" s="835"/>
      <c r="L52" s="1013"/>
    </row>
    <row r="53" spans="2:12" ht="12.6" customHeight="1" x14ac:dyDescent="0.2">
      <c r="B53" s="480" t="s">
        <v>46</v>
      </c>
      <c r="C53" s="1079"/>
      <c r="D53" s="1079"/>
      <c r="E53" s="1071">
        <f>IF(Ist!E38="","noch leer",Ist!E38)</f>
        <v>-10555.20919158361</v>
      </c>
      <c r="K53" s="835"/>
      <c r="L53" s="1013"/>
    </row>
    <row r="54" spans="2:12" ht="12.6" customHeight="1" x14ac:dyDescent="0.2">
      <c r="B54" s="480" t="s">
        <v>620</v>
      </c>
      <c r="C54" s="1079"/>
      <c r="D54" s="1079"/>
      <c r="E54" s="1015">
        <f>IF(E12="","noch leer",-E12)</f>
        <v>-6568.5</v>
      </c>
      <c r="K54" s="835"/>
      <c r="L54" s="1013"/>
    </row>
    <row r="55" spans="2:12" ht="12.6" customHeight="1" thickBot="1" x14ac:dyDescent="0.25">
      <c r="B55" s="480" t="s">
        <v>621</v>
      </c>
      <c r="C55" s="1079"/>
      <c r="D55" s="1079"/>
      <c r="E55" s="1049">
        <f>IF(FinII!F46="","",FinII!F46)</f>
        <v>-1824.019772615331</v>
      </c>
      <c r="K55" s="835"/>
      <c r="L55" s="1013"/>
    </row>
    <row r="56" spans="2:12" ht="12.6" customHeight="1" thickBot="1" x14ac:dyDescent="0.25">
      <c r="B56" s="1080" t="s">
        <v>622</v>
      </c>
      <c r="C56" s="1077"/>
      <c r="D56" s="1077"/>
      <c r="E56" s="49">
        <f>E57-E50</f>
        <v>4752.3543358010611</v>
      </c>
      <c r="K56" s="835"/>
      <c r="L56" s="1013"/>
    </row>
    <row r="57" spans="2:12" ht="12.6" customHeight="1" thickBot="1" x14ac:dyDescent="0.25">
      <c r="B57" s="1080" t="s">
        <v>47</v>
      </c>
      <c r="C57" s="1077"/>
      <c r="D57" s="1077"/>
      <c r="E57" s="49">
        <f>SUM(E52:E55)</f>
        <v>10800.354335801061</v>
      </c>
      <c r="K57" s="835"/>
      <c r="L57" s="1013"/>
    </row>
    <row r="58" spans="2:12" ht="12.6" customHeight="1" thickBot="1" x14ac:dyDescent="0.25">
      <c r="B58" s="1081" t="s">
        <v>343</v>
      </c>
      <c r="C58" s="1077"/>
      <c r="D58" s="1077"/>
      <c r="E58" s="49">
        <f>E57/I38</f>
        <v>2.347406078756598</v>
      </c>
      <c r="K58" s="835"/>
      <c r="L58" s="1013"/>
    </row>
    <row r="59" spans="2:12" ht="12.6" customHeight="1" x14ac:dyDescent="0.2">
      <c r="B59" s="432" t="s">
        <v>48</v>
      </c>
      <c r="C59" s="433"/>
      <c r="D59" s="433"/>
      <c r="E59" s="1071">
        <f>IF([1]PlanII!G84="","",[1]PlanII!G84)</f>
        <v>1960</v>
      </c>
      <c r="K59" s="835"/>
      <c r="L59" s="1013"/>
    </row>
    <row r="60" spans="2:12" ht="15.95" customHeight="1" thickBot="1" x14ac:dyDescent="0.25">
      <c r="B60" s="432" t="s">
        <v>49</v>
      </c>
      <c r="C60" s="433"/>
      <c r="D60" s="433"/>
      <c r="E60" s="1049">
        <f>IF([1]PlanII!G86="","",[1]PlanII!G86)</f>
        <v>30800</v>
      </c>
      <c r="K60" s="835"/>
      <c r="L60" s="1013"/>
    </row>
    <row r="61" spans="2:12" ht="11.25" customHeight="1" thickBot="1" x14ac:dyDescent="0.25">
      <c r="B61" s="1186" t="s">
        <v>50</v>
      </c>
      <c r="C61" s="1186"/>
      <c r="D61" s="1186"/>
      <c r="E61" s="44">
        <f>E57+E59+E60</f>
        <v>43560.354335801065</v>
      </c>
      <c r="K61" s="835"/>
      <c r="L61" s="1013"/>
    </row>
    <row r="62" spans="2:12" ht="11.25" customHeight="1" x14ac:dyDescent="0.2">
      <c r="K62" s="835"/>
      <c r="L62" s="1013"/>
    </row>
  </sheetData>
  <sheetProtection sheet="1" objects="1" scenarios="1"/>
  <mergeCells count="11">
    <mergeCell ref="B61:D61"/>
    <mergeCell ref="F38:F40"/>
    <mergeCell ref="H38:H40"/>
    <mergeCell ref="G38:G40"/>
    <mergeCell ref="L1:L2"/>
    <mergeCell ref="B18:B20"/>
    <mergeCell ref="F18:G19"/>
    <mergeCell ref="H18:I19"/>
    <mergeCell ref="I38:I40"/>
    <mergeCell ref="C18:C20"/>
    <mergeCell ref="D18:E19"/>
  </mergeCells>
  <phoneticPr fontId="4" type="noConversion"/>
  <conditionalFormatting sqref="G38:G40 I38:I40">
    <cfRule type="expression" dxfId="126" priority="1" stopIfTrue="1">
      <formula>F$38=""</formula>
    </cfRule>
  </conditionalFormatting>
  <conditionalFormatting sqref="C11:E11 B21:D23 F21:F23 H21:H23 C5:E7 H34 F34 B34:D34 H28:H30 F28:F30 B28:D30">
    <cfRule type="expression" dxfId="125" priority="2" stopIfTrue="1">
      <formula>$B5=""</formula>
    </cfRule>
  </conditionalFormatting>
  <conditionalFormatting sqref="G5:I6 G9:I9">
    <cfRule type="expression" dxfId="124" priority="3" stopIfTrue="1">
      <formula>$F5=""</formula>
    </cfRule>
  </conditionalFormatting>
  <conditionalFormatting sqref="E38:E39 E59:E60 E44:E47">
    <cfRule type="cellIs" dxfId="123" priority="4" stopIfTrue="1" operator="equal">
      <formula>""</formula>
    </cfRule>
  </conditionalFormatting>
  <conditionalFormatting sqref="E53:E55 I47 I44:I45">
    <cfRule type="cellIs" dxfId="122" priority="5" stopIfTrue="1" operator="equal">
      <formula>""</formula>
    </cfRule>
    <cfRule type="cellIs" dxfId="121" priority="6" stopIfTrue="1" operator="equal">
      <formula>"noch leer"</formula>
    </cfRule>
  </conditionalFormatting>
  <conditionalFormatting sqref="I21:I23 E21:E23 E34 I34 G34 E28:E30 I28:I30 G28:G30 G21:G23">
    <cfRule type="expression" dxfId="120" priority="7" stopIfTrue="1">
      <formula>$B21=""</formula>
    </cfRule>
  </conditionalFormatting>
  <conditionalFormatting sqref="I48">
    <cfRule type="cellIs" dxfId="119" priority="9"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61" max="16383" man="1"/>
    <brk id="10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N199"/>
  <sheetViews>
    <sheetView showGridLines="0" zoomScaleNormal="100" workbookViewId="0">
      <selection activeCell="J26" sqref="J26"/>
    </sheetView>
  </sheetViews>
  <sheetFormatPr baseColWidth="10" defaultColWidth="0" defaultRowHeight="0" customHeight="1" zeroHeight="1" x14ac:dyDescent="0.2"/>
  <cols>
    <col min="1" max="1" width="2.7109375" style="1004" customWidth="1"/>
    <col min="2" max="2" width="18.5703125" style="1004" customWidth="1"/>
    <col min="3" max="7" width="12.7109375" style="1004" customWidth="1"/>
    <col min="8" max="8" width="2.7109375" style="1004" customWidth="1"/>
    <col min="9" max="9" width="0.85546875" style="413" customWidth="1"/>
    <col min="10" max="10" width="20.7109375" style="413" customWidth="1"/>
    <col min="11" max="14" width="20.5703125" style="1004" hidden="1" customWidth="1"/>
    <col min="15" max="16384" width="11.42578125" style="1004" hidden="1"/>
  </cols>
  <sheetData>
    <row r="1" spans="1:10" ht="24.95" customHeight="1" x14ac:dyDescent="0.45">
      <c r="A1" s="1181"/>
      <c r="B1" s="1002" t="s">
        <v>648</v>
      </c>
      <c r="C1" s="1003"/>
      <c r="D1" s="1003"/>
      <c r="E1" s="1003"/>
      <c r="F1" s="1003"/>
      <c r="G1" s="1003"/>
      <c r="H1" s="1003"/>
      <c r="I1" s="9"/>
      <c r="J1" s="1160" t="s">
        <v>11</v>
      </c>
    </row>
    <row r="2" spans="1:10" ht="12.6" customHeight="1" x14ac:dyDescent="0.2">
      <c r="A2" s="1181"/>
      <c r="B2" s="1005" t="s">
        <v>574</v>
      </c>
      <c r="C2" s="1006"/>
      <c r="D2" s="1006"/>
      <c r="E2" s="1006"/>
      <c r="F2" s="1006"/>
      <c r="G2" s="1006"/>
      <c r="H2" s="1006"/>
      <c r="I2" s="835"/>
      <c r="J2" s="1160"/>
    </row>
    <row r="3" spans="1:10" ht="12.6" customHeight="1" x14ac:dyDescent="0.25">
      <c r="A3" s="16"/>
      <c r="B3" s="1007" t="s">
        <v>575</v>
      </c>
      <c r="C3" s="1008"/>
      <c r="D3" s="1008"/>
      <c r="E3" s="1008"/>
      <c r="F3" s="1008"/>
      <c r="G3" s="1008"/>
      <c r="H3" s="1008"/>
      <c r="I3" s="835"/>
      <c r="J3" s="1160"/>
    </row>
    <row r="4" spans="1:10" ht="20.100000000000001" customHeight="1" x14ac:dyDescent="0.25">
      <c r="B4" s="1009"/>
      <c r="I4" s="835"/>
      <c r="J4" s="1160"/>
    </row>
    <row r="5" spans="1:10" s="439" customFormat="1" ht="20.100000000000001" customHeight="1" thickBot="1" x14ac:dyDescent="0.25">
      <c r="B5" s="1010" t="s">
        <v>576</v>
      </c>
      <c r="C5" s="1011" t="s">
        <v>51</v>
      </c>
      <c r="D5" s="1011" t="s">
        <v>52</v>
      </c>
      <c r="E5" s="1012" t="s">
        <v>577</v>
      </c>
      <c r="F5" s="1011" t="s">
        <v>578</v>
      </c>
      <c r="G5" s="1011" t="s">
        <v>512</v>
      </c>
      <c r="I5" s="835"/>
      <c r="J5" s="1013"/>
    </row>
    <row r="6" spans="1:10" s="439" customFormat="1" ht="15" customHeight="1" thickBot="1" x14ac:dyDescent="0.25">
      <c r="B6" s="1014" t="str">
        <f>IF(PlanI!F5="","",PlanI!F5)</f>
        <v>Eigenkapital</v>
      </c>
      <c r="C6" s="1015">
        <f>IF(PlanI!G5="","",PlanI!G5)</f>
        <v>75000</v>
      </c>
      <c r="D6" s="1016">
        <f>IF(PlanI!H5="","",PlanI!H5)</f>
        <v>0.03</v>
      </c>
      <c r="E6" s="1123">
        <f>IF(B6="","",-PMT(D6,F6,C6)/C6)</f>
        <v>4.3262377890462882E-2</v>
      </c>
      <c r="F6" s="1017">
        <f>IF(B6="","",IF(PlanI!D5="","",PlanI!D5))</f>
        <v>40</v>
      </c>
      <c r="G6" s="1018">
        <f t="shared" ref="G6:G7" si="0">PMT(D6,F6,C6)</f>
        <v>-3244.6783417847159</v>
      </c>
      <c r="I6" s="835"/>
      <c r="J6" s="1013"/>
    </row>
    <row r="7" spans="1:10" s="439" customFormat="1" ht="15" customHeight="1" thickBot="1" x14ac:dyDescent="0.25">
      <c r="B7" s="1014" t="str">
        <f>IF(PlanI!F6="","",PlanI!F6)</f>
        <v>AIK-Kredit</v>
      </c>
      <c r="C7" s="1015">
        <f>IF(PlanI!G6="","",PlanI!G6)</f>
        <v>40000</v>
      </c>
      <c r="D7" s="1016">
        <f>IF(PlanI!H6="","",PlanI!H6)</f>
        <v>1.4999999999999999E-2</v>
      </c>
      <c r="E7" s="1123">
        <f>IF(B7="","",-PMT(D7,F7,C7)/C7)</f>
        <v>3.342710169727902E-2</v>
      </c>
      <c r="F7" s="1017">
        <f>IF(B7="","",IF(PlanI!D5="","",PlanI!D5))</f>
        <v>40</v>
      </c>
      <c r="G7" s="1018">
        <f t="shared" si="0"/>
        <v>-1337.0840678911609</v>
      </c>
      <c r="I7" s="835"/>
      <c r="J7" s="1013"/>
    </row>
    <row r="8" spans="1:10" s="439" customFormat="1" ht="15" customHeight="1" x14ac:dyDescent="0.2">
      <c r="B8" s="1014" t="str">
        <f>IF(PlanI!F7="","",PlanI!F7)</f>
        <v/>
      </c>
      <c r="C8" s="1015" t="str">
        <f>IF(PlanI!G7="","",PlanI!G7)</f>
        <v/>
      </c>
      <c r="D8" s="1016" t="str">
        <f>IF(PlanI!H7="","",PlanI!H7)</f>
        <v/>
      </c>
      <c r="E8" s="1123" t="str">
        <f>IF(B8="","",-PMT(D8,F8,C8)/C8)</f>
        <v/>
      </c>
      <c r="F8" s="1017"/>
      <c r="G8" s="1105"/>
      <c r="I8" s="835"/>
      <c r="J8" s="1013"/>
    </row>
    <row r="9" spans="1:10" s="439" customFormat="1" ht="15" customHeight="1" thickBot="1" x14ac:dyDescent="0.25">
      <c r="B9" s="1014" t="str">
        <f>IF(PlanI!F8="","",PlanI!F8)</f>
        <v/>
      </c>
      <c r="C9" s="1015" t="str">
        <f>IF(PlanI!G8="","",PlanI!G8)</f>
        <v/>
      </c>
      <c r="D9" s="1016" t="str">
        <f>IF(PlanI!H8="","",PlanI!H8)</f>
        <v/>
      </c>
      <c r="E9" s="1123" t="str">
        <f>IF(B9="","",-PMT(D9,F9,C9)/C9)</f>
        <v/>
      </c>
      <c r="F9" s="1017"/>
      <c r="G9" s="1015"/>
      <c r="I9" s="835"/>
      <c r="J9" s="1013"/>
    </row>
    <row r="10" spans="1:10" s="439" customFormat="1" ht="15" customHeight="1" thickBot="1" x14ac:dyDescent="0.25">
      <c r="B10" s="1014" t="str">
        <f>IF(PlanI!F9="","",PlanI!F9)</f>
        <v>Bankdarlehen</v>
      </c>
      <c r="C10" s="1015">
        <f>IF(PlanI!G9="","",PlanI!G9)</f>
        <v>78242</v>
      </c>
      <c r="D10" s="1016">
        <f>IF(PlanI!H9="","",PlanI!H9)</f>
        <v>4.2500000000000003E-2</v>
      </c>
      <c r="E10" s="1123">
        <f>IF(B10="","",-PMT(D10,F10,C10)/C10)</f>
        <v>5.2418388612582495E-2</v>
      </c>
      <c r="F10" s="1017">
        <f>IF(B10="","",IF(PlanI!D5="","",PlanI!D5))</f>
        <v>40</v>
      </c>
      <c r="G10" s="1018">
        <f>PMT(D10,F10,C10)</f>
        <v>-4101.3195618256796</v>
      </c>
      <c r="I10" s="835"/>
      <c r="J10" s="1013"/>
    </row>
    <row r="11" spans="1:10" s="439" customFormat="1" ht="15" customHeight="1" thickBot="1" x14ac:dyDescent="0.25">
      <c r="B11" s="1020" t="s">
        <v>579</v>
      </c>
      <c r="C11" s="1020"/>
      <c r="D11" s="1020"/>
      <c r="E11" s="1020"/>
      <c r="F11" s="1020"/>
      <c r="G11" s="1021">
        <f>SUM(G6:G10)</f>
        <v>-8683.0819715015568</v>
      </c>
      <c r="I11" s="835"/>
      <c r="J11" s="1013"/>
    </row>
    <row r="12" spans="1:10" s="439" customFormat="1" ht="9.9499999999999993" customHeight="1" x14ac:dyDescent="0.2">
      <c r="I12" s="835"/>
      <c r="J12" s="1013"/>
    </row>
    <row r="13" spans="1:10" s="439" customFormat="1" ht="20.100000000000001" customHeight="1" x14ac:dyDescent="0.2">
      <c r="B13" s="1022" t="s">
        <v>580</v>
      </c>
      <c r="C13" s="1022"/>
      <c r="D13" s="1023" t="str">
        <f>IF(C20="","","Gesamt-DB")</f>
        <v/>
      </c>
      <c r="E13" s="1023" t="str">
        <f>IF(C21="","","LW Einkommen")</f>
        <v>LW Einkommen</v>
      </c>
      <c r="F13" s="1023" t="str">
        <f>IF(C22="","","Ges.-Einkommen")</f>
        <v/>
      </c>
      <c r="I13" s="835"/>
      <c r="J13" s="1013"/>
    </row>
    <row r="14" spans="1:10" s="439" customFormat="1" ht="15" customHeight="1" x14ac:dyDescent="0.2">
      <c r="B14" s="1024" t="str">
        <f>"  "&amp;IF($C$20&lt;&gt;"",$D$13,IF($C$21&lt;&gt;"",$E$13,IF($C$22&lt;&gt;"",$F$13,"")))&amp;" bei PLAN-Variante"</f>
        <v xml:space="preserve">  LW Einkommen bei PLAN-Variante</v>
      </c>
      <c r="C14" s="1025"/>
      <c r="D14" s="1103" t="str">
        <f>IF(E14&lt;&gt;"","",IF(PlanI!E52="","noch leer",PlanI!E52))</f>
        <v/>
      </c>
      <c r="E14" s="1026">
        <f>IF(PlanI!E57="","noch leer",PlanI!E57)</f>
        <v>5004.3763769909601</v>
      </c>
      <c r="F14" s="1103" t="str">
        <f>IF(E15&lt;&gt;"","",IF(PlanI!E61="","noch leer",PlanI!E61))</f>
        <v/>
      </c>
      <c r="I14" s="835"/>
      <c r="J14" s="1013"/>
    </row>
    <row r="15" spans="1:10" s="439" customFormat="1" ht="15" customHeight="1" thickBot="1" x14ac:dyDescent="0.25">
      <c r="B15" s="1024" t="str">
        <f>"- "&amp;IF($C$20&lt;&gt;"",$D$13,IF($C$21&lt;&gt;"",$E$13,IF($C$22&lt;&gt;"",$F$13,"")))&amp;" bei IST-Organistation"</f>
        <v>- LW Einkommen bei IST-Organistation</v>
      </c>
      <c r="C15" s="1025"/>
      <c r="D15" s="1103" t="str">
        <f>IF(E15&lt;&gt;"","",IF(Ist!E37="","noch leer",Ist!E37))</f>
        <v/>
      </c>
      <c r="E15" s="1104">
        <f>IF(Ist!E39="","noch leer",Ist!E39)</f>
        <v>2862.7708084163896</v>
      </c>
      <c r="F15" s="1103" t="str">
        <f>IF(E15&lt;&gt;"","",IF(Ist!E43="","noch leer",Ist!E43))</f>
        <v/>
      </c>
      <c r="I15" s="835"/>
      <c r="J15" s="1013"/>
    </row>
    <row r="16" spans="1:10" s="439" customFormat="1" ht="15" customHeight="1" thickBot="1" x14ac:dyDescent="0.25">
      <c r="B16" s="1027" t="s">
        <v>581</v>
      </c>
      <c r="C16" s="1020"/>
      <c r="D16" s="1020"/>
      <c r="E16" s="1028">
        <f>E14-E15</f>
        <v>2141.6055685745705</v>
      </c>
      <c r="F16" s="1020"/>
      <c r="I16" s="835"/>
      <c r="J16" s="1013"/>
    </row>
    <row r="17" spans="1:10" s="439" customFormat="1" ht="9.9499999999999993" customHeight="1" x14ac:dyDescent="0.2">
      <c r="I17" s="835"/>
      <c r="J17" s="1013"/>
    </row>
    <row r="18" spans="1:10" s="439" customFormat="1" ht="15" customHeight="1" x14ac:dyDescent="0.2">
      <c r="B18" s="1022" t="s">
        <v>582</v>
      </c>
      <c r="C18" s="510"/>
      <c r="D18" s="510"/>
      <c r="E18" s="510"/>
      <c r="F18" s="510"/>
      <c r="I18" s="835"/>
      <c r="J18" s="1013"/>
    </row>
    <row r="19" spans="1:10" s="439" customFormat="1" ht="15" customHeight="1" thickBot="1" x14ac:dyDescent="0.25">
      <c r="B19" s="1022" t="s">
        <v>583</v>
      </c>
      <c r="C19" s="1022"/>
      <c r="D19" s="1022" t="s">
        <v>584</v>
      </c>
      <c r="E19" s="510"/>
      <c r="F19" s="510"/>
      <c r="I19" s="835"/>
      <c r="J19" s="1013"/>
    </row>
    <row r="20" spans="1:10" s="1029" customFormat="1" ht="11.25" hidden="1" x14ac:dyDescent="0.2">
      <c r="B20" s="1030" t="s">
        <v>585</v>
      </c>
      <c r="C20" s="1031" t="str">
        <f>IF('[1]E-Fin I'!C20="","",'[1]E-Fin I'!C20)</f>
        <v/>
      </c>
      <c r="D20" s="1032"/>
      <c r="E20" s="1032"/>
      <c r="F20" s="1032"/>
      <c r="G20" s="1033"/>
      <c r="I20" s="835"/>
      <c r="J20" s="1013"/>
    </row>
    <row r="21" spans="1:10" s="1029" customFormat="1" ht="11.25" hidden="1" x14ac:dyDescent="0.2">
      <c r="B21" s="1030" t="s">
        <v>586</v>
      </c>
      <c r="C21" s="1031" t="str">
        <f>IF('[1]E-Fin I'!C21="","",'[1]E-Fin I'!C21)</f>
        <v>ü</v>
      </c>
      <c r="D21" s="1032"/>
      <c r="E21" s="1032"/>
      <c r="F21" s="1032"/>
      <c r="G21" s="1033"/>
      <c r="I21" s="835"/>
      <c r="J21" s="1013"/>
    </row>
    <row r="22" spans="1:10" s="1029" customFormat="1" ht="12" hidden="1" thickBot="1" x14ac:dyDescent="0.25">
      <c r="B22" s="1030" t="s">
        <v>39</v>
      </c>
      <c r="C22" s="1031" t="str">
        <f>IF('[1]E-Fin I'!C22="","",'[1]E-Fin I'!C22)</f>
        <v/>
      </c>
      <c r="D22" s="1032"/>
      <c r="E22" s="1032"/>
      <c r="F22" s="1032"/>
      <c r="I22" s="12"/>
      <c r="J22" s="1013"/>
    </row>
    <row r="23" spans="1:10" s="439" customFormat="1" ht="15" customHeight="1" thickBot="1" x14ac:dyDescent="0.25">
      <c r="B23" s="1015">
        <f>IF(C20="ü",IF(D16="","",D16),IF(C21="ü",IF(E16="","",E16),IF(C22="ü",IF(F16="","",F16),"")))</f>
        <v>2141.6055685745705</v>
      </c>
      <c r="C23" s="1034" t="s">
        <v>54</v>
      </c>
      <c r="D23" s="1035">
        <f>IF(G11="","",-G11)</f>
        <v>8683.0819715015568</v>
      </c>
      <c r="E23" s="1034" t="s">
        <v>587</v>
      </c>
      <c r="F23" s="1036">
        <f>B23-D23</f>
        <v>-6541.4764029269863</v>
      </c>
      <c r="I23" s="835"/>
      <c r="J23" s="1013"/>
    </row>
    <row r="24" spans="1:10" s="439" customFormat="1" ht="15" customHeight="1" thickBot="1" x14ac:dyDescent="0.25">
      <c r="B24" s="1037" t="s">
        <v>588</v>
      </c>
      <c r="C24" s="1037"/>
      <c r="D24" s="1037"/>
      <c r="E24" s="1038" t="s">
        <v>589</v>
      </c>
      <c r="F24" s="1038" t="s">
        <v>590</v>
      </c>
      <c r="I24" s="835"/>
      <c r="J24" s="1013"/>
    </row>
    <row r="25" spans="1:10" s="439" customFormat="1" ht="15" customHeight="1" thickBot="1" x14ac:dyDescent="0.25">
      <c r="B25" s="414"/>
      <c r="C25" s="1039"/>
      <c r="D25" s="1040" t="s">
        <v>591</v>
      </c>
      <c r="E25" s="1041"/>
      <c r="F25" s="1041" t="s">
        <v>1</v>
      </c>
      <c r="I25" s="835"/>
      <c r="J25" s="1013"/>
    </row>
    <row r="26" spans="1:10" s="439" customFormat="1" ht="35.1" customHeight="1" x14ac:dyDescent="0.2">
      <c r="I26" s="835"/>
      <c r="J26" s="1013"/>
    </row>
    <row r="27" spans="1:10" s="439" customFormat="1" ht="24.95" customHeight="1" x14ac:dyDescent="0.2">
      <c r="A27" s="16"/>
      <c r="B27" s="17" t="s">
        <v>592</v>
      </c>
      <c r="C27" s="17"/>
      <c r="D27" s="17"/>
      <c r="E27" s="17"/>
      <c r="F27" s="17"/>
      <c r="G27" s="17"/>
      <c r="H27" s="17"/>
      <c r="I27" s="835"/>
      <c r="J27" s="1013"/>
    </row>
    <row r="28" spans="1:10" s="439" customFormat="1" ht="12.6" customHeight="1" x14ac:dyDescent="0.2">
      <c r="A28" s="16"/>
      <c r="B28" s="1042" t="s">
        <v>593</v>
      </c>
      <c r="C28" s="16"/>
      <c r="D28" s="16"/>
      <c r="E28" s="16"/>
      <c r="F28" s="16"/>
      <c r="G28" s="16"/>
      <c r="H28" s="16"/>
      <c r="I28" s="835"/>
      <c r="J28" s="1013"/>
    </row>
    <row r="29" spans="1:10" s="439" customFormat="1" ht="15" customHeight="1" x14ac:dyDescent="0.2">
      <c r="I29" s="13"/>
      <c r="J29" s="1013"/>
    </row>
    <row r="30" spans="1:10" s="439" customFormat="1" ht="20.100000000000001" customHeight="1" thickBot="1" x14ac:dyDescent="0.25">
      <c r="B30" s="1010" t="s">
        <v>594</v>
      </c>
      <c r="C30" s="1011" t="s">
        <v>51</v>
      </c>
      <c r="D30" s="1011" t="s">
        <v>52</v>
      </c>
      <c r="E30" s="1012" t="s">
        <v>577</v>
      </c>
      <c r="F30" s="1011" t="s">
        <v>53</v>
      </c>
      <c r="G30" s="1011" t="s">
        <v>512</v>
      </c>
      <c r="I30" s="13"/>
      <c r="J30" s="1013"/>
    </row>
    <row r="31" spans="1:10" s="439" customFormat="1" ht="15" customHeight="1" thickBot="1" x14ac:dyDescent="0.25">
      <c r="B31" s="1014" t="str">
        <f>IF(PlanI!F6="","",PlanI!F6)</f>
        <v>AIK-Kredit</v>
      </c>
      <c r="C31" s="1015">
        <f>IF(PlanI!G6="","",PlanI!G6)</f>
        <v>40000</v>
      </c>
      <c r="D31" s="1016">
        <f>IF(PlanI!H6="","",PlanI!H6)</f>
        <v>1.4999999999999999E-2</v>
      </c>
      <c r="E31" s="1123">
        <f>IF(B31="","",-PMT(D31,F31,C31)/C31)</f>
        <v>6.0878470113433433E-2</v>
      </c>
      <c r="F31" s="1017">
        <f>IF(PlanI!I6="","",PlanI!I6)</f>
        <v>19</v>
      </c>
      <c r="G31" s="1018">
        <f>PMT(D31,F31,C31)</f>
        <v>-2435.1388045373374</v>
      </c>
      <c r="I31" s="13"/>
      <c r="J31" s="1013"/>
    </row>
    <row r="32" spans="1:10" s="439" customFormat="1" ht="15" customHeight="1" x14ac:dyDescent="0.2">
      <c r="B32" s="1014" t="str">
        <f>IF(PlanI!F7="","",PlanI!F7)</f>
        <v/>
      </c>
      <c r="C32" s="1015" t="str">
        <f>IF(PlanI!G7="","",PlanI!G7)</f>
        <v/>
      </c>
      <c r="D32" s="1016" t="str">
        <f>IF(PlanI!H7="","",PlanI!H7)</f>
        <v/>
      </c>
      <c r="E32" s="1123" t="str">
        <f>IF(B32="","",-PMT(D32,F32,C32)/C32)</f>
        <v/>
      </c>
      <c r="F32" s="1017" t="str">
        <f>IF(PlanI!I7="","",PlanI!I7)</f>
        <v/>
      </c>
      <c r="G32" s="1105"/>
      <c r="I32" s="835"/>
      <c r="J32" s="1013"/>
    </row>
    <row r="33" spans="1:10" s="439" customFormat="1" ht="15" customHeight="1" thickBot="1" x14ac:dyDescent="0.25">
      <c r="B33" s="1014" t="str">
        <f>IF(PlanI!F8="","",PlanI!F8)</f>
        <v/>
      </c>
      <c r="C33" s="1015" t="str">
        <f>IF(PlanI!G8="","",PlanI!G8)</f>
        <v/>
      </c>
      <c r="D33" s="1016" t="str">
        <f>IF(PlanI!H8="","",PlanI!H8)</f>
        <v/>
      </c>
      <c r="E33" s="1123" t="str">
        <f>IF(B33="","",-PMT(D33,F33,C33)/C33)</f>
        <v/>
      </c>
      <c r="F33" s="1017" t="str">
        <f>IF(PlanI!I8="","",PlanI!I8)</f>
        <v/>
      </c>
      <c r="G33" s="1015"/>
      <c r="I33" s="835"/>
      <c r="J33" s="1013"/>
    </row>
    <row r="34" spans="1:10" s="439" customFormat="1" ht="15" customHeight="1" thickBot="1" x14ac:dyDescent="0.25">
      <c r="B34" s="1014" t="str">
        <f>IF(PlanI!F9="","",PlanI!F9)</f>
        <v>Bankdarlehen</v>
      </c>
      <c r="C34" s="1015">
        <f>IF(PlanI!G9="","",PlanI!G9)</f>
        <v>78242</v>
      </c>
      <c r="D34" s="1016">
        <f>IF(PlanI!H9="","",PlanI!H9)</f>
        <v>4.2500000000000003E-2</v>
      </c>
      <c r="E34" s="1123">
        <f>IF(B34="","",-PMT(D34,F34,C34)/C34)</f>
        <v>9.152042532292326E-2</v>
      </c>
      <c r="F34" s="1017">
        <f>IF(PlanI!I9="","",PlanI!I9)</f>
        <v>15</v>
      </c>
      <c r="G34" s="1018">
        <f>PMT(D34,F34,C34)</f>
        <v>-7160.7411181161615</v>
      </c>
      <c r="I34" s="835"/>
      <c r="J34" s="1013"/>
    </row>
    <row r="35" spans="1:10" s="439" customFormat="1" ht="15" customHeight="1" thickBot="1" x14ac:dyDescent="0.25">
      <c r="B35" s="1043" t="s">
        <v>595</v>
      </c>
      <c r="C35" s="1043"/>
      <c r="D35" s="1043"/>
      <c r="E35" s="1043"/>
      <c r="F35" s="1043"/>
      <c r="G35" s="1021">
        <f>SUM(G31:G34)</f>
        <v>-9595.8799226534993</v>
      </c>
      <c r="I35" s="835"/>
      <c r="J35" s="1013"/>
    </row>
    <row r="36" spans="1:10" s="439" customFormat="1" ht="35.1" customHeight="1" x14ac:dyDescent="0.2">
      <c r="I36" s="835"/>
      <c r="J36" s="1013"/>
    </row>
    <row r="37" spans="1:10" s="439" customFormat="1" ht="24.95" customHeight="1" x14ac:dyDescent="0.2">
      <c r="A37" s="16"/>
      <c r="B37" s="17" t="s">
        <v>596</v>
      </c>
      <c r="C37" s="17"/>
      <c r="D37" s="17"/>
      <c r="E37" s="17"/>
      <c r="F37" s="17"/>
      <c r="G37" s="17"/>
      <c r="H37" s="17"/>
      <c r="I37" s="835"/>
      <c r="J37" s="1013"/>
    </row>
    <row r="38" spans="1:10" s="439" customFormat="1" ht="15" customHeight="1" x14ac:dyDescent="0.2">
      <c r="I38" s="835"/>
      <c r="J38" s="1013"/>
    </row>
    <row r="39" spans="1:10" s="439" customFormat="1" ht="20.100000000000001" customHeight="1" thickBot="1" x14ac:dyDescent="0.25">
      <c r="B39" s="1185" t="str">
        <f>B30</f>
        <v>Fremdkapitalart</v>
      </c>
      <c r="C39" s="1185"/>
      <c r="D39" s="1185"/>
      <c r="E39" s="1044" t="s">
        <v>597</v>
      </c>
      <c r="F39" s="1045" t="s">
        <v>598</v>
      </c>
      <c r="G39" s="1045" t="s">
        <v>599</v>
      </c>
      <c r="I39" s="835"/>
      <c r="J39" s="1013"/>
    </row>
    <row r="40" spans="1:10" s="439" customFormat="1" ht="15" customHeight="1" thickBot="1" x14ac:dyDescent="0.25">
      <c r="B40" s="432" t="str">
        <f>IF(B31="","",B31)</f>
        <v>AIK-Kredit</v>
      </c>
      <c r="C40" s="432"/>
      <c r="D40" s="432"/>
      <c r="E40" s="1046">
        <f>IF(AND(B31="",B32="",B33="",B34=""),"kein Kapitaldienst",IF(B31="","",IF(G31="","noch leer",G31)))</f>
        <v>-2435.1388045373374</v>
      </c>
      <c r="F40" s="1018">
        <f>C31/F31</f>
        <v>2105.2631578947367</v>
      </c>
      <c r="G40" s="1018">
        <f>SUM(E40:F40)</f>
        <v>-329.87564664260071</v>
      </c>
      <c r="I40" s="835"/>
      <c r="J40" s="1013"/>
    </row>
    <row r="41" spans="1:10" s="439" customFormat="1" ht="15" customHeight="1" x14ac:dyDescent="0.2">
      <c r="B41" s="432" t="str">
        <f>IF(B32="","",B32)</f>
        <v/>
      </c>
      <c r="C41" s="432"/>
      <c r="D41" s="432"/>
      <c r="E41" s="1046" t="str">
        <f>IF(AND(B31="",B32="",B33="",B34=""),"kein Kapitaldienst",IF(B32="","",IF(G32="","noch leer",G32)))</f>
        <v/>
      </c>
      <c r="F41" s="1105"/>
      <c r="G41" s="1105"/>
      <c r="I41" s="835"/>
      <c r="J41" s="1013"/>
    </row>
    <row r="42" spans="1:10" s="439" customFormat="1" ht="15" customHeight="1" thickBot="1" x14ac:dyDescent="0.25">
      <c r="B42" s="432" t="str">
        <f>IF(B33="","",B33)</f>
        <v/>
      </c>
      <c r="C42" s="432"/>
      <c r="D42" s="432"/>
      <c r="E42" s="1046" t="str">
        <f>IF(AND(B31="",B32="",B33="",B34=""),"kein Kapitaldienst",IF(B33="","",IF(G33="","noch leer",G33)))</f>
        <v/>
      </c>
      <c r="F42" s="1015"/>
      <c r="G42" s="1015"/>
      <c r="I42" s="835"/>
      <c r="J42" s="1013"/>
    </row>
    <row r="43" spans="1:10" s="439" customFormat="1" ht="15" customHeight="1" thickBot="1" x14ac:dyDescent="0.25">
      <c r="B43" s="432" t="str">
        <f>IF(B34="","",B34)</f>
        <v>Bankdarlehen</v>
      </c>
      <c r="C43" s="432"/>
      <c r="D43" s="432"/>
      <c r="E43" s="1046">
        <f>IF(AND(B31="",B32="",B33="",B34=""),"kein Kapitaldienst",IF(B34="","",IF(G34="","noch leer",G34)))</f>
        <v>-7160.7411181161615</v>
      </c>
      <c r="F43" s="1018">
        <f>C34/F34</f>
        <v>5216.1333333333332</v>
      </c>
      <c r="G43" s="1018">
        <f>SUM(E43:F43)</f>
        <v>-1944.6077847828283</v>
      </c>
      <c r="I43" s="835"/>
      <c r="J43" s="1013"/>
    </row>
    <row r="44" spans="1:10" s="439" customFormat="1" ht="15" customHeight="1" thickBot="1" x14ac:dyDescent="0.25">
      <c r="B44" s="1043" t="s">
        <v>600</v>
      </c>
      <c r="C44" s="1043"/>
      <c r="D44" s="1043"/>
      <c r="E44" s="1121">
        <f>IF(AND(E40="noch leer",E41="noch leer",E42="noch leer",E43="noch leer")=0,"noch leer",SUM(E40:E43))</f>
        <v>-9595.8799226534993</v>
      </c>
      <c r="F44" s="368">
        <f>SUM(F40:F43)</f>
        <v>7321.3964912280699</v>
      </c>
      <c r="G44" s="368">
        <f>SUM(G40:G43)</f>
        <v>-2274.483431425429</v>
      </c>
      <c r="I44" s="835"/>
      <c r="J44" s="1013"/>
    </row>
    <row r="45" spans="1:10" s="439" customFormat="1" ht="15" customHeight="1" x14ac:dyDescent="0.2">
      <c r="I45" s="835"/>
      <c r="J45" s="1013"/>
    </row>
    <row r="46" spans="1:10" s="439" customFormat="1" ht="30" customHeight="1" x14ac:dyDescent="0.2">
      <c r="B46" s="1182" t="s">
        <v>601</v>
      </c>
      <c r="C46" s="1182"/>
      <c r="D46" s="1182"/>
      <c r="E46" s="1182"/>
      <c r="F46" s="1183">
        <f>IF(G44="","noch leer",G44)</f>
        <v>-2274.483431425429</v>
      </c>
      <c r="G46" s="1184"/>
      <c r="I46" s="835"/>
      <c r="J46" s="1013"/>
    </row>
    <row r="47" spans="1:10" s="439" customFormat="1" ht="15" customHeight="1" x14ac:dyDescent="0.2">
      <c r="I47" s="835"/>
      <c r="J47" s="1013"/>
    </row>
    <row r="48" spans="1:10" ht="11.25" hidden="1" x14ac:dyDescent="0.2">
      <c r="I48" s="1004"/>
      <c r="J48" s="1004"/>
    </row>
    <row r="49" spans="9:10" ht="11.25" hidden="1" x14ac:dyDescent="0.2">
      <c r="I49" s="1004"/>
      <c r="J49" s="1004"/>
    </row>
    <row r="50" spans="9:10" ht="11.25" hidden="1" x14ac:dyDescent="0.2">
      <c r="I50" s="1004"/>
      <c r="J50" s="1004"/>
    </row>
    <row r="51" spans="9:10" ht="11.25" hidden="1" x14ac:dyDescent="0.2">
      <c r="I51" s="1004"/>
      <c r="J51" s="1004"/>
    </row>
    <row r="52" spans="9:10" ht="11.25" hidden="1" x14ac:dyDescent="0.2">
      <c r="I52" s="1004"/>
      <c r="J52" s="1004"/>
    </row>
    <row r="53" spans="9:10" ht="11.25" hidden="1" x14ac:dyDescent="0.2">
      <c r="I53" s="1004"/>
      <c r="J53" s="1004"/>
    </row>
    <row r="54" spans="9:10" ht="11.25" hidden="1" x14ac:dyDescent="0.2">
      <c r="I54" s="1004"/>
      <c r="J54" s="1004"/>
    </row>
    <row r="55" spans="9:10" ht="11.25" hidden="1" x14ac:dyDescent="0.2">
      <c r="I55" s="1004"/>
      <c r="J55" s="1004"/>
    </row>
    <row r="56" spans="9:10" ht="11.25" hidden="1" x14ac:dyDescent="0.2">
      <c r="I56" s="1004"/>
      <c r="J56" s="1004"/>
    </row>
    <row r="57" spans="9:10" ht="0" hidden="1" customHeight="1" x14ac:dyDescent="0.2">
      <c r="I57" s="835"/>
      <c r="J57" s="439"/>
    </row>
    <row r="58" spans="9:10" ht="0" hidden="1" customHeight="1" x14ac:dyDescent="0.2">
      <c r="I58" s="835"/>
      <c r="J58" s="439"/>
    </row>
    <row r="59" spans="9:10" ht="0" hidden="1" customHeight="1" x14ac:dyDescent="0.2">
      <c r="I59" s="835"/>
      <c r="J59" s="439"/>
    </row>
    <row r="60" spans="9:10" ht="0" hidden="1" customHeight="1" x14ac:dyDescent="0.2">
      <c r="I60" s="835"/>
      <c r="J60" s="439"/>
    </row>
    <row r="61" spans="9:10" ht="0" hidden="1" customHeight="1" x14ac:dyDescent="0.2">
      <c r="I61" s="835"/>
      <c r="J61" s="439"/>
    </row>
    <row r="62" spans="9:10" ht="0" hidden="1" customHeight="1" x14ac:dyDescent="0.2">
      <c r="I62" s="835"/>
      <c r="J62" s="439"/>
    </row>
    <row r="63" spans="9:10" ht="0" hidden="1" customHeight="1" x14ac:dyDescent="0.2"/>
    <row r="64" spans="9:10"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sheetProtection sheet="1" objects="1" scenarios="1"/>
  <mergeCells count="5">
    <mergeCell ref="A1:A2"/>
    <mergeCell ref="J1:J4"/>
    <mergeCell ref="B46:E46"/>
    <mergeCell ref="F46:G46"/>
    <mergeCell ref="B39:D39"/>
  </mergeCells>
  <phoneticPr fontId="4" type="noConversion"/>
  <conditionalFormatting sqref="C6:F7 C31:F31">
    <cfRule type="expression" dxfId="118" priority="5" stopIfTrue="1">
      <formula>$B6=""</formula>
    </cfRule>
  </conditionalFormatting>
  <conditionalFormatting sqref="F46:G46 D23 B23">
    <cfRule type="cellIs" dxfId="117" priority="6" stopIfTrue="1" operator="equal">
      <formula>"noch leer"</formula>
    </cfRule>
  </conditionalFormatting>
  <conditionalFormatting sqref="G6:G7 G31 F40:G40">
    <cfRule type="expression" dxfId="116" priority="7" stopIfTrue="1">
      <formula>$B6=""</formula>
    </cfRule>
  </conditionalFormatting>
  <conditionalFormatting sqref="E40">
    <cfRule type="expression" dxfId="115" priority="8" stopIfTrue="1">
      <formula>$B40=""</formula>
    </cfRule>
    <cfRule type="cellIs" dxfId="114" priority="9" stopIfTrue="1" operator="equal">
      <formula>"noch leer"</formula>
    </cfRule>
  </conditionalFormatting>
  <conditionalFormatting sqref="D13">
    <cfRule type="expression" dxfId="113" priority="10" stopIfTrue="1">
      <formula>$C$20=""</formula>
    </cfRule>
  </conditionalFormatting>
  <conditionalFormatting sqref="E13">
    <cfRule type="expression" dxfId="112" priority="11" stopIfTrue="1">
      <formula>$C$21=""</formula>
    </cfRule>
  </conditionalFormatting>
  <conditionalFormatting sqref="F13">
    <cfRule type="expression" dxfId="111" priority="12" stopIfTrue="1">
      <formula>$C$22=""</formula>
    </cfRule>
  </conditionalFormatting>
  <conditionalFormatting sqref="E16">
    <cfRule type="expression" dxfId="110" priority="17" stopIfTrue="1">
      <formula>$C$21=""</formula>
    </cfRule>
    <cfRule type="cellIs" dxfId="109" priority="18" stopIfTrue="1" operator="equal">
      <formula>"noch leer"</formula>
    </cfRule>
  </conditionalFormatting>
  <conditionalFormatting sqref="E14:E15">
    <cfRule type="expression" dxfId="108" priority="21" stopIfTrue="1">
      <formula>$C$21=""</formula>
    </cfRule>
    <cfRule type="cellIs" dxfId="107" priority="22" stopIfTrue="1" operator="equal">
      <formula>"noch leer"</formula>
    </cfRule>
  </conditionalFormatting>
  <conditionalFormatting sqref="G10">
    <cfRule type="expression" dxfId="106" priority="4" stopIfTrue="1">
      <formula>$B10=""</formula>
    </cfRule>
  </conditionalFormatting>
  <conditionalFormatting sqref="G34">
    <cfRule type="expression" dxfId="105" priority="3" stopIfTrue="1">
      <formula>$B34=""</formula>
    </cfRule>
  </conditionalFormatting>
  <conditionalFormatting sqref="F43:G43">
    <cfRule type="expression" dxfId="104" priority="2" stopIfTrue="1">
      <formula>$B43=""</formula>
    </cfRule>
  </conditionalFormatting>
  <conditionalFormatting sqref="E43">
    <cfRule type="cellIs" dxfId="103" priority="1"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L62"/>
  <sheetViews>
    <sheetView showGridLines="0" zoomScaleNormal="100" workbookViewId="0">
      <selection activeCell="J26" sqref="J26"/>
    </sheetView>
  </sheetViews>
  <sheetFormatPr baseColWidth="10" defaultColWidth="0" defaultRowHeight="11.25" customHeight="1" zeroHeight="1" x14ac:dyDescent="0.2"/>
  <cols>
    <col min="1" max="1" width="2.7109375" style="413" customWidth="1"/>
    <col min="2" max="2" width="18.7109375" style="413" customWidth="1"/>
    <col min="3" max="3" width="7.7109375" style="413" customWidth="1"/>
    <col min="4" max="5" width="8.7109375" style="413" customWidth="1"/>
    <col min="6" max="6" width="12.7109375" style="413" customWidth="1"/>
    <col min="7" max="9" width="9.7109375" style="413" customWidth="1"/>
    <col min="10" max="10" width="2.7109375" style="413" customWidth="1"/>
    <col min="11" max="11" width="0.85546875" style="413" customWidth="1"/>
    <col min="12" max="12" width="20.7109375" style="413" customWidth="1"/>
    <col min="13" max="16384" width="11.42578125" style="1" hidden="1"/>
  </cols>
  <sheetData>
    <row r="1" spans="1:12" ht="24.95" customHeight="1" x14ac:dyDescent="0.2">
      <c r="A1" s="16"/>
      <c r="B1" s="17" t="s">
        <v>602</v>
      </c>
      <c r="C1" s="17"/>
      <c r="D1" s="17"/>
      <c r="E1" s="17"/>
      <c r="F1" s="17"/>
      <c r="G1" s="17"/>
      <c r="H1" s="17"/>
      <c r="I1" s="17"/>
      <c r="J1" s="17"/>
      <c r="K1" s="9"/>
      <c r="L1" s="1160" t="s">
        <v>11</v>
      </c>
    </row>
    <row r="2" spans="1:12" ht="20.100000000000001" customHeight="1" x14ac:dyDescent="0.2">
      <c r="K2" s="835"/>
      <c r="L2" s="1161"/>
    </row>
    <row r="3" spans="1:12" ht="12.6" customHeight="1" x14ac:dyDescent="0.2">
      <c r="B3" s="1010" t="s">
        <v>603</v>
      </c>
      <c r="C3" s="1010"/>
      <c r="D3" s="1010"/>
      <c r="E3" s="1010"/>
      <c r="F3" s="1010"/>
      <c r="G3" s="1010"/>
      <c r="H3" s="1010"/>
      <c r="I3" s="1010"/>
      <c r="K3" s="835"/>
      <c r="L3" s="1013"/>
    </row>
    <row r="4" spans="1:12" ht="12.6" customHeight="1" thickBot="1" x14ac:dyDescent="0.25">
      <c r="B4" s="1010" t="s">
        <v>604</v>
      </c>
      <c r="C4" s="1047" t="s">
        <v>51</v>
      </c>
      <c r="D4" s="1047" t="s">
        <v>605</v>
      </c>
      <c r="E4" s="1047" t="s">
        <v>606</v>
      </c>
      <c r="F4" s="1047" t="s">
        <v>576</v>
      </c>
      <c r="G4" s="1047" t="s">
        <v>51</v>
      </c>
      <c r="H4" s="1047" t="s">
        <v>52</v>
      </c>
      <c r="I4" s="1047" t="s">
        <v>53</v>
      </c>
      <c r="K4" s="835"/>
      <c r="L4" s="1013"/>
    </row>
    <row r="5" spans="1:12" ht="12.6" customHeight="1" thickBot="1" x14ac:dyDescent="0.25">
      <c r="B5" s="1014" t="str">
        <f>IF([1]PlanI!D15="","",[1]PlanI!D15)</f>
        <v>Neubau Wirtschaftsgebäude</v>
      </c>
      <c r="C5" s="1015">
        <f>IF([1]PlanI!G15="","",[1]PlanI!G15)</f>
        <v>210000</v>
      </c>
      <c r="D5" s="1017">
        <f>IF([1]PlanI!I15="","",[1]PlanI!I15)</f>
        <v>40</v>
      </c>
      <c r="E5" s="1018">
        <f t="shared" ref="E5:E7" si="0">C5/D5</f>
        <v>5250</v>
      </c>
      <c r="F5" s="1014" t="str">
        <f>IF([1]PlanI!M15="","",[1]PlanI!M15)</f>
        <v>Eigenkapital</v>
      </c>
      <c r="G5" s="1015">
        <f>IF([1]PlanI!P15="","",[1]PlanI!P15)</f>
        <v>75000</v>
      </c>
      <c r="H5" s="1016">
        <f>IF([1]PlanI!R15="","",[1]PlanI!R15)</f>
        <v>0.03</v>
      </c>
      <c r="I5" s="1048">
        <f>IF([1]PlanI!T15="","",[1]PlanI!T15)</f>
        <v>40</v>
      </c>
      <c r="K5" s="835"/>
      <c r="L5" s="1013"/>
    </row>
    <row r="6" spans="1:12" ht="12.6" customHeight="1" thickBot="1" x14ac:dyDescent="0.25">
      <c r="B6" s="1014" t="str">
        <f>IF([1]PlanI!D17="","",[1]PlanI!D17)</f>
        <v>Ausstattung</v>
      </c>
      <c r="C6" s="1015">
        <f>IF([1]PlanI!G17="","",[1]PlanI!G17)</f>
        <v>35000</v>
      </c>
      <c r="D6" s="1017">
        <f>IF([1]PlanI!I17="","",[1]PlanI!I17)</f>
        <v>40</v>
      </c>
      <c r="E6" s="1018">
        <f t="shared" si="0"/>
        <v>875</v>
      </c>
      <c r="F6" s="1014" t="str">
        <f>IF([1]PlanI!M17="","",[1]PlanI!M17)</f>
        <v>AIK-Kredit</v>
      </c>
      <c r="G6" s="1015">
        <f>IF([1]PlanI!P17="","",[1]PlanI!P17)</f>
        <v>40000</v>
      </c>
      <c r="H6" s="1016">
        <f>IF([1]PlanI!R17="","",[1]PlanI!R17)</f>
        <v>1.4999999999999999E-2</v>
      </c>
      <c r="I6" s="1048">
        <f>IF([1]PlanI!T17="","",[1]PlanI!T17)</f>
        <v>19</v>
      </c>
      <c r="K6" s="835"/>
      <c r="L6" s="1013"/>
    </row>
    <row r="7" spans="1:12" ht="12.6" customHeight="1" thickBot="1" x14ac:dyDescent="0.25">
      <c r="B7" s="1014" t="str">
        <f>IF([1]PlanI!D19="","",[1]PlanI!D19)</f>
        <v>Tierzukauf</v>
      </c>
      <c r="C7" s="1015">
        <f>IF([1]PlanI!G19="","",[1]PlanI!G19)</f>
        <v>19992</v>
      </c>
      <c r="D7" s="1017">
        <f>IF([1]PlanI!I19="","",[1]PlanI!I19)</f>
        <v>6</v>
      </c>
      <c r="E7" s="1018">
        <f t="shared" si="0"/>
        <v>3332</v>
      </c>
      <c r="F7" s="1014" t="str">
        <f>IF([1]PlanI!M19="","",[1]PlanI!M19)</f>
        <v/>
      </c>
      <c r="G7" s="1015" t="str">
        <f>IF([1]PlanI!P19="","",[1]PlanI!P19)</f>
        <v/>
      </c>
      <c r="H7" s="1016" t="str">
        <f>IF([1]PlanI!R19="","",[1]PlanI!R19)</f>
        <v/>
      </c>
      <c r="I7" s="1048" t="str">
        <f>IF([1]PlanI!T19="","",[1]PlanI!T19)</f>
        <v/>
      </c>
      <c r="K7" s="835"/>
      <c r="L7" s="1013"/>
    </row>
    <row r="8" spans="1:12" ht="12.6" customHeight="1" x14ac:dyDescent="0.2">
      <c r="B8" s="1014" t="str">
        <f>IF([1]PlanI!D21="","",[1]PlanI!D21)</f>
        <v/>
      </c>
      <c r="C8" s="1015" t="str">
        <f>IF([1]PlanI!G21="","",[1]PlanI!G21)</f>
        <v/>
      </c>
      <c r="D8" s="1017" t="str">
        <f>IF([1]PlanI!I21="","",[1]PlanI!I21)</f>
        <v/>
      </c>
      <c r="E8" s="1105"/>
      <c r="F8" s="1014" t="str">
        <f>IF([1]PlanI!M21="","",[1]PlanI!M21)</f>
        <v/>
      </c>
      <c r="G8" s="1015" t="str">
        <f>IF([1]PlanI!P21="","",[1]PlanI!P21)</f>
        <v/>
      </c>
      <c r="H8" s="1016" t="str">
        <f>IF([1]PlanI!R21="","",[1]PlanI!R21)</f>
        <v/>
      </c>
      <c r="I8" s="1048" t="str">
        <f>IF([1]PlanI!T21="","",[1]PlanI!T21)</f>
        <v/>
      </c>
      <c r="K8" s="835"/>
      <c r="L8" s="1013"/>
    </row>
    <row r="9" spans="1:12" ht="12.6" customHeight="1" x14ac:dyDescent="0.2">
      <c r="B9" s="1014" t="str">
        <f>IF([1]PlanI!D23="","",[1]PlanI!D23)</f>
        <v/>
      </c>
      <c r="C9" s="1015" t="str">
        <f>IF([1]PlanI!G23="","",[1]PlanI!G23)</f>
        <v/>
      </c>
      <c r="D9" s="1017" t="str">
        <f>IF([1]PlanI!I23="","",[1]PlanI!I23)</f>
        <v/>
      </c>
      <c r="E9" s="1015"/>
      <c r="F9" s="1014" t="str">
        <f>IF(SUM(C5:C11)=SUM(G5:G8),"",IF(AND(F7="",F8=""),"Bankdarlehen",IF(OR(F7="",F8=""),"Bankdarlehen 2","Bankdarlehen 3")))</f>
        <v>Bankdarlehen</v>
      </c>
      <c r="G9" s="1015">
        <f>IF(SUM(C5:C11)-SUM(G5:G8)=0,"",SUM(C5:C11)-SUM(G5:G8))</f>
        <v>78242</v>
      </c>
      <c r="H9" s="1016">
        <f>IF([1]PlanI!S23="","",[1]PlanI!S23)</f>
        <v>4.2500000000000003E-2</v>
      </c>
      <c r="I9" s="1048">
        <f>IF([1]PlanI!U23="","",[1]PlanI!U23)</f>
        <v>15</v>
      </c>
      <c r="K9" s="835"/>
      <c r="L9" s="1013"/>
    </row>
    <row r="10" spans="1:12" ht="6" customHeight="1" x14ac:dyDescent="0.2">
      <c r="B10" s="432"/>
      <c r="C10" s="432"/>
      <c r="D10" s="432"/>
      <c r="E10" s="432"/>
      <c r="F10" s="432"/>
      <c r="G10" s="432"/>
      <c r="H10" s="432"/>
      <c r="I10" s="432"/>
      <c r="K10" s="835"/>
      <c r="L10" s="1013"/>
    </row>
    <row r="11" spans="1:12" ht="12.6" customHeight="1" thickBot="1" x14ac:dyDescent="0.25">
      <c r="B11" s="1014" t="str">
        <f>IF([1]PlanI!B25="","",MID([1]PlanI!B25,1,20))</f>
        <v>Investitionszuschuss</v>
      </c>
      <c r="C11" s="1049">
        <f>IF([1]PlanI!I25="","",-[1]PlanI!I25)</f>
        <v>-71750</v>
      </c>
      <c r="D11" s="439"/>
      <c r="E11" s="1050"/>
      <c r="F11" s="407"/>
      <c r="G11" s="1051"/>
      <c r="K11" s="835"/>
      <c r="L11" s="1013"/>
    </row>
    <row r="12" spans="1:12" ht="12.6" customHeight="1" thickBot="1" x14ac:dyDescent="0.25">
      <c r="B12" s="1052" t="s">
        <v>607</v>
      </c>
      <c r="C12" s="1053">
        <f>SUM(C5:C11)</f>
        <v>193242</v>
      </c>
      <c r="D12" s="1054" t="s">
        <v>649</v>
      </c>
      <c r="E12" s="1028">
        <f>SUM(E5:E11)</f>
        <v>9457</v>
      </c>
      <c r="F12" s="1052" t="s">
        <v>608</v>
      </c>
      <c r="G12" s="1028">
        <f>SUM(G5:G11)</f>
        <v>193242</v>
      </c>
      <c r="K12" s="835"/>
      <c r="L12" s="1013"/>
    </row>
    <row r="13" spans="1:12" ht="17.100000000000001" customHeight="1" x14ac:dyDescent="0.2">
      <c r="K13" s="835"/>
      <c r="L13" s="1013"/>
    </row>
    <row r="14" spans="1:12" ht="20.100000000000001" hidden="1" customHeight="1" x14ac:dyDescent="0.2">
      <c r="B14" s="1022" t="str">
        <f>[1]PlanI!B27</f>
        <v>Rationalisierungsgewinne</v>
      </c>
      <c r="C14" s="1022"/>
      <c r="D14" s="1022"/>
      <c r="E14" s="1022"/>
      <c r="F14" s="1022"/>
      <c r="G14" s="1022"/>
      <c r="K14" s="835"/>
      <c r="L14" s="1013"/>
    </row>
    <row r="15" spans="1:12" ht="12.6" hidden="1" customHeight="1" x14ac:dyDescent="0.2">
      <c r="B15" s="432" t="s">
        <v>609</v>
      </c>
      <c r="C15" s="432"/>
      <c r="D15" s="1055">
        <f>IF([1]PlanI!G28="","",[1]PlanI!G28)</f>
        <v>0.7</v>
      </c>
      <c r="E15" s="432" t="s">
        <v>610</v>
      </c>
      <c r="F15" s="432"/>
      <c r="G15" s="1055">
        <f>IF([1]PlanI!P28="","",[1]PlanI!P28)</f>
        <v>-0.05</v>
      </c>
      <c r="K15" s="835"/>
      <c r="L15" s="1013"/>
    </row>
    <row r="16" spans="1:12" ht="12.6" hidden="1" customHeight="1" x14ac:dyDescent="0.2">
      <c r="B16" s="432" t="s">
        <v>611</v>
      </c>
      <c r="C16" s="432"/>
      <c r="D16" s="1055">
        <f>IF([1]PlanI!G30="","",[1]PlanI!G30)</f>
        <v>-0.3</v>
      </c>
      <c r="E16" s="432" t="s">
        <v>612</v>
      </c>
      <c r="F16" s="432"/>
      <c r="G16" s="1055">
        <f>IF([1]PlanI!P30="","",[1]PlanI!P30)</f>
        <v>0.5</v>
      </c>
      <c r="K16" s="835"/>
      <c r="L16" s="1013"/>
    </row>
    <row r="17" spans="2:12" ht="6" hidden="1" customHeight="1" x14ac:dyDescent="0.2">
      <c r="K17" s="835"/>
      <c r="L17" s="1013"/>
    </row>
    <row r="18" spans="2:12" ht="12.6" customHeight="1" x14ac:dyDescent="0.2">
      <c r="B18" s="1191" t="s">
        <v>613</v>
      </c>
      <c r="C18" s="1193" t="s">
        <v>18</v>
      </c>
      <c r="D18" s="1192" t="s">
        <v>19</v>
      </c>
      <c r="E18" s="1192"/>
      <c r="F18" s="1192" t="s">
        <v>20</v>
      </c>
      <c r="G18" s="1192"/>
      <c r="H18" s="1193" t="s">
        <v>614</v>
      </c>
      <c r="I18" s="1194"/>
      <c r="K18" s="835"/>
      <c r="L18" s="1013"/>
    </row>
    <row r="19" spans="2:12" ht="12.6" customHeight="1" x14ac:dyDescent="0.2">
      <c r="B19" s="1191" t="s">
        <v>22</v>
      </c>
      <c r="C19" s="1193" t="s">
        <v>23</v>
      </c>
      <c r="D19" s="1192" t="s">
        <v>24</v>
      </c>
      <c r="E19" s="1192"/>
      <c r="F19" s="1192" t="s">
        <v>25</v>
      </c>
      <c r="G19" s="1192"/>
      <c r="H19" s="1194" t="s">
        <v>26</v>
      </c>
      <c r="I19" s="1194"/>
      <c r="K19" s="835"/>
      <c r="L19" s="1013"/>
    </row>
    <row r="20" spans="2:12" ht="12.6" customHeight="1" thickBot="1" x14ac:dyDescent="0.25">
      <c r="B20" s="1191"/>
      <c r="C20" s="1193"/>
      <c r="D20" s="1056" t="s">
        <v>27</v>
      </c>
      <c r="E20" s="1056" t="s">
        <v>28</v>
      </c>
      <c r="F20" s="1056" t="s">
        <v>27</v>
      </c>
      <c r="G20" s="1056" t="s">
        <v>28</v>
      </c>
      <c r="H20" s="1056" t="s">
        <v>29</v>
      </c>
      <c r="I20" s="1056" t="s">
        <v>28</v>
      </c>
      <c r="K20" s="835"/>
      <c r="L20" s="1013"/>
    </row>
    <row r="21" spans="2:12" ht="12.6" customHeight="1" thickBot="1" x14ac:dyDescent="0.25">
      <c r="B21" s="432" t="str">
        <f>IF([1]PlanI!D33="","",[1]PlanI!B33&amp;" "&amp;[1]PlanI!D33)</f>
        <v>DB Mutterkuh</v>
      </c>
      <c r="C21" s="1057">
        <f>IF([1]PlanI!G33="","",[1]PlanI!G33)</f>
        <v>20</v>
      </c>
      <c r="D21" s="1046">
        <f>IF([1]PlanI!K33="","",[1]PlanI!K33*(1+$D$15))</f>
        <v>1008.27</v>
      </c>
      <c r="E21" s="1018">
        <f t="shared" ref="E21:E22" si="1">$C21*D21</f>
        <v>20165.400000000001</v>
      </c>
      <c r="F21" s="1058">
        <f>IF([1]PlanI!M33="","",[1]PlanI!M33)</f>
        <v>23690</v>
      </c>
      <c r="G21" s="1059">
        <f>-$C21*F21</f>
        <v>-473800</v>
      </c>
      <c r="H21" s="1060">
        <f>IF([1]PlanI!P33="","",[1]PlanI!P33*(1+$G$15))</f>
        <v>42.37</v>
      </c>
      <c r="I21" s="1061">
        <f t="shared" ref="I21:I22" si="2">$C21*H21</f>
        <v>847.4</v>
      </c>
      <c r="K21" s="835"/>
      <c r="L21" s="1013"/>
    </row>
    <row r="22" spans="2:12" ht="12.6" customHeight="1" thickBot="1" x14ac:dyDescent="0.25">
      <c r="B22" s="432" t="str">
        <f>IF([1]PlanI!D35="","",[1]PlanI!B35&amp;" "&amp;[1]PlanI!D35)</f>
        <v>DB Kartoffel</v>
      </c>
      <c r="C22" s="1062">
        <f>IF([1]PlanI!G35="","",[1]PlanI!G35)</f>
        <v>3</v>
      </c>
      <c r="D22" s="1063">
        <f>IF([1]PlanI!K35="","",[1]PlanI!K35*(1+$D$15))</f>
        <v>1422.8999999999999</v>
      </c>
      <c r="E22" s="1018">
        <f t="shared" si="1"/>
        <v>4268.7</v>
      </c>
      <c r="F22" s="1058">
        <f>IF([1]PlanI!M35="","",[1]PlanI!M35)</f>
        <v>0</v>
      </c>
      <c r="G22" s="1059">
        <f>-$C22*F22</f>
        <v>0</v>
      </c>
      <c r="H22" s="1060">
        <f>IF([1]PlanI!P35="","",[1]PlanI!P35*(1+$G$15))</f>
        <v>75.144999999999996</v>
      </c>
      <c r="I22" s="1061">
        <f t="shared" si="2"/>
        <v>225.435</v>
      </c>
      <c r="K22" s="12"/>
      <c r="L22" s="1013"/>
    </row>
    <row r="23" spans="2:12" ht="12.6" customHeight="1" x14ac:dyDescent="0.2">
      <c r="B23" s="432" t="str">
        <f>IF([1]PlanI!D37="","",[1]PlanI!B37&amp;" "&amp;[1]PlanI!D37)</f>
        <v/>
      </c>
      <c r="C23" s="1062" t="str">
        <f>IF([1]PlanI!G37="","",[1]PlanI!G37)</f>
        <v/>
      </c>
      <c r="D23" s="1046" t="str">
        <f>IF([1]PlanI!K37="","",[1]PlanI!K37*(1+$D$15))</f>
        <v/>
      </c>
      <c r="E23" s="1015" t="str">
        <f>IF(OR(D23="",$C23=""),"",D23*$C23)</f>
        <v/>
      </c>
      <c r="F23" s="1058" t="str">
        <f>IF([1]PlanI!M37="","",[1]PlanI!M37)</f>
        <v/>
      </c>
      <c r="G23" s="1064" t="str">
        <f>IF(OR(F23="",$C23=""),"",-F23*$C23)</f>
        <v/>
      </c>
      <c r="H23" s="1065" t="str">
        <f>IF([1]PlanI!P37="","",[1]PlanI!P37*(1+$G$15))</f>
        <v/>
      </c>
      <c r="I23" s="1066" t="str">
        <f>IF(OR(H23="",$C23=""),"",H23*$C23)</f>
        <v/>
      </c>
      <c r="K23" s="835"/>
      <c r="L23" s="1013"/>
    </row>
    <row r="24" spans="2:12" ht="12.6" customHeight="1" x14ac:dyDescent="0.2">
      <c r="B24" s="432" t="str">
        <f>IF([1]PlanI!D39="","",[1]PlanI!B39&amp;" "&amp;[1]PlanI!D39)</f>
        <v/>
      </c>
      <c r="C24" s="1062" t="str">
        <f>IF([1]PlanI!G39="","",[1]PlanI!G39)</f>
        <v/>
      </c>
      <c r="D24" s="1067" t="str">
        <f>IF([1]PlanI!K39="","",[1]PlanI!K39*(1+$D$15))</f>
        <v/>
      </c>
      <c r="E24" s="1015" t="str">
        <f>IF(OR(D24="",$C24=""),"",D24*$C24)</f>
        <v/>
      </c>
      <c r="F24" s="1058" t="str">
        <f>IF([1]PlanI!M39="","",[1]PlanI!M39)</f>
        <v/>
      </c>
      <c r="G24" s="1064" t="str">
        <f>IF(OR(F24="",$C24=""),"",-F24*$C24)</f>
        <v/>
      </c>
      <c r="H24" s="1065" t="str">
        <f>IF([1]PlanI!P39="","",[1]PlanI!P39*(1+$G$15))</f>
        <v/>
      </c>
      <c r="I24" s="1066" t="str">
        <f>IF(OR(H24="",$C24=""),"",H24*$C24)</f>
        <v/>
      </c>
      <c r="K24" s="835"/>
      <c r="L24" s="1013"/>
    </row>
    <row r="25" spans="2:12" ht="12.6" customHeight="1" x14ac:dyDescent="0.2">
      <c r="B25" s="432" t="str">
        <f>IF([1]PlanI!D41="","",[1]PlanI!B41&amp;" "&amp;[1]PlanI!D41)</f>
        <v/>
      </c>
      <c r="C25" s="1068" t="str">
        <f>IF([1]PlanI!G41="","",[1]PlanI!G41)</f>
        <v/>
      </c>
      <c r="D25" s="1046" t="str">
        <f>IF([1]PlanI!K41="","",[1]PlanI!K41*(1+$D$15))</f>
        <v/>
      </c>
      <c r="E25" s="1015" t="str">
        <f>IF(OR(D25="",$C25=""),"",D25*$C25)</f>
        <v/>
      </c>
      <c r="F25" s="1058" t="str">
        <f>IF([1]PlanI!M41="","",[1]PlanI!M41)</f>
        <v/>
      </c>
      <c r="G25" s="1064" t="str">
        <f>IF(OR(F25="",$C25=""),"",-F25*$C25)</f>
        <v/>
      </c>
      <c r="H25" s="1065" t="str">
        <f>IF([1]PlanI!P41="","",[1]PlanI!P41*(1+$G$15))</f>
        <v/>
      </c>
      <c r="I25" s="1066" t="str">
        <f>IF(OR(H25="",$C25=""),"",H25*$C25)</f>
        <v/>
      </c>
      <c r="K25" s="835"/>
      <c r="L25" s="1013"/>
    </row>
    <row r="26" spans="2:12" ht="12.6" customHeight="1" x14ac:dyDescent="0.2">
      <c r="B26" s="432" t="str">
        <f>IF([1]PlanI!D43="","",[1]PlanI!B43&amp;" "&amp;[1]PlanI!D43)</f>
        <v/>
      </c>
      <c r="C26" s="1068" t="str">
        <f>IF([1]PlanI!G43="","",[1]PlanI!G43)</f>
        <v/>
      </c>
      <c r="D26" s="1046" t="str">
        <f>IF([1]PlanI!K43="","",[1]PlanI!K43*(1+$D$15))</f>
        <v/>
      </c>
      <c r="E26" s="1015" t="str">
        <f>IF(OR(D26="",$C26=""),"",D26*$C26)</f>
        <v/>
      </c>
      <c r="F26" s="1058" t="str">
        <f>IF([1]PlanI!M43="","",[1]PlanI!M43)</f>
        <v/>
      </c>
      <c r="G26" s="1064"/>
      <c r="H26" s="1065" t="str">
        <f>IF([1]PlanI!P43="","",[1]PlanI!P43*(1+$G$15))</f>
        <v/>
      </c>
      <c r="I26" s="1066" t="str">
        <f>IF(OR(H26="",$C26=""),"",H26*$C26)</f>
        <v/>
      </c>
      <c r="K26" s="835"/>
      <c r="L26" s="1013"/>
    </row>
    <row r="27" spans="2:12" ht="12.6" customHeight="1" x14ac:dyDescent="0.2">
      <c r="B27" s="432" t="str">
        <f>IF([1]PlanI!D45="","",[1]PlanI!B45&amp;" "&amp;[1]PlanI!D45)</f>
        <v/>
      </c>
      <c r="C27" s="1068" t="str">
        <f>IF([1]PlanI!G45="","",[1]PlanI!G45)</f>
        <v/>
      </c>
      <c r="D27" s="1046" t="str">
        <f>IF([1]PlanI!K45="","",[1]PlanI!K45*(1+$D$15))</f>
        <v/>
      </c>
      <c r="E27" s="1015"/>
      <c r="F27" s="1058" t="str">
        <f>IF([1]PlanI!M45="","",[1]PlanI!M45)</f>
        <v/>
      </c>
      <c r="G27" s="1064"/>
      <c r="H27" s="1065" t="str">
        <f>IF([1]PlanI!P45="","",[1]PlanI!P45*(1+$G$15))</f>
        <v/>
      </c>
      <c r="I27" s="1066"/>
      <c r="K27" s="835"/>
      <c r="L27" s="1013"/>
    </row>
    <row r="28" spans="2:12" ht="12.6" customHeight="1" thickBot="1" x14ac:dyDescent="0.25">
      <c r="B28" s="432" t="str">
        <f>IF([1]PlanI!D48="","",[1]PlanI!B48&amp;" "&amp;[1]PlanI!D48)</f>
        <v>VK Feldfutter - Heu</v>
      </c>
      <c r="C28" s="1068">
        <f>IF([1]PlanI!G48="","",[1]PlanI!G48)</f>
        <v>1.6</v>
      </c>
      <c r="D28" s="1046">
        <f>IF([1]PlanI!K48="","",[1]PlanI!K48*(1+$D$16))</f>
        <v>581.91</v>
      </c>
      <c r="E28" s="1049">
        <f t="shared" ref="E28:E34" si="3">IF(OR(D28="",$C28=""),"",-D28*$C28)</f>
        <v>-931.05600000000004</v>
      </c>
      <c r="F28" s="1058">
        <f>IF([1]PlanI!M48="","",[1]PlanI!M48*(1+$G$16))</f>
        <v>87363</v>
      </c>
      <c r="G28" s="1069">
        <f t="shared" ref="G28:G34" si="4">IF(OR(F28="",$C28=""),"",F28*$C28)</f>
        <v>139780.80000000002</v>
      </c>
      <c r="H28" s="1065">
        <f>IF([1]PlanI!P48="","",[1]PlanI!P48*(1+$G$15))</f>
        <v>41.704999999999998</v>
      </c>
      <c r="I28" s="1070">
        <f t="shared" ref="I28:I34" si="5">IF(OR(H28="",$C28=""),"",H28*$C28)</f>
        <v>66.727999999999994</v>
      </c>
      <c r="K28" s="835"/>
      <c r="L28" s="1013"/>
    </row>
    <row r="29" spans="2:12" ht="12.6" customHeight="1" thickBot="1" x14ac:dyDescent="0.25">
      <c r="B29" s="432" t="str">
        <f>IF([1]PlanI!D50="","",[1]PlanI!B50&amp;" "&amp;[1]PlanI!D50)</f>
        <v>VK Dauergrünland 3-schnittig</v>
      </c>
      <c r="C29" s="1068">
        <f>IF([1]PlanI!G50="","",[1]PlanI!G50)</f>
        <v>6</v>
      </c>
      <c r="D29" s="1046">
        <f>IF([1]PlanI!K50="","",[1]PlanI!K50*(1+$D$16))</f>
        <v>1065.3999999999999</v>
      </c>
      <c r="E29" s="1018">
        <f>-$C29*D29</f>
        <v>-6392.4</v>
      </c>
      <c r="F29" s="1058">
        <f>IF([1]PlanI!M50="","",[1]PlanI!M50*(1+$G$16))</f>
        <v>81061.5</v>
      </c>
      <c r="G29" s="1059">
        <f>$C29*F29</f>
        <v>486369</v>
      </c>
      <c r="H29" s="1065">
        <f>IF([1]PlanI!P50="","",[1]PlanI!P50*(1+$G$15))</f>
        <v>86.64</v>
      </c>
      <c r="I29" s="1061">
        <f>$C29*H29</f>
        <v>519.84</v>
      </c>
      <c r="K29" s="13"/>
      <c r="L29" s="1013"/>
    </row>
    <row r="30" spans="2:12" ht="12.6" customHeight="1" x14ac:dyDescent="0.2">
      <c r="B30" s="432" t="str">
        <f>IF([1]PlanI!D52="","",[1]PlanI!B52&amp;" "&amp;[1]PlanI!D52)</f>
        <v>VK Dauergrünland 1-schnittig</v>
      </c>
      <c r="C30" s="1068">
        <f>IF([1]PlanI!G52="","",[1]PlanI!G52)</f>
        <v>2.5</v>
      </c>
      <c r="D30" s="1046">
        <f>IF([1]PlanI!K52="","",[1]PlanI!K52*(1+$D$16))</f>
        <v>139.22999999999999</v>
      </c>
      <c r="E30" s="1071">
        <f t="shared" si="3"/>
        <v>-348.07499999999999</v>
      </c>
      <c r="F30" s="1058">
        <f>IF([1]PlanI!M52="","",[1]PlanI!M52*(1+$G$16))</f>
        <v>24418.5</v>
      </c>
      <c r="G30" s="1072">
        <f t="shared" si="4"/>
        <v>61046.25</v>
      </c>
      <c r="H30" s="1065">
        <f>IF([1]PlanI!P52="","",[1]PlanI!P52*(1+$G$15))</f>
        <v>17.479999999999997</v>
      </c>
      <c r="I30" s="1073">
        <f t="shared" si="5"/>
        <v>43.699999999999989</v>
      </c>
      <c r="K30" s="13"/>
      <c r="L30" s="1013"/>
    </row>
    <row r="31" spans="2:12" ht="12.6" customHeight="1" x14ac:dyDescent="0.2">
      <c r="B31" s="432" t="str">
        <f>IF([1]PlanI!D54="","",[1]PlanI!B54&amp;" "&amp;[1]PlanI!D54)</f>
        <v/>
      </c>
      <c r="C31" s="1068" t="str">
        <f>IF([1]PlanI!G54="","",[1]PlanI!G54)</f>
        <v/>
      </c>
      <c r="D31" s="1046" t="str">
        <f>IF([1]PlanI!K54="","",[1]PlanI!K54*(1+$D$16))</f>
        <v/>
      </c>
      <c r="E31" s="1015" t="str">
        <f t="shared" si="3"/>
        <v/>
      </c>
      <c r="F31" s="1058" t="str">
        <f>IF([1]PlanI!M54="","",[1]PlanI!M54*(1+$G$16))</f>
        <v/>
      </c>
      <c r="G31" s="1064" t="str">
        <f t="shared" si="4"/>
        <v/>
      </c>
      <c r="H31" s="1065" t="str">
        <f>IF([1]PlanI!P54="","",[1]PlanI!P54*(1+$G$15))</f>
        <v/>
      </c>
      <c r="I31" s="1066" t="str">
        <f t="shared" si="5"/>
        <v/>
      </c>
      <c r="K31" s="13"/>
      <c r="L31" s="1013"/>
    </row>
    <row r="32" spans="2:12" ht="12.6" customHeight="1" x14ac:dyDescent="0.2">
      <c r="B32" s="432" t="str">
        <f>IF([1]PlanI!D56="","",[1]PlanI!B56&amp;" "&amp;[1]PlanI!D56)</f>
        <v/>
      </c>
      <c r="C32" s="1068" t="str">
        <f>IF([1]PlanI!G56="","",[1]PlanI!G56)</f>
        <v/>
      </c>
      <c r="D32" s="1046" t="str">
        <f>IF([1]PlanI!K56="","",[1]PlanI!K56*(1+$D$16))</f>
        <v/>
      </c>
      <c r="E32" s="1015" t="str">
        <f t="shared" si="3"/>
        <v/>
      </c>
      <c r="F32" s="1058" t="str">
        <f>IF([1]PlanI!M56="","",[1]PlanI!M56*(1+$G$16))</f>
        <v/>
      </c>
      <c r="G32" s="1064" t="str">
        <f t="shared" si="4"/>
        <v/>
      </c>
      <c r="H32" s="1065" t="str">
        <f>IF([1]PlanI!P56="","",[1]PlanI!P56*(1+$G$15))</f>
        <v/>
      </c>
      <c r="I32" s="1066" t="str">
        <f t="shared" si="5"/>
        <v/>
      </c>
      <c r="K32" s="835"/>
      <c r="L32" s="1013"/>
    </row>
    <row r="33" spans="2:12" ht="12.6" customHeight="1" x14ac:dyDescent="0.2">
      <c r="B33" s="432" t="str">
        <f>IF([1]PlanI!D58="","",[1]PlanI!B58&amp;" "&amp;[1]PlanI!D58)</f>
        <v/>
      </c>
      <c r="C33" s="1068" t="str">
        <f>IF([1]PlanI!G58="","",[1]PlanI!G58)</f>
        <v/>
      </c>
      <c r="D33" s="1046" t="str">
        <f>IF([1]PlanI!K58="","",[1]PlanI!K58*(1+$D$16))</f>
        <v/>
      </c>
      <c r="E33" s="1015" t="str">
        <f t="shared" si="3"/>
        <v/>
      </c>
      <c r="F33" s="1058" t="str">
        <f>IF([1]PlanI!M58="","",[1]PlanI!M58*(1+$G$16))</f>
        <v/>
      </c>
      <c r="G33" s="1064" t="str">
        <f t="shared" si="4"/>
        <v/>
      </c>
      <c r="H33" s="1065" t="str">
        <f>IF([1]PlanI!P58="","",[1]PlanI!P58*(1+$G$15))</f>
        <v/>
      </c>
      <c r="I33" s="1066" t="str">
        <f t="shared" si="5"/>
        <v/>
      </c>
      <c r="K33" s="835"/>
      <c r="L33" s="1013"/>
    </row>
    <row r="34" spans="2:12" ht="12.6" customHeight="1" thickBot="1" x14ac:dyDescent="0.25">
      <c r="B34" s="432" t="str">
        <f>IF([1]PlanI!D60="","",[1]PlanI!B60&amp;" "&amp;[1]PlanI!D60)</f>
        <v xml:space="preserve"> Sonstige Arbeiten</v>
      </c>
      <c r="C34" s="1068">
        <f>IF([1]PlanI!G60="","",[1]PlanI!G60)</f>
        <v>1</v>
      </c>
      <c r="D34" s="1046" t="str">
        <f>IF([1]PlanI!K60="","",[1]PlanI!K60*(1+$D$16))</f>
        <v/>
      </c>
      <c r="E34" s="1049" t="str">
        <f t="shared" si="3"/>
        <v/>
      </c>
      <c r="F34" s="1058" t="str">
        <f>IF([1]PlanI!M60="","",[1]PlanI!M60*(1+$G$16))</f>
        <v/>
      </c>
      <c r="G34" s="1064" t="str">
        <f t="shared" si="4"/>
        <v/>
      </c>
      <c r="H34" s="1065">
        <f>IF([1]PlanI!P60="","",[1]PlanI!P60*(1+$G$15))</f>
        <v>411.82499999999999</v>
      </c>
      <c r="I34" s="1066">
        <f t="shared" si="5"/>
        <v>411.82499999999999</v>
      </c>
      <c r="K34" s="835"/>
      <c r="L34" s="1013"/>
    </row>
    <row r="35" spans="2:12" ht="12.6" customHeight="1" thickBot="1" x14ac:dyDescent="0.25">
      <c r="B35" s="29" t="s">
        <v>30</v>
      </c>
      <c r="C35" s="29"/>
      <c r="D35" s="29"/>
      <c r="E35" s="368">
        <f>SUM(E21:E34)</f>
        <v>16762.569</v>
      </c>
      <c r="K35" s="835"/>
      <c r="L35" s="1013"/>
    </row>
    <row r="36" spans="2:12" ht="17.100000000000001" customHeight="1" x14ac:dyDescent="0.2">
      <c r="K36" s="835"/>
      <c r="L36" s="1013"/>
    </row>
    <row r="37" spans="2:12" ht="12.6" customHeight="1" thickBot="1" x14ac:dyDescent="0.25">
      <c r="B37" s="1022" t="s">
        <v>31</v>
      </c>
      <c r="C37" s="1022"/>
      <c r="D37" s="1022"/>
      <c r="E37" s="1022"/>
      <c r="F37" s="1022" t="s">
        <v>32</v>
      </c>
      <c r="G37" s="1047"/>
      <c r="H37" s="1022"/>
      <c r="I37" s="1047"/>
      <c r="J37" s="32"/>
      <c r="K37" s="835"/>
      <c r="L37" s="1013"/>
    </row>
    <row r="38" spans="2:12" ht="12.6" customHeight="1" x14ac:dyDescent="0.2">
      <c r="B38" s="432" t="str">
        <f>IF([1]PlanI!B64="","",[1]PlanI!B64)</f>
        <v>Maschinenringtätigkeit</v>
      </c>
      <c r="C38" s="1039"/>
      <c r="D38" s="1039"/>
      <c r="E38" s="1015">
        <f>IF([1]PlanI!G64="","",[1]PlanI!G64)</f>
        <v>1200</v>
      </c>
      <c r="F38" s="1187" t="s">
        <v>33</v>
      </c>
      <c r="G38" s="1188">
        <f t="shared" ref="G38" si="6">SUM(G21:G34)</f>
        <v>213396.05000000005</v>
      </c>
      <c r="H38" s="1187" t="s">
        <v>34</v>
      </c>
      <c r="I38" s="1195">
        <f t="shared" ref="I38" si="7">SUM(I21:I34)</f>
        <v>2114.9280000000003</v>
      </c>
      <c r="K38" s="835"/>
      <c r="L38" s="1013"/>
    </row>
    <row r="39" spans="2:12" ht="12.6" customHeight="1" x14ac:dyDescent="0.2">
      <c r="B39" s="432" t="str">
        <f>IF([1]PlanI!B66="","",[1]PlanI!B66)</f>
        <v/>
      </c>
      <c r="C39" s="1039"/>
      <c r="D39" s="1039"/>
      <c r="E39" s="1015" t="str">
        <f>IF([1]PlanI!G66="","",[1]PlanI!G66)</f>
        <v/>
      </c>
      <c r="F39" s="1187"/>
      <c r="G39" s="1189"/>
      <c r="H39" s="1187"/>
      <c r="I39" s="1196"/>
      <c r="K39" s="835"/>
      <c r="L39" s="1013"/>
    </row>
    <row r="40" spans="2:12" ht="12.6" customHeight="1" thickBot="1" x14ac:dyDescent="0.25">
      <c r="B40" s="432" t="str">
        <f>IF([1]PlanI!B68="","",[1]PlanI!B68)</f>
        <v/>
      </c>
      <c r="C40" s="1039"/>
      <c r="D40" s="1039"/>
      <c r="E40" s="1049" t="str">
        <f>IF([1]PlanI!G68="","",[1]PlanI!G68)</f>
        <v/>
      </c>
      <c r="F40" s="1187"/>
      <c r="G40" s="1190"/>
      <c r="H40" s="1187"/>
      <c r="I40" s="1197"/>
      <c r="K40" s="835"/>
      <c r="L40" s="1013"/>
    </row>
    <row r="41" spans="2:12" ht="12.6" customHeight="1" thickBot="1" x14ac:dyDescent="0.25">
      <c r="B41" s="1020" t="s">
        <v>35</v>
      </c>
      <c r="C41" s="1020"/>
      <c r="D41" s="1020"/>
      <c r="E41" s="368">
        <f>SUM(E38:E40)</f>
        <v>1200</v>
      </c>
      <c r="K41" s="835"/>
      <c r="L41" s="1013"/>
    </row>
    <row r="42" spans="2:12" ht="17.100000000000001" customHeight="1" x14ac:dyDescent="0.2">
      <c r="K42" s="835"/>
      <c r="L42" s="1013"/>
    </row>
    <row r="43" spans="2:12" ht="12.6" customHeight="1" x14ac:dyDescent="0.2">
      <c r="B43" s="1022" t="s">
        <v>36</v>
      </c>
      <c r="C43" s="1022"/>
      <c r="D43" s="1056" t="s">
        <v>37</v>
      </c>
      <c r="E43" s="1022"/>
      <c r="F43" s="1022" t="s">
        <v>38</v>
      </c>
      <c r="G43" s="1047"/>
      <c r="H43" s="1022"/>
      <c r="I43" s="1047"/>
      <c r="K43" s="835"/>
      <c r="L43" s="1013"/>
    </row>
    <row r="44" spans="2:12" ht="12.6" customHeight="1" x14ac:dyDescent="0.2">
      <c r="B44" s="432" t="str">
        <f>IF([1]PlanI!B71="","",[1]PlanI!B71)</f>
        <v>Ausgleichszulage</v>
      </c>
      <c r="C44" s="1039"/>
      <c r="D44" s="1039"/>
      <c r="E44" s="1015">
        <f>IF([1]PlanI!G71="","",[1]PlanI!G71)</f>
        <v>3927</v>
      </c>
      <c r="F44" s="37" t="s">
        <v>615</v>
      </c>
      <c r="G44" s="37"/>
      <c r="H44" s="37"/>
      <c r="I44" s="1015">
        <f>IF(Ist!I35="","noch leer",Ist!I35)</f>
        <v>17394.973604651164</v>
      </c>
      <c r="J44" s="39"/>
      <c r="K44" s="835"/>
      <c r="L44" s="1013"/>
    </row>
    <row r="45" spans="2:12" ht="12.6" customHeight="1" thickBot="1" x14ac:dyDescent="0.25">
      <c r="B45" s="432" t="str">
        <f>IF([1]PlanI!B73="","",[1]PlanI!B73)</f>
        <v>EBP</v>
      </c>
      <c r="C45" s="1039"/>
      <c r="D45" s="1039"/>
      <c r="E45" s="1015">
        <f>IF([1]PlanI!G73="","",[1]PlanI!G73)</f>
        <v>2574</v>
      </c>
      <c r="F45" s="1074" t="s">
        <v>473</v>
      </c>
      <c r="G45" s="1074"/>
      <c r="H45" s="1074"/>
      <c r="I45" s="1049">
        <f>IF(AND(FinI!D16="",FinI!E16="",FinI!F16=""),"noch leer",IF(FinI!C20&lt;&gt;"",FinI!D16,IF(FinI!C21&lt;&gt;"",FinI!E16,IF(FinI!C22&lt;&gt;"",FinI!F16,""))))</f>
        <v>2141.6055685745705</v>
      </c>
      <c r="J45" s="39"/>
      <c r="K45" s="835"/>
      <c r="L45" s="1013"/>
    </row>
    <row r="46" spans="2:12" ht="12.6" customHeight="1" thickBot="1" x14ac:dyDescent="0.25">
      <c r="B46" s="432" t="str">
        <f>IF([1]PlanI!B75="","",[1]PlanI!B75)</f>
        <v>Tierptämien - Mutterkuhhaltung</v>
      </c>
      <c r="C46" s="1039"/>
      <c r="D46" s="1039"/>
      <c r="E46" s="1015">
        <f>IF([1]PlanI!G75="","",[1]PlanI!G75)</f>
        <v>1584</v>
      </c>
      <c r="F46" s="41" t="s">
        <v>616</v>
      </c>
      <c r="G46" s="41"/>
      <c r="H46" s="41"/>
      <c r="I46" s="368">
        <f>SUM(I44:I45)</f>
        <v>19536.579173225735</v>
      </c>
      <c r="J46" s="39"/>
      <c r="K46" s="835"/>
      <c r="L46" s="1013"/>
    </row>
    <row r="47" spans="2:12" ht="12.6" customHeight="1" x14ac:dyDescent="0.2">
      <c r="B47" s="432" t="str">
        <f>IF([1]PlanI!B77="","",[1]PlanI!B77)</f>
        <v>ÖPUL</v>
      </c>
      <c r="C47" s="1039"/>
      <c r="D47" s="1039"/>
      <c r="E47" s="1015">
        <f>IF([1]PlanI!G77="","",[1]PlanI!G77)</f>
        <v>1243.5</v>
      </c>
      <c r="F47" s="1039" t="s">
        <v>617</v>
      </c>
      <c r="G47" s="1039"/>
      <c r="H47" s="1039"/>
      <c r="I47" s="1075">
        <f>IF(FinI!G35="","noch leer",FinI!G35)</f>
        <v>-9595.8799226534993</v>
      </c>
      <c r="K47" s="835"/>
      <c r="L47" s="1013"/>
    </row>
    <row r="48" spans="2:12" ht="12.6" customHeight="1" thickBot="1" x14ac:dyDescent="0.25">
      <c r="B48" s="432" t="str">
        <f>IF([1]PlanI!B79="","",[1]PlanI!B79)</f>
        <v/>
      </c>
      <c r="C48" s="1039"/>
      <c r="D48" s="1039"/>
      <c r="E48" s="1015" t="str">
        <f>IF([1]PlanI!G79="","",[1]PlanI!G79)</f>
        <v/>
      </c>
      <c r="F48" s="41" t="s">
        <v>618</v>
      </c>
      <c r="G48" s="41"/>
      <c r="H48" s="41"/>
      <c r="I48" s="1076">
        <f>IF(G12="","noch leer",G12)</f>
        <v>193242</v>
      </c>
      <c r="K48" s="835"/>
      <c r="L48" s="1013"/>
    </row>
    <row r="49" spans="2:12" ht="12.6" customHeight="1" thickBot="1" x14ac:dyDescent="0.25">
      <c r="B49" s="432" t="str">
        <f>IF([1]PlanI!B81="","",[1]PlanI!B81)</f>
        <v/>
      </c>
      <c r="C49" s="1039"/>
      <c r="D49" s="1039"/>
      <c r="E49" s="1049" t="str">
        <f>IF([1]PlanI!G81="","",[1]PlanI!G81)</f>
        <v/>
      </c>
      <c r="F49" s="1077" t="s">
        <v>619</v>
      </c>
      <c r="G49" s="1077"/>
      <c r="H49" s="1077"/>
      <c r="I49" s="49">
        <f>SUM(G6:G9)</f>
        <v>118242</v>
      </c>
      <c r="K49" s="835"/>
      <c r="L49" s="1013"/>
    </row>
    <row r="50" spans="2:12" ht="12.6" customHeight="1" thickBot="1" x14ac:dyDescent="0.25">
      <c r="B50" s="29" t="s">
        <v>44</v>
      </c>
      <c r="C50" s="29"/>
      <c r="D50" s="29"/>
      <c r="E50" s="368">
        <f>SUM(E44:E49)</f>
        <v>9328.5</v>
      </c>
      <c r="F50" s="1078"/>
      <c r="K50" s="835"/>
      <c r="L50" s="1013"/>
    </row>
    <row r="51" spans="2:12" ht="17.100000000000001" customHeight="1" thickBot="1" x14ac:dyDescent="0.25">
      <c r="K51" s="835"/>
      <c r="L51" s="1013"/>
    </row>
    <row r="52" spans="2:12" ht="12.6" customHeight="1" thickBot="1" x14ac:dyDescent="0.25">
      <c r="B52" s="29" t="s">
        <v>45</v>
      </c>
      <c r="C52" s="29"/>
      <c r="D52" s="29"/>
      <c r="E52" s="368">
        <f>E35+E41+E50</f>
        <v>27291.069</v>
      </c>
      <c r="K52" s="835"/>
      <c r="L52" s="1013"/>
    </row>
    <row r="53" spans="2:12" ht="12.6" customHeight="1" x14ac:dyDescent="0.2">
      <c r="B53" s="480" t="s">
        <v>46</v>
      </c>
      <c r="C53" s="1079"/>
      <c r="D53" s="1079"/>
      <c r="E53" s="1071">
        <f>IF(Ist!E38="","noch leer",Ist!E38)</f>
        <v>-10555.20919158361</v>
      </c>
      <c r="K53" s="835"/>
      <c r="L53" s="1013"/>
    </row>
    <row r="54" spans="2:12" ht="12.6" customHeight="1" x14ac:dyDescent="0.2">
      <c r="B54" s="480" t="s">
        <v>620</v>
      </c>
      <c r="C54" s="1079"/>
      <c r="D54" s="1079"/>
      <c r="E54" s="1015">
        <f>IF(E12="","noch leer",-E12)</f>
        <v>-9457</v>
      </c>
      <c r="K54" s="835"/>
      <c r="L54" s="1013"/>
    </row>
    <row r="55" spans="2:12" ht="12.6" customHeight="1" thickBot="1" x14ac:dyDescent="0.25">
      <c r="B55" s="480" t="s">
        <v>621</v>
      </c>
      <c r="C55" s="1079"/>
      <c r="D55" s="1079"/>
      <c r="E55" s="1049">
        <f>IF(FinI!F46="","",FinI!F46)</f>
        <v>-2274.483431425429</v>
      </c>
      <c r="K55" s="835"/>
      <c r="L55" s="1013"/>
    </row>
    <row r="56" spans="2:12" ht="12.6" customHeight="1" thickBot="1" x14ac:dyDescent="0.25">
      <c r="B56" s="1080" t="s">
        <v>622</v>
      </c>
      <c r="C56" s="1077"/>
      <c r="D56" s="1077"/>
      <c r="E56" s="49">
        <f>E57-E50</f>
        <v>-4324.1236230090399</v>
      </c>
      <c r="K56" s="835"/>
      <c r="L56" s="1013"/>
    </row>
    <row r="57" spans="2:12" ht="12.6" customHeight="1" thickBot="1" x14ac:dyDescent="0.25">
      <c r="B57" s="1080" t="s">
        <v>47</v>
      </c>
      <c r="C57" s="1077"/>
      <c r="D57" s="1077"/>
      <c r="E57" s="49">
        <f>SUM(E52:E55)</f>
        <v>5004.3763769909601</v>
      </c>
      <c r="K57" s="835"/>
      <c r="L57" s="1013"/>
    </row>
    <row r="58" spans="2:12" ht="12.6" customHeight="1" thickBot="1" x14ac:dyDescent="0.25">
      <c r="B58" s="1081" t="s">
        <v>343</v>
      </c>
      <c r="C58" s="1077"/>
      <c r="D58" s="1077"/>
      <c r="E58" s="49">
        <f>E57/I38</f>
        <v>2.3662159548651109</v>
      </c>
      <c r="K58" s="835"/>
      <c r="L58" s="1013">
        <f>E58</f>
        <v>2.3662159548651109</v>
      </c>
    </row>
    <row r="59" spans="2:12" ht="12.6" customHeight="1" x14ac:dyDescent="0.2">
      <c r="B59" s="432" t="s">
        <v>48</v>
      </c>
      <c r="C59" s="433"/>
      <c r="D59" s="433"/>
      <c r="E59" s="1071">
        <f>IF([1]PlanI!G84="","",[1]PlanI!G84)</f>
        <v>1960</v>
      </c>
      <c r="K59" s="835"/>
      <c r="L59" s="1013"/>
    </row>
    <row r="60" spans="2:12" ht="15.95" customHeight="1" thickBot="1" x14ac:dyDescent="0.25">
      <c r="B60" s="432" t="s">
        <v>49</v>
      </c>
      <c r="C60" s="433"/>
      <c r="D60" s="433"/>
      <c r="E60" s="1049">
        <f>IF([1]PlanI!G86="","",[1]PlanI!G86)</f>
        <v>30800</v>
      </c>
      <c r="K60" s="835"/>
      <c r="L60" s="1013"/>
    </row>
    <row r="61" spans="2:12" ht="11.25" customHeight="1" thickBot="1" x14ac:dyDescent="0.25">
      <c r="B61" s="1186" t="s">
        <v>50</v>
      </c>
      <c r="C61" s="1186"/>
      <c r="D61" s="1186"/>
      <c r="E61" s="44">
        <f>E57+E59+E60</f>
        <v>37764.376376990956</v>
      </c>
      <c r="K61" s="835"/>
      <c r="L61" s="1013"/>
    </row>
    <row r="62" spans="2:12" ht="11.25" customHeight="1" x14ac:dyDescent="0.2">
      <c r="K62" s="835"/>
      <c r="L62" s="1013"/>
    </row>
  </sheetData>
  <sheetProtection sheet="1" objects="1" scenarios="1"/>
  <mergeCells count="11">
    <mergeCell ref="L1:L2"/>
    <mergeCell ref="B18:B20"/>
    <mergeCell ref="F18:G19"/>
    <mergeCell ref="H18:I19"/>
    <mergeCell ref="I38:I40"/>
    <mergeCell ref="C18:C20"/>
    <mergeCell ref="B61:D61"/>
    <mergeCell ref="F38:F40"/>
    <mergeCell ref="H38:H40"/>
    <mergeCell ref="G38:G40"/>
    <mergeCell ref="D18:E19"/>
  </mergeCells>
  <phoneticPr fontId="4" type="noConversion"/>
  <conditionalFormatting sqref="I38:I40 G38:G40">
    <cfRule type="expression" dxfId="102" priority="1" stopIfTrue="1">
      <formula>F$38=""</formula>
    </cfRule>
  </conditionalFormatting>
  <conditionalFormatting sqref="C11:E11 B21:D22 C5:E7 F21:F22 H21:H22 H34 F34 B34:D34 H28:H30 F28:F30 B28:D30">
    <cfRule type="expression" dxfId="101" priority="2" stopIfTrue="1">
      <formula>$B5=""</formula>
    </cfRule>
  </conditionalFormatting>
  <conditionalFormatting sqref="G5:I6">
    <cfRule type="expression" dxfId="100" priority="3" stopIfTrue="1">
      <formula>$F5=""</formula>
    </cfRule>
  </conditionalFormatting>
  <conditionalFormatting sqref="E38:E39 E59:E60 E44:E47">
    <cfRule type="cellIs" dxfId="99" priority="4" stopIfTrue="1" operator="equal">
      <formula>""</formula>
    </cfRule>
  </conditionalFormatting>
  <conditionalFormatting sqref="E53:E55 I47 I44:I45">
    <cfRule type="cellIs" dxfId="98" priority="5" stopIfTrue="1" operator="equal">
      <formula>""</formula>
    </cfRule>
    <cfRule type="cellIs" dxfId="97" priority="6" stopIfTrue="1" operator="equal">
      <formula>"noch leer"</formula>
    </cfRule>
  </conditionalFormatting>
  <conditionalFormatting sqref="I21:I22 E21:E22 E34 I34 G34 E28:E30 I28:I30 G28:G30 G21:G22">
    <cfRule type="expression" dxfId="96" priority="7" stopIfTrue="1">
      <formula>$B21=""</formula>
    </cfRule>
  </conditionalFormatting>
  <conditionalFormatting sqref="I48">
    <cfRule type="cellIs" dxfId="95" priority="9"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61" max="16383" man="1"/>
    <brk id="10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tabColor indexed="10"/>
  </sheetPr>
  <dimension ref="A1:L44"/>
  <sheetViews>
    <sheetView showGridLines="0" zoomScaleNormal="100" workbookViewId="0">
      <selection activeCell="J26" sqref="J26"/>
    </sheetView>
  </sheetViews>
  <sheetFormatPr baseColWidth="10" defaultColWidth="0" defaultRowHeight="0" customHeight="1" zeroHeight="1" x14ac:dyDescent="0.2"/>
  <cols>
    <col min="1" max="1" width="1.7109375" style="15" customWidth="1"/>
    <col min="2" max="2" width="17.7109375" style="15" customWidth="1"/>
    <col min="3" max="3" width="7.7109375" style="15" customWidth="1"/>
    <col min="4" max="9" width="10" style="15" customWidth="1"/>
    <col min="10" max="10" width="1.7109375" style="15" customWidth="1"/>
    <col min="11" max="11" width="0.85546875" style="15" customWidth="1"/>
    <col min="12" max="12" width="20.7109375" style="15" customWidth="1"/>
    <col min="13" max="16384" width="11.42578125" style="15" hidden="1"/>
  </cols>
  <sheetData>
    <row r="1" spans="1:12" ht="24.95" customHeight="1" x14ac:dyDescent="0.2">
      <c r="A1" s="16"/>
      <c r="B1" s="17" t="s">
        <v>16</v>
      </c>
      <c r="C1" s="17"/>
      <c r="D1" s="17"/>
      <c r="E1" s="17"/>
      <c r="F1" s="17"/>
      <c r="G1" s="17"/>
      <c r="H1" s="17"/>
      <c r="I1" s="17"/>
      <c r="J1" s="17"/>
      <c r="K1" s="9"/>
      <c r="L1" s="1160" t="s">
        <v>11</v>
      </c>
    </row>
    <row r="2" spans="1:12" ht="9.9499999999999993" customHeight="1" x14ac:dyDescent="0.2">
      <c r="K2" s="10"/>
      <c r="L2" s="1161"/>
    </row>
    <row r="3" spans="1:12" ht="15.95" customHeight="1" x14ac:dyDescent="0.2">
      <c r="B3" s="1207" t="s">
        <v>17</v>
      </c>
      <c r="C3" s="1205" t="s">
        <v>18</v>
      </c>
      <c r="D3" s="1206" t="s">
        <v>19</v>
      </c>
      <c r="E3" s="1206"/>
      <c r="F3" s="1206" t="s">
        <v>20</v>
      </c>
      <c r="G3" s="1206"/>
      <c r="H3" s="1205" t="s">
        <v>21</v>
      </c>
      <c r="I3" s="1208"/>
      <c r="K3" s="10"/>
      <c r="L3" s="11"/>
    </row>
    <row r="4" spans="1:12" ht="15.95" customHeight="1" x14ac:dyDescent="0.2">
      <c r="B4" s="1207" t="s">
        <v>22</v>
      </c>
      <c r="C4" s="1205" t="s">
        <v>23</v>
      </c>
      <c r="D4" s="1206" t="s">
        <v>24</v>
      </c>
      <c r="E4" s="1206"/>
      <c r="F4" s="1206" t="s">
        <v>25</v>
      </c>
      <c r="G4" s="1206"/>
      <c r="H4" s="1208" t="s">
        <v>26</v>
      </c>
      <c r="I4" s="1208"/>
      <c r="K4" s="10"/>
      <c r="L4" s="11"/>
    </row>
    <row r="5" spans="1:12" ht="15.95" customHeight="1" x14ac:dyDescent="0.2">
      <c r="B5" s="1207"/>
      <c r="C5" s="1205"/>
      <c r="D5" s="19" t="s">
        <v>27</v>
      </c>
      <c r="E5" s="19" t="s">
        <v>28</v>
      </c>
      <c r="F5" s="19" t="s">
        <v>27</v>
      </c>
      <c r="G5" s="19" t="s">
        <v>28</v>
      </c>
      <c r="H5" s="19" t="s">
        <v>29</v>
      </c>
      <c r="I5" s="19" t="s">
        <v>28</v>
      </c>
      <c r="K5" s="10"/>
      <c r="L5" s="11"/>
    </row>
    <row r="6" spans="1:12" ht="15.95" customHeight="1" thickBot="1" x14ac:dyDescent="0.25">
      <c r="B6" s="20" t="str">
        <f>IF([1]Ist!D13="","",[1]Ist!B13&amp;" "&amp;[1]Ist!D13)</f>
        <v>DB Milchkuh</v>
      </c>
      <c r="C6" s="21">
        <f>IF([1]Ist!G13="","",[1]Ist!G13)</f>
        <v>6</v>
      </c>
      <c r="D6" s="22">
        <f>IF([1]Ist!K13="","",[1]Ist!K13)</f>
        <v>1768.4</v>
      </c>
      <c r="E6" s="48">
        <f>C6*D6</f>
        <v>10610.400000000001</v>
      </c>
      <c r="F6" s="24">
        <f>IF([1]Ist!M13="","",[1]Ist!M13)</f>
        <v>17372</v>
      </c>
      <c r="G6" s="519">
        <f>-C6*F6</f>
        <v>-104232</v>
      </c>
      <c r="H6" s="637">
        <f>IF([1]Ist!O13="","",[1]Ist!O13)</f>
        <v>316.7</v>
      </c>
      <c r="I6" s="520">
        <f>C6*H6</f>
        <v>1900.1999999999998</v>
      </c>
      <c r="K6" s="10"/>
      <c r="L6" s="11"/>
    </row>
    <row r="7" spans="1:12" ht="15.95" customHeight="1" thickBot="1" x14ac:dyDescent="0.25">
      <c r="B7" s="20" t="str">
        <f>IF([1]Ist!D15="","",[1]Ist!B15&amp;" "&amp;[1]Ist!D15)</f>
        <v>DB Kalbinnen</v>
      </c>
      <c r="C7" s="21">
        <f>IF([1]Ist!G15="","",[1]Ist!G15)</f>
        <v>3</v>
      </c>
      <c r="D7" s="22">
        <f>IF([1]Ist!K15="","",[1]Ist!K15)</f>
        <v>726.3</v>
      </c>
      <c r="E7" s="23">
        <f>$C7*D7</f>
        <v>2178.8999999999996</v>
      </c>
      <c r="F7" s="24">
        <f>IF([1]Ist!M15="","",[1]Ist!M15)</f>
        <v>26505</v>
      </c>
      <c r="G7" s="25">
        <f>-$C7*F7</f>
        <v>-79515</v>
      </c>
      <c r="H7" s="637">
        <f>IF([1]Ist!O15="","",[1]Ist!O15)</f>
        <v>55.8</v>
      </c>
      <c r="I7" s="26">
        <f>$C7*H7</f>
        <v>167.39999999999998</v>
      </c>
      <c r="K7" s="10"/>
      <c r="L7" s="11"/>
    </row>
    <row r="8" spans="1:12" ht="15.95" customHeight="1" x14ac:dyDescent="0.2">
      <c r="B8" s="20" t="str">
        <f>IF([1]Ist!D17="","",[1]Ist!B17&amp;" "&amp;[1]Ist!D17)</f>
        <v>DB Kartoffel</v>
      </c>
      <c r="C8" s="21">
        <f>IF([1]Ist!G17="","",[1]Ist!G17)</f>
        <v>1</v>
      </c>
      <c r="D8" s="22">
        <f>IF([1]Ist!K17="","",[1]Ist!K17)</f>
        <v>837</v>
      </c>
      <c r="E8" s="55">
        <f>C8*D8</f>
        <v>837</v>
      </c>
      <c r="F8" s="24">
        <f>IF([1]Ist!M17="","",[1]Ist!M17)</f>
        <v>0</v>
      </c>
      <c r="G8" s="521">
        <f>-C8*F8</f>
        <v>0</v>
      </c>
      <c r="H8" s="637">
        <f>IF([1]Ist!O17="","",[1]Ist!O17)</f>
        <v>79.099999999999994</v>
      </c>
      <c r="I8" s="522">
        <f>C8*H8</f>
        <v>79.099999999999994</v>
      </c>
      <c r="K8" s="10"/>
      <c r="L8" s="11"/>
    </row>
    <row r="9" spans="1:12" ht="15.95" customHeight="1" x14ac:dyDescent="0.2">
      <c r="B9" s="20" t="str">
        <f>IF([1]Ist!D19="","",[1]Ist!B19&amp;" "&amp;[1]Ist!D19)</f>
        <v/>
      </c>
      <c r="C9" s="21"/>
      <c r="D9" s="638"/>
      <c r="E9" s="38"/>
      <c r="F9" s="24"/>
      <c r="G9" s="523"/>
      <c r="H9" s="637"/>
      <c r="I9" s="524"/>
      <c r="K9" s="10"/>
      <c r="L9" s="11"/>
    </row>
    <row r="10" spans="1:12" ht="15.95" customHeight="1" x14ac:dyDescent="0.2">
      <c r="B10" s="20" t="str">
        <f>IF([1]Ist!D21="","",[1]Ist!B21&amp;" "&amp;[1]Ist!D21)</f>
        <v/>
      </c>
      <c r="C10" s="27"/>
      <c r="D10" s="22"/>
      <c r="E10" s="38"/>
      <c r="F10" s="24"/>
      <c r="G10" s="523"/>
      <c r="H10" s="637"/>
      <c r="I10" s="524"/>
      <c r="K10" s="10"/>
      <c r="L10" s="11"/>
    </row>
    <row r="11" spans="1:12" ht="15.95" customHeight="1" x14ac:dyDescent="0.2">
      <c r="B11" s="20" t="str">
        <f>IF([1]Ist!D23="","",[1]Ist!B23&amp;" "&amp;[1]Ist!D23)</f>
        <v/>
      </c>
      <c r="C11" s="27" t="str">
        <f>IF([1]Ist!G23="","",[1]Ist!G23)</f>
        <v/>
      </c>
      <c r="D11" s="22" t="str">
        <f>IF([1]Ist!K23="","",[1]Ist!K23)</f>
        <v/>
      </c>
      <c r="E11" s="38"/>
      <c r="F11" s="24" t="str">
        <f>IF([1]Ist!M23="","",[1]Ist!M23)</f>
        <v/>
      </c>
      <c r="G11" s="523"/>
      <c r="H11" s="637" t="str">
        <f>IF([1]Ist!O23="","",[1]Ist!O23)</f>
        <v/>
      </c>
      <c r="I11" s="524"/>
      <c r="K11" s="10"/>
      <c r="L11" s="11"/>
    </row>
    <row r="12" spans="1:12" ht="15.95" customHeight="1" x14ac:dyDescent="0.2">
      <c r="B12" s="20" t="str">
        <f>IF([1]Ist!D25="","",[1]Ist!B25&amp;" "&amp;[1]Ist!D25)</f>
        <v/>
      </c>
      <c r="C12" s="27" t="str">
        <f>IF([1]Ist!G25="","",[1]Ist!G25)</f>
        <v/>
      </c>
      <c r="D12" s="22" t="str">
        <f>IF([1]Ist!K25="","",[1]Ist!K25)</f>
        <v/>
      </c>
      <c r="E12" s="38"/>
      <c r="F12" s="24" t="str">
        <f>IF([1]Ist!M25="","",[1]Ist!M25)</f>
        <v/>
      </c>
      <c r="G12" s="523"/>
      <c r="H12" s="637" t="str">
        <f>IF([1]Ist!O25="","",[1]Ist!O25)</f>
        <v/>
      </c>
      <c r="I12" s="524"/>
      <c r="K12" s="10"/>
      <c r="L12" s="11"/>
    </row>
    <row r="13" spans="1:12" ht="15.95" customHeight="1" thickBot="1" x14ac:dyDescent="0.25">
      <c r="B13" s="20" t="str">
        <f>IF([1]Ist!D27="","",[1]Ist!B27&amp;" "&amp;[1]Ist!D27)</f>
        <v>VK Feldfutter - Heu</v>
      </c>
      <c r="C13" s="27">
        <f>IF([1]Ist!G27="","",[1]Ist!G27)</f>
        <v>0.4</v>
      </c>
      <c r="D13" s="22">
        <f>IF([1]Ist!K27="","",[1]Ist!K27)</f>
        <v>831.3</v>
      </c>
      <c r="E13" s="38">
        <f>-C13*D13</f>
        <v>-332.52</v>
      </c>
      <c r="F13" s="24">
        <f>IF([1]Ist!M27="","",[1]Ist!M27)</f>
        <v>58242</v>
      </c>
      <c r="G13" s="523">
        <f>C13*F13</f>
        <v>23296.800000000003</v>
      </c>
      <c r="H13" s="637">
        <f>IF([1]Ist!O27="","",[1]Ist!O27)</f>
        <v>43.9</v>
      </c>
      <c r="I13" s="524">
        <f>C13*H13</f>
        <v>17.559999999999999</v>
      </c>
      <c r="K13" s="10"/>
      <c r="L13" s="11"/>
    </row>
    <row r="14" spans="1:12" ht="15.95" customHeight="1" thickBot="1" x14ac:dyDescent="0.25">
      <c r="B14" s="20" t="str">
        <f>IF([1]Ist!D29="","",[1]Ist!B29&amp;" "&amp;[1]Ist!D29)</f>
        <v>VK Dauergrünland 3-schnittig</v>
      </c>
      <c r="C14" s="27">
        <f>IF([1]Ist!G29="","",[1]Ist!G29)</f>
        <v>3.5</v>
      </c>
      <c r="D14" s="22">
        <f>IF([1]Ist!K29="","",[1]Ist!K29)</f>
        <v>1522</v>
      </c>
      <c r="E14" s="23">
        <f>-$C14*D14</f>
        <v>-5327</v>
      </c>
      <c r="F14" s="24">
        <f>IF([1]Ist!M29="","",[1]Ist!M29)</f>
        <v>54041</v>
      </c>
      <c r="G14" s="25">
        <f t="shared" ref="G14:G15" si="0">$C14*F14</f>
        <v>189143.5</v>
      </c>
      <c r="H14" s="637">
        <f>IF([1]Ist!O29="","",[1]Ist!O29)</f>
        <v>91.2</v>
      </c>
      <c r="I14" s="26">
        <f t="shared" ref="I14:I15" si="1">$C14*H14</f>
        <v>319.2</v>
      </c>
      <c r="K14" s="10"/>
      <c r="L14" s="11"/>
    </row>
    <row r="15" spans="1:12" ht="15.95" customHeight="1" thickBot="1" x14ac:dyDescent="0.25">
      <c r="B15" s="20" t="str">
        <f>IF([1]Ist!D31="","",[1]Ist!B31&amp;" "&amp;[1]Ist!D31)</f>
        <v>VK Dauergrünland 1-schnittig</v>
      </c>
      <c r="C15" s="27">
        <f>IF([1]Ist!G31="","",[1]Ist!G31)</f>
        <v>2</v>
      </c>
      <c r="D15" s="22">
        <f>IF([1]Ist!K31="","",[1]Ist!K31)</f>
        <v>198.9</v>
      </c>
      <c r="E15" s="23">
        <f>-$C15*D15</f>
        <v>-397.8</v>
      </c>
      <c r="F15" s="24">
        <f>IF([1]Ist!M31="","",[1]Ist!M31)</f>
        <v>16279</v>
      </c>
      <c r="G15" s="25">
        <f t="shared" si="0"/>
        <v>32558</v>
      </c>
      <c r="H15" s="637">
        <f>IF([1]Ist!O31="","",[1]Ist!O31)</f>
        <v>18.399999999999999</v>
      </c>
      <c r="I15" s="26">
        <f t="shared" si="1"/>
        <v>36.799999999999997</v>
      </c>
      <c r="K15" s="10"/>
      <c r="L15" s="11"/>
    </row>
    <row r="16" spans="1:12" ht="15.95" customHeight="1" x14ac:dyDescent="0.2">
      <c r="B16" s="20" t="str">
        <f>IF([1]Ist!D33="","",[1]Ist!B33&amp;" "&amp;[1]Ist!D33)</f>
        <v/>
      </c>
      <c r="C16" s="27" t="str">
        <f>IF([1]Ist!G33="","",[1]Ist!G33)</f>
        <v/>
      </c>
      <c r="D16" s="22" t="str">
        <f>IF([1]Ist!K33="","",[1]Ist!K33)</f>
        <v/>
      </c>
      <c r="E16" s="55"/>
      <c r="F16" s="24" t="str">
        <f>IF([1]Ist!M33="","",[1]Ist!M33)</f>
        <v/>
      </c>
      <c r="G16" s="521"/>
      <c r="H16" s="637" t="str">
        <f>IF([1]Ist!O33="","",[1]Ist!O33)</f>
        <v/>
      </c>
      <c r="I16" s="522"/>
      <c r="K16" s="10"/>
      <c r="L16" s="11"/>
    </row>
    <row r="17" spans="2:12" ht="15.95" customHeight="1" x14ac:dyDescent="0.2">
      <c r="B17" s="20" t="str">
        <f>IF([1]Ist!D35="","",[1]Ist!B35&amp;" "&amp;[1]Ist!D35)</f>
        <v/>
      </c>
      <c r="C17" s="27" t="str">
        <f>IF([1]Ist!G35="","",[1]Ist!G35)</f>
        <v/>
      </c>
      <c r="D17" s="22" t="str">
        <f>IF([1]Ist!K35="","",[1]Ist!K35)</f>
        <v/>
      </c>
      <c r="E17" s="38"/>
      <c r="F17" s="24" t="str">
        <f>IF([1]Ist!M35="","",[1]Ist!M35)</f>
        <v/>
      </c>
      <c r="G17" s="523"/>
      <c r="H17" s="637" t="str">
        <f>IF([1]Ist!O35="","",[1]Ist!O35)</f>
        <v/>
      </c>
      <c r="I17" s="524"/>
      <c r="K17" s="10"/>
      <c r="L17" s="11"/>
    </row>
    <row r="18" spans="2:12" ht="15.95" customHeight="1" x14ac:dyDescent="0.2">
      <c r="B18" s="20" t="str">
        <f>IF([1]Ist!D37="","",[1]Ist!B37&amp;" "&amp;[1]Ist!D37)</f>
        <v/>
      </c>
      <c r="C18" s="27" t="str">
        <f>IF([1]Ist!G37="","",[1]Ist!G37)</f>
        <v/>
      </c>
      <c r="D18" s="22" t="str">
        <f>IF([1]Ist!K37="","",[1]Ist!K37)</f>
        <v/>
      </c>
      <c r="E18" s="38"/>
      <c r="F18" s="24" t="str">
        <f>IF([1]Ist!M37="","",[1]Ist!M37)</f>
        <v/>
      </c>
      <c r="G18" s="523"/>
      <c r="H18" s="637" t="str">
        <f>IF([1]Ist!O37="","",[1]Ist!O37)</f>
        <v/>
      </c>
      <c r="I18" s="524"/>
      <c r="K18" s="10"/>
      <c r="L18" s="11"/>
    </row>
    <row r="19" spans="2:12" ht="15.95" customHeight="1" thickBot="1" x14ac:dyDescent="0.25">
      <c r="B19" s="20" t="str">
        <f>IF([1]Ist!D39="","",[1]Ist!B39&amp;" "&amp;[1]Ist!D39)</f>
        <v xml:space="preserve"> Sonstige Arbeiten</v>
      </c>
      <c r="C19" s="27">
        <f>IF([1]Ist!G39="","",[1]Ist!G39)</f>
        <v>1</v>
      </c>
      <c r="D19" s="22" t="str">
        <f>IF([1]Ist!K39="","",[1]Ist!K39)</f>
        <v/>
      </c>
      <c r="E19" s="38"/>
      <c r="F19" s="24" t="str">
        <f>IF([1]Ist!M39="","",[1]Ist!M39)</f>
        <v/>
      </c>
      <c r="G19" s="523"/>
      <c r="H19" s="637">
        <f>IF([1]Ist!O39="","",[1]Ist!O39)</f>
        <v>433.5</v>
      </c>
      <c r="I19" s="524">
        <f>C19*H19</f>
        <v>433.5</v>
      </c>
      <c r="K19" s="10"/>
      <c r="L19" s="11"/>
    </row>
    <row r="20" spans="2:12" ht="15.95" customHeight="1" thickBot="1" x14ac:dyDescent="0.25">
      <c r="B20" s="29" t="s">
        <v>30</v>
      </c>
      <c r="C20" s="29"/>
      <c r="D20" s="29"/>
      <c r="E20" s="368">
        <f>SUM(E6:E19)</f>
        <v>7568.9800000000005</v>
      </c>
      <c r="K20" s="10"/>
      <c r="L20" s="11"/>
    </row>
    <row r="21" spans="2:12" ht="39.950000000000003" customHeight="1" x14ac:dyDescent="0.2">
      <c r="K21" s="10"/>
      <c r="L21" s="11"/>
    </row>
    <row r="22" spans="2:12" ht="15.95" customHeight="1" thickBot="1" x14ac:dyDescent="0.25">
      <c r="B22" s="30" t="s">
        <v>31</v>
      </c>
      <c r="C22" s="30"/>
      <c r="D22" s="30"/>
      <c r="E22" s="30"/>
      <c r="F22" s="30" t="s">
        <v>32</v>
      </c>
      <c r="G22" s="31"/>
      <c r="H22" s="30"/>
      <c r="I22" s="31"/>
      <c r="J22" s="32"/>
      <c r="K22" s="12"/>
      <c r="L22" s="11"/>
    </row>
    <row r="23" spans="2:12" ht="15.95" customHeight="1" x14ac:dyDescent="0.2">
      <c r="B23" s="20" t="str">
        <f>IF([1]Ist!B43="","",[1]Ist!B43)</f>
        <v>Pachteinnahmen (1,5 ha Acker verpachtet)</v>
      </c>
      <c r="C23" s="33"/>
      <c r="D23" s="33"/>
      <c r="E23" s="38">
        <f>IF([1]Ist!G43="","",[1]Ist!G43)</f>
        <v>290</v>
      </c>
      <c r="F23" s="1209" t="s">
        <v>33</v>
      </c>
      <c r="G23" s="1210">
        <f>SUM(G6:G19)</f>
        <v>61251.299999999988</v>
      </c>
      <c r="H23" s="1209" t="s">
        <v>34</v>
      </c>
      <c r="I23" s="1213">
        <f>SUM(I6:I19)</f>
        <v>2953.7599999999998</v>
      </c>
      <c r="K23" s="10"/>
      <c r="L23" s="11"/>
    </row>
    <row r="24" spans="2:12" ht="15.95" customHeight="1" x14ac:dyDescent="0.2">
      <c r="B24" s="20" t="str">
        <f>IF([1]Ist!B45="","",[1]Ist!B45)</f>
        <v/>
      </c>
      <c r="C24" s="33"/>
      <c r="D24" s="33"/>
      <c r="E24" s="38" t="str">
        <f>IF([1]Ist!G45="","",[1]Ist!G45)</f>
        <v/>
      </c>
      <c r="F24" s="1209"/>
      <c r="G24" s="1211"/>
      <c r="H24" s="1209"/>
      <c r="I24" s="1214"/>
      <c r="K24" s="10"/>
      <c r="L24" s="11"/>
    </row>
    <row r="25" spans="2:12" ht="15.95" customHeight="1" thickBot="1" x14ac:dyDescent="0.25">
      <c r="B25" s="20" t="str">
        <f>IF([1]Ist!B47="","",[1]Ist!B47)</f>
        <v/>
      </c>
      <c r="C25" s="33"/>
      <c r="D25" s="33"/>
      <c r="E25" s="48" t="str">
        <f>IF([1]Ist!G47="","",[1]Ist!G47)</f>
        <v/>
      </c>
      <c r="F25" s="1209"/>
      <c r="G25" s="1212"/>
      <c r="H25" s="1209"/>
      <c r="I25" s="1215"/>
      <c r="K25" s="10"/>
      <c r="L25" s="11"/>
    </row>
    <row r="26" spans="2:12" ht="15.95" customHeight="1" thickBot="1" x14ac:dyDescent="0.25">
      <c r="B26" s="36" t="s">
        <v>35</v>
      </c>
      <c r="C26" s="36"/>
      <c r="D26" s="36"/>
      <c r="E26" s="368">
        <f>SUM(E23:E25)</f>
        <v>290</v>
      </c>
      <c r="K26" s="10"/>
      <c r="L26" s="11"/>
    </row>
    <row r="27" spans="2:12" ht="15.95" customHeight="1" x14ac:dyDescent="0.2">
      <c r="K27" s="10"/>
      <c r="L27" s="11"/>
    </row>
    <row r="28" spans="2:12" ht="15.95" customHeight="1" x14ac:dyDescent="0.2">
      <c r="B28" s="30" t="s">
        <v>36</v>
      </c>
      <c r="C28" s="30"/>
      <c r="D28" s="19" t="s">
        <v>37</v>
      </c>
      <c r="E28" s="30"/>
      <c r="F28" s="30" t="s">
        <v>38</v>
      </c>
      <c r="G28" s="31"/>
      <c r="H28" s="30"/>
      <c r="I28" s="31"/>
      <c r="K28" s="10"/>
      <c r="L28" s="11"/>
    </row>
    <row r="29" spans="2:12" ht="15.95" customHeight="1" x14ac:dyDescent="0.2">
      <c r="B29" s="20" t="str">
        <f>IF([1]Ist!B50="","",[1]Ist!B50)</f>
        <v>Ausgleichszulage</v>
      </c>
      <c r="C29" s="33"/>
      <c r="D29" s="33"/>
      <c r="E29" s="38">
        <f>IF([1]Ist!G50="","",[1]Ist!G50)</f>
        <v>2310</v>
      </c>
      <c r="F29" s="37" t="s">
        <v>39</v>
      </c>
      <c r="G29" s="37"/>
      <c r="H29" s="37"/>
      <c r="I29" s="38">
        <f>IF(E43="","noch leer",E43)</f>
        <v>35622.77080841639</v>
      </c>
      <c r="J29" s="39"/>
      <c r="K29" s="13"/>
      <c r="L29" s="11"/>
    </row>
    <row r="30" spans="2:12" ht="15.95" customHeight="1" x14ac:dyDescent="0.2">
      <c r="B30" s="20" t="str">
        <f>IF([1]Ist!B52="","",[1]Ist!B52)</f>
        <v>EBP</v>
      </c>
      <c r="C30" s="33"/>
      <c r="D30" s="33"/>
      <c r="E30" s="38">
        <f>IF([1]Ist!G52="","",[1]Ist!G52)</f>
        <v>1430</v>
      </c>
      <c r="F30" s="40" t="s">
        <v>40</v>
      </c>
      <c r="G30" s="40"/>
      <c r="H30" s="40"/>
      <c r="I30" s="38">
        <f>IF([1]Ist!O43="","",[1]Ist!O43)</f>
        <v>-19200</v>
      </c>
      <c r="J30" s="39"/>
      <c r="K30" s="13"/>
      <c r="L30" s="11"/>
    </row>
    <row r="31" spans="2:12" ht="15.95" customHeight="1" thickBot="1" x14ac:dyDescent="0.25">
      <c r="B31" s="20" t="str">
        <f>IF([1]Ist!B54="","",[1]Ist!B54)</f>
        <v>Tierprämien</v>
      </c>
      <c r="C31" s="33"/>
      <c r="D31" s="33"/>
      <c r="E31" s="38">
        <f>IF([1]Ist!G54="","",[1]Ist!G54)</f>
        <v>990</v>
      </c>
      <c r="F31" s="40" t="s">
        <v>41</v>
      </c>
      <c r="G31" s="40"/>
      <c r="H31" s="40"/>
      <c r="I31" s="38">
        <f>IF([1]Ist!O50="","",[1]Ist!O50)</f>
        <v>-2436</v>
      </c>
      <c r="J31" s="39"/>
      <c r="K31" s="13"/>
      <c r="L31" s="11"/>
    </row>
    <row r="32" spans="2:12" ht="15.95" customHeight="1" thickBot="1" x14ac:dyDescent="0.25">
      <c r="B32" s="20" t="str">
        <f>IF([1]Ist!B56="","",[1]Ist!B56)</f>
        <v>ÖPUL</v>
      </c>
      <c r="C32" s="33"/>
      <c r="D32" s="33"/>
      <c r="E32" s="38">
        <f>IF([1]Ist!G56="","",[1]Ist!G56)</f>
        <v>829</v>
      </c>
      <c r="F32" s="41" t="s">
        <v>42</v>
      </c>
      <c r="G32" s="41"/>
      <c r="H32" s="41"/>
      <c r="I32" s="368">
        <f>SUM(I29:I31)</f>
        <v>13986.77080841639</v>
      </c>
      <c r="K32" s="10"/>
      <c r="L32" s="11"/>
    </row>
    <row r="33" spans="2:12" ht="15.95" customHeight="1" x14ac:dyDescent="0.2">
      <c r="B33" s="20" t="str">
        <f>IF([1]Ist!B58="","",[1]Ist!B58)</f>
        <v/>
      </c>
      <c r="C33" s="33"/>
      <c r="D33" s="33"/>
      <c r="E33" s="38" t="str">
        <f>IF([1]Ist!G58="","",[1]Ist!G58)</f>
        <v/>
      </c>
      <c r="F33" s="1199" t="s">
        <v>43</v>
      </c>
      <c r="G33" s="1200"/>
      <c r="H33" s="1201"/>
      <c r="I33" s="1216">
        <f>IF([1]Ist!O66="","",[1]Ist!O66)</f>
        <v>3408.2027962347738</v>
      </c>
      <c r="K33" s="10"/>
      <c r="L33" s="11"/>
    </row>
    <row r="34" spans="2:12" ht="15.95" customHeight="1" thickBot="1" x14ac:dyDescent="0.25">
      <c r="B34" s="20" t="str">
        <f>IF([1]Ist!B60="","",[1]Ist!B60)</f>
        <v/>
      </c>
      <c r="C34" s="33"/>
      <c r="D34" s="33"/>
      <c r="E34" s="38" t="str">
        <f>IF([1]Ist!G60="","",[1]Ist!G60)</f>
        <v/>
      </c>
      <c r="F34" s="1199"/>
      <c r="G34" s="1200"/>
      <c r="H34" s="1201"/>
      <c r="I34" s="1217"/>
      <c r="K34" s="10"/>
      <c r="L34" s="11"/>
    </row>
    <row r="35" spans="2:12" ht="15.95" customHeight="1" thickBot="1" x14ac:dyDescent="0.25">
      <c r="B35" s="29" t="s">
        <v>44</v>
      </c>
      <c r="C35" s="29"/>
      <c r="D35" s="29"/>
      <c r="E35" s="368">
        <f>SUM(E29:E34)</f>
        <v>5559</v>
      </c>
      <c r="F35" s="42" t="s">
        <v>38</v>
      </c>
      <c r="G35" s="43"/>
      <c r="H35" s="43"/>
      <c r="I35" s="44">
        <f>SUM(I32:I34)</f>
        <v>17394.973604651164</v>
      </c>
      <c r="K35" s="10"/>
      <c r="L35" s="11"/>
    </row>
    <row r="36" spans="2:12" ht="15.95" customHeight="1" thickBot="1" x14ac:dyDescent="0.25">
      <c r="F36" s="45"/>
      <c r="K36" s="10"/>
      <c r="L36" s="11"/>
    </row>
    <row r="37" spans="2:12" ht="15.95" customHeight="1" thickBot="1" x14ac:dyDescent="0.25">
      <c r="B37" s="29" t="s">
        <v>45</v>
      </c>
      <c r="C37" s="29"/>
      <c r="D37" s="29"/>
      <c r="E37" s="368">
        <f>E20+E26+E35</f>
        <v>13417.98</v>
      </c>
      <c r="K37" s="10"/>
      <c r="L37" s="11"/>
    </row>
    <row r="38" spans="2:12" ht="15.95" customHeight="1" thickBot="1" x14ac:dyDescent="0.25">
      <c r="B38" s="46" t="s">
        <v>46</v>
      </c>
      <c r="C38" s="47"/>
      <c r="D38" s="47"/>
      <c r="E38" s="48">
        <f>IF(FK!D18="","noch leer",FK!D18)</f>
        <v>-10555.20919158361</v>
      </c>
      <c r="K38" s="10"/>
      <c r="L38" s="11"/>
    </row>
    <row r="39" spans="2:12" ht="15.95" customHeight="1" thickBot="1" x14ac:dyDescent="0.25">
      <c r="B39" s="1202" t="s">
        <v>47</v>
      </c>
      <c r="C39" s="1202"/>
      <c r="D39" s="1203"/>
      <c r="E39" s="49">
        <f>SUM(E37:E38)</f>
        <v>2862.7708084163896</v>
      </c>
      <c r="K39" s="10"/>
      <c r="L39" s="11"/>
    </row>
    <row r="40" spans="2:12" ht="15.95" customHeight="1" thickBot="1" x14ac:dyDescent="0.25">
      <c r="B40" s="1204" t="s">
        <v>343</v>
      </c>
      <c r="C40" s="1202"/>
      <c r="D40" s="1203"/>
      <c r="E40" s="49">
        <f>E39/I23</f>
        <v>0.96919546896714348</v>
      </c>
      <c r="K40" s="10"/>
      <c r="L40" s="11">
        <f>E40</f>
        <v>0.96919546896714348</v>
      </c>
    </row>
    <row r="41" spans="2:12" ht="15.95" customHeight="1" x14ac:dyDescent="0.2">
      <c r="B41" s="20" t="s">
        <v>48</v>
      </c>
      <c r="C41" s="50"/>
      <c r="D41" s="50"/>
      <c r="E41" s="38">
        <f>IF([1]Ist!G66="","",[1]Ist!G66)</f>
        <v>1960</v>
      </c>
      <c r="K41" s="10"/>
      <c r="L41" s="11"/>
    </row>
    <row r="42" spans="2:12" ht="15.95" customHeight="1" thickBot="1" x14ac:dyDescent="0.25">
      <c r="B42" s="20" t="s">
        <v>49</v>
      </c>
      <c r="C42" s="50"/>
      <c r="D42" s="50"/>
      <c r="E42" s="48">
        <f>IF([1]Ist!G68="","",[1]Ist!G68)</f>
        <v>30800</v>
      </c>
      <c r="K42" s="10"/>
      <c r="L42" s="11"/>
    </row>
    <row r="43" spans="2:12" ht="15.95" customHeight="1" thickBot="1" x14ac:dyDescent="0.25">
      <c r="B43" s="1198" t="s">
        <v>50</v>
      </c>
      <c r="C43" s="1198"/>
      <c r="D43" s="1198"/>
      <c r="E43" s="44">
        <f>E39+E41+E42</f>
        <v>35622.77080841639</v>
      </c>
      <c r="K43" s="10"/>
      <c r="L43" s="11"/>
    </row>
    <row r="44" spans="2:12" ht="15.95" customHeight="1" x14ac:dyDescent="0.2">
      <c r="K44" s="10"/>
      <c r="L44" s="11"/>
    </row>
  </sheetData>
  <sheetProtection sheet="1" objects="1" scenarios="1"/>
  <mergeCells count="15">
    <mergeCell ref="B43:D43"/>
    <mergeCell ref="F33:H34"/>
    <mergeCell ref="B39:D39"/>
    <mergeCell ref="B40:D40"/>
    <mergeCell ref="L1:L2"/>
    <mergeCell ref="C3:C5"/>
    <mergeCell ref="D3:E4"/>
    <mergeCell ref="B3:B5"/>
    <mergeCell ref="F3:G4"/>
    <mergeCell ref="H3:I4"/>
    <mergeCell ref="F23:F25"/>
    <mergeCell ref="H23:H25"/>
    <mergeCell ref="G23:G25"/>
    <mergeCell ref="I23:I25"/>
    <mergeCell ref="I33:I34"/>
  </mergeCells>
  <phoneticPr fontId="4" type="noConversion"/>
  <conditionalFormatting sqref="E39:E40">
    <cfRule type="expression" dxfId="94" priority="9" stopIfTrue="1">
      <formula>$B39=""</formula>
    </cfRule>
  </conditionalFormatting>
  <conditionalFormatting sqref="I23:I25 G23:G25">
    <cfRule type="expression" dxfId="93" priority="10" stopIfTrue="1">
      <formula>F$23=""</formula>
    </cfRule>
  </conditionalFormatting>
  <conditionalFormatting sqref="I6:I8 E6:E8 I13:I15 E13:E15">
    <cfRule type="expression" dxfId="92" priority="11" stopIfTrue="1">
      <formula>D6=""</formula>
    </cfRule>
  </conditionalFormatting>
  <conditionalFormatting sqref="G6:G8 G13:G15">
    <cfRule type="expression" dxfId="91" priority="12" stopIfTrue="1">
      <formula>AND(B6="",F6="")</formula>
    </cfRule>
    <cfRule type="expression" dxfId="90" priority="13" stopIfTrue="1">
      <formula>F6=""</formula>
    </cfRule>
  </conditionalFormatting>
  <conditionalFormatting sqref="I33:I34 H6:H8 I30:I31 E23 E29:E32 E41:E42 F6:F8 C6:D8 C13:D15 F13:F15 H13:H15">
    <cfRule type="cellIs" dxfId="89" priority="14" stopIfTrue="1" operator="equal">
      <formula>""</formula>
    </cfRule>
  </conditionalFormatting>
  <conditionalFormatting sqref="I29 E38">
    <cfRule type="cellIs" dxfId="88" priority="15" stopIfTrue="1" operator="equal">
      <formula>""</formula>
    </cfRule>
    <cfRule type="cellIs" dxfId="87" priority="16" stopIfTrue="1" operator="equal">
      <formula>"noch leer"</formula>
    </cfRule>
  </conditionalFormatting>
  <dataValidations count="2">
    <dataValidation type="whole" operator="lessThan" allowBlank="1" showInputMessage="1" showErrorMessage="1" errorTitle="FEHLER" error="Achtung: Dieser Wert muss negativ sein!" sqref="I30" xr:uid="{00000000-0002-0000-0600-000000000000}">
      <formula1>0</formula1>
    </dataValidation>
    <dataValidation type="whole" operator="lessThan" allowBlank="1" showInputMessage="1" showErrorMessage="1" errorTitle="FEHLER" error="Achtung Diesert Wert muss negativ sein!" sqref="I31" xr:uid="{00000000-0002-0000-0600-000001000000}">
      <formula1>0</formula1>
    </dataValidation>
  </dataValidations>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45" max="16383" man="1"/>
    <brk id="86"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tabColor indexed="10"/>
  </sheetPr>
  <dimension ref="A1:K193"/>
  <sheetViews>
    <sheetView showGridLines="0" zoomScaleNormal="100" workbookViewId="0">
      <selection activeCell="J26" sqref="J26"/>
    </sheetView>
  </sheetViews>
  <sheetFormatPr baseColWidth="10" defaultColWidth="0" defaultRowHeight="0" customHeight="1" zeroHeight="1" x14ac:dyDescent="0.2"/>
  <cols>
    <col min="1" max="1" width="2.7109375" style="14" customWidth="1"/>
    <col min="2" max="2" width="24.7109375" style="14" customWidth="1"/>
    <col min="3" max="6" width="9.7109375" style="14" customWidth="1"/>
    <col min="7" max="7" width="10.7109375" style="14" customWidth="1"/>
    <col min="8" max="8" width="9.7109375" style="14" customWidth="1"/>
    <col min="9" max="9" width="2.7109375" style="14" customWidth="1"/>
    <col min="10" max="10" width="0.85546875" style="14" customWidth="1"/>
    <col min="11" max="11" width="20.7109375" style="14" customWidth="1"/>
    <col min="12" max="16384" width="11.42578125" style="14" hidden="1"/>
  </cols>
  <sheetData>
    <row r="1" spans="1:11" ht="24.95" customHeight="1" x14ac:dyDescent="0.2">
      <c r="A1" s="17"/>
      <c r="B1" s="1232" t="s">
        <v>55</v>
      </c>
      <c r="C1" s="1233"/>
      <c r="D1" s="1233"/>
      <c r="E1" s="1233"/>
      <c r="F1" s="1233"/>
      <c r="G1" s="1233"/>
      <c r="H1" s="1233"/>
      <c r="I1" s="1233"/>
      <c r="J1" s="529"/>
      <c r="K1" s="1160" t="s">
        <v>11</v>
      </c>
    </row>
    <row r="2" spans="1:11" ht="20.100000000000001" customHeight="1" x14ac:dyDescent="0.2">
      <c r="J2" s="529"/>
      <c r="K2" s="1161"/>
    </row>
    <row r="3" spans="1:11" ht="12.75" x14ac:dyDescent="0.2">
      <c r="B3" s="1225" t="s">
        <v>56</v>
      </c>
      <c r="C3" s="1225"/>
      <c r="D3" s="1225"/>
      <c r="E3" s="1225"/>
      <c r="F3" s="1225"/>
      <c r="G3" s="1225"/>
      <c r="H3" s="1225"/>
      <c r="J3" s="529"/>
      <c r="K3" s="65"/>
    </row>
    <row r="4" spans="1:11" ht="12.75" x14ac:dyDescent="0.2">
      <c r="B4" s="66" t="str">
        <f>IF([1]Milch!B12="","",[1]Milch!B12)</f>
        <v>Durchschnittliche Anzahl der Laktationen</v>
      </c>
      <c r="C4" s="66"/>
      <c r="D4" s="67">
        <f>IF([1]Milch!O12="","",[1]Milch!O12)</f>
        <v>6</v>
      </c>
      <c r="E4" s="1226" t="s">
        <v>57</v>
      </c>
      <c r="F4" s="1226"/>
      <c r="G4" s="1226"/>
      <c r="H4" s="1226"/>
      <c r="J4" s="529"/>
      <c r="K4" s="65"/>
    </row>
    <row r="5" spans="1:11" ht="12.75" x14ac:dyDescent="0.2">
      <c r="B5" s="66" t="str">
        <f>IF([1]Milch!B14="","",[1]Milch!B14)</f>
        <v>Milchleistung</v>
      </c>
      <c r="C5" s="66"/>
      <c r="D5" s="69">
        <f>IF([1]Milch!O14="","",[1]Milch!O14)</f>
        <v>5200</v>
      </c>
      <c r="E5" s="70" t="s">
        <v>322</v>
      </c>
      <c r="F5" s="70"/>
      <c r="G5" s="71">
        <f>IF(D6="","",POWER(D6,0.75)*0.293)</f>
        <v>38.585463578953728</v>
      </c>
      <c r="H5" s="72">
        <f>IF(D6="","",POWER(D6,0.75)*3.9)</f>
        <v>513.59490770621005</v>
      </c>
      <c r="J5" s="529"/>
      <c r="K5" s="65"/>
    </row>
    <row r="6" spans="1:11" ht="12.75" x14ac:dyDescent="0.2">
      <c r="B6" s="66" t="str">
        <f>IF([1]Milch!B16="","",[1]Milch!B16)</f>
        <v>Lebendgewicht</v>
      </c>
      <c r="C6" s="66"/>
      <c r="D6" s="67">
        <f>IF([1]Milch!O16="","",[1]Milch!O16)</f>
        <v>670</v>
      </c>
      <c r="E6" s="70" t="s">
        <v>323</v>
      </c>
      <c r="F6" s="70"/>
      <c r="G6" s="71">
        <f>IF(OR(D13="",D15="",D16=""),"",((D15*100)*0.37+(D16*100)*0.21+0.95)*D13/360)</f>
        <v>45.413333333333334</v>
      </c>
      <c r="H6" s="72">
        <f>IF(OR(D13="",D16=""),"",(D16*1.984*10+10)*(D13/360))</f>
        <v>154.1880888888889</v>
      </c>
      <c r="J6" s="529"/>
      <c r="K6" s="65"/>
    </row>
    <row r="7" spans="1:11" ht="12.75" x14ac:dyDescent="0.2">
      <c r="B7" s="66" t="str">
        <f>IF([1]Milch!B18="","",[1]Milch!B18)</f>
        <v>Stallhaltungstage</v>
      </c>
      <c r="C7" s="73"/>
      <c r="D7" s="67">
        <f>IF([1]Milch!O18="","",[1]Milch!O18)</f>
        <v>270</v>
      </c>
      <c r="E7" s="70" t="s">
        <v>58</v>
      </c>
      <c r="F7" s="70"/>
      <c r="G7" s="71">
        <f>SUM(G5:G6)</f>
        <v>83.998796912287062</v>
      </c>
      <c r="H7" s="72">
        <f>SUM(H5:H6)</f>
        <v>667.78299659509889</v>
      </c>
      <c r="J7" s="529"/>
      <c r="K7" s="65"/>
    </row>
    <row r="8" spans="1:11" ht="12.75" x14ac:dyDescent="0.2">
      <c r="B8" s="74"/>
      <c r="C8" s="75" t="s">
        <v>59</v>
      </c>
      <c r="D8" s="75" t="s">
        <v>60</v>
      </c>
      <c r="E8" s="76" t="s">
        <v>61</v>
      </c>
      <c r="F8" s="70"/>
      <c r="G8" s="77">
        <f>IF(OR(G7="",D7=""),"",G7*D7)</f>
        <v>22679.675166317506</v>
      </c>
      <c r="H8" s="78">
        <f>IF(OR(H7="",D7=""),"",H7*D7/1000)</f>
        <v>180.30140908067671</v>
      </c>
      <c r="J8" s="529"/>
      <c r="K8" s="65"/>
    </row>
    <row r="9" spans="1:11" ht="12.75" x14ac:dyDescent="0.2">
      <c r="B9" s="66" t="str">
        <f>IF([1]Milch!B20="","",[1]Milch!B20)</f>
        <v>Molkreiliefermenge</v>
      </c>
      <c r="C9" s="69">
        <f>IF([1]Milch!O20="","",[1]Milch!O20)</f>
        <v>12000</v>
      </c>
      <c r="D9" s="79">
        <f>IF(OR(C9="",C11=""),"",C9/C11)</f>
        <v>2000</v>
      </c>
      <c r="E9" s="70" t="str">
        <f>IF([1]Milch!G12="","",[1]Milch!G12)</f>
        <v>Kraftfutterbedarf</v>
      </c>
      <c r="F9" s="70"/>
      <c r="G9" s="70"/>
      <c r="H9" s="80">
        <f>IF([1]Milch!R12="","",[1]Milch!R12)</f>
        <v>800</v>
      </c>
      <c r="J9" s="529"/>
      <c r="K9" s="65"/>
    </row>
    <row r="10" spans="1:11" ht="12.75" x14ac:dyDescent="0.2">
      <c r="B10" s="66" t="str">
        <f>IF([1]Milch!B22="","",[1]Milch!B22)</f>
        <v>Verarbeitungsmilch</v>
      </c>
      <c r="C10" s="69">
        <f>IF([1]Milch!O22="","",[1]Milch!O22)</f>
        <v>19200</v>
      </c>
      <c r="D10" s="79">
        <f>IF(OR(C10="",C11=""),"",C10/C11)</f>
        <v>3200</v>
      </c>
      <c r="E10" s="81" t="s">
        <v>62</v>
      </c>
      <c r="F10" s="81"/>
      <c r="G10" s="82" t="str">
        <f>IF([1]Milch!G16="","",[1]Milch!G16)</f>
        <v>MJ NEL/kg</v>
      </c>
      <c r="H10" s="82" t="str">
        <f>IF([1]Milch!G18="","",[1]Milch!G18)</f>
        <v>g RP/kg</v>
      </c>
      <c r="J10" s="529"/>
      <c r="K10" s="65"/>
    </row>
    <row r="11" spans="1:11" ht="13.5" thickBot="1" x14ac:dyDescent="0.25">
      <c r="B11" s="66" t="str">
        <f>IF([1]Milch!B24="","",[1]Milch!B24)</f>
        <v>Ø Anzahl der Kühe</v>
      </c>
      <c r="C11" s="69">
        <f>IF([1]Milch!O24="","",[1]Milch!O24)</f>
        <v>6</v>
      </c>
      <c r="D11" s="83"/>
      <c r="E11" s="84" t="s">
        <v>63</v>
      </c>
      <c r="F11" s="84"/>
      <c r="G11" s="85">
        <f>IF([1]Milch!R16="","",[1]Milch!R16)</f>
        <v>5</v>
      </c>
      <c r="H11" s="86">
        <f>IF([1]Milch!R18="","",[1]Milch!R18)</f>
        <v>130</v>
      </c>
      <c r="J11" s="529"/>
      <c r="K11" s="65"/>
    </row>
    <row r="12" spans="1:11" ht="12.75" customHeight="1" x14ac:dyDescent="0.2">
      <c r="B12" s="87" t="s">
        <v>64</v>
      </c>
      <c r="C12" s="82" t="s">
        <v>59</v>
      </c>
      <c r="D12" s="82" t="s">
        <v>60</v>
      </c>
      <c r="E12" s="1200" t="s">
        <v>65</v>
      </c>
      <c r="F12" s="1227">
        <f>D5-H12</f>
        <v>3820.6896551724139</v>
      </c>
      <c r="G12" s="1230" t="s">
        <v>66</v>
      </c>
      <c r="H12" s="1227">
        <f>H9/H15</f>
        <v>1379.3103448275863</v>
      </c>
      <c r="J12" s="529"/>
      <c r="K12" s="65"/>
    </row>
    <row r="13" spans="1:11" ht="11.25" customHeight="1" x14ac:dyDescent="0.2">
      <c r="B13" s="88" t="s">
        <v>67</v>
      </c>
      <c r="C13" s="78">
        <f>IF(OR(D13="",C11=""),"",D13*C11)</f>
        <v>31200</v>
      </c>
      <c r="D13" s="78">
        <f>D5</f>
        <v>5200</v>
      </c>
      <c r="E13" s="1200"/>
      <c r="F13" s="1228"/>
      <c r="G13" s="1231"/>
      <c r="H13" s="1228"/>
      <c r="J13" s="529"/>
      <c r="K13" s="65"/>
    </row>
    <row r="14" spans="1:11" ht="13.9" customHeight="1" thickBot="1" x14ac:dyDescent="0.25">
      <c r="B14" s="81" t="s">
        <v>68</v>
      </c>
      <c r="C14" s="81" t="s">
        <v>59</v>
      </c>
      <c r="D14" s="81" t="s">
        <v>60</v>
      </c>
      <c r="E14" s="1200"/>
      <c r="F14" s="1229"/>
      <c r="G14" s="1231"/>
      <c r="H14" s="1229"/>
      <c r="J14" s="529"/>
      <c r="K14" s="65"/>
    </row>
    <row r="15" spans="1:11" ht="12.75" x14ac:dyDescent="0.2">
      <c r="B15" s="66" t="str">
        <f>IF([1]Milch!B26="","",[1]Milch!B26)</f>
        <v>Fett</v>
      </c>
      <c r="C15" s="66"/>
      <c r="D15" s="89">
        <f>IF([1]Milch!O26="","",[1]Milch!O26)</f>
        <v>0.04</v>
      </c>
      <c r="E15" s="1200" t="str">
        <f>IF([1]Milch!G20="","",[1]Milch!G20)</f>
        <v>Umwandlungsschlüssel</v>
      </c>
      <c r="F15" s="1234"/>
      <c r="G15" s="1234"/>
      <c r="H15" s="1223">
        <f>IF([1]Milch!R20="","",[1]Milch!R20)</f>
        <v>0.57999999999999996</v>
      </c>
      <c r="J15" s="529"/>
      <c r="K15" s="65"/>
    </row>
    <row r="16" spans="1:11" ht="12.75" x14ac:dyDescent="0.2">
      <c r="B16" s="66" t="str">
        <f>IF([1]Milch!B28="","",[1]Milch!B28)</f>
        <v>Eiweiß</v>
      </c>
      <c r="C16" s="66"/>
      <c r="D16" s="89">
        <f>IF([1]Milch!O28="","",[1]Milch!O28)</f>
        <v>3.4000000000000002E-2</v>
      </c>
      <c r="E16" s="1234"/>
      <c r="F16" s="1234"/>
      <c r="G16" s="1234"/>
      <c r="H16" s="1224"/>
      <c r="J16" s="529"/>
      <c r="K16" s="65"/>
    </row>
    <row r="17" spans="2:11" ht="12.75" x14ac:dyDescent="0.2">
      <c r="J17" s="529"/>
      <c r="K17" s="65"/>
    </row>
    <row r="18" spans="2:11" ht="12.75" x14ac:dyDescent="0.2">
      <c r="B18" s="1222" t="s">
        <v>69</v>
      </c>
      <c r="C18" s="1222"/>
      <c r="D18" s="1222"/>
      <c r="E18" s="1222"/>
      <c r="F18" s="1222"/>
      <c r="G18" s="1222"/>
      <c r="H18" s="1222"/>
      <c r="J18" s="529"/>
      <c r="K18" s="65"/>
    </row>
    <row r="19" spans="2:11" ht="12.75" x14ac:dyDescent="0.2">
      <c r="B19" s="88" t="s">
        <v>70</v>
      </c>
      <c r="C19" s="90">
        <f>D9</f>
        <v>2000</v>
      </c>
      <c r="D19" s="83"/>
      <c r="G19" s="83"/>
      <c r="H19" s="83"/>
      <c r="J19" s="529"/>
      <c r="K19" s="65"/>
    </row>
    <row r="20" spans="2:11" ht="12.75" x14ac:dyDescent="0.2">
      <c r="B20" s="88" t="str">
        <f>IF([1]Milch!B33="","",[1]Milch!B33)</f>
        <v>Ab-Hof</v>
      </c>
      <c r="C20" s="91">
        <f>IF([1]Milch!O33="","",[1]Milch!O33)</f>
        <v>900</v>
      </c>
      <c r="D20" s="83"/>
      <c r="E20" s="92" t="s">
        <v>71</v>
      </c>
      <c r="F20" s="93">
        <f>IF(SUM(C19:C21,C25:C28,C29:C30,C32)=0,"",SUM(C19:C21,C25:C28,C29:C30,C32))</f>
        <v>5200</v>
      </c>
      <c r="G20" s="83"/>
      <c r="H20" s="83"/>
      <c r="J20" s="529"/>
      <c r="K20" s="65"/>
    </row>
    <row r="21" spans="2:11" ht="12.75" x14ac:dyDescent="0.2">
      <c r="B21" s="88" t="str">
        <f>IF([1]Milch!B35="","",[1]Milch!B35)</f>
        <v>Eigen- u. Gästeverbrauch</v>
      </c>
      <c r="C21" s="91">
        <f>IF([1]Milch!O35="","",[1]Milch!O35)</f>
        <v>120</v>
      </c>
      <c r="D21" s="83"/>
      <c r="E21" s="83"/>
      <c r="F21" s="83"/>
      <c r="G21" s="83"/>
      <c r="H21" s="83"/>
      <c r="J21" s="529"/>
      <c r="K21" s="65"/>
    </row>
    <row r="22" spans="2:11" ht="13.7" customHeight="1" x14ac:dyDescent="0.2">
      <c r="B22" s="1237" t="s">
        <v>72</v>
      </c>
      <c r="C22" s="1237"/>
      <c r="D22" s="1237"/>
      <c r="E22" s="1237"/>
      <c r="F22" s="1237"/>
      <c r="G22" s="1237"/>
      <c r="H22" s="1237"/>
      <c r="J22" s="529"/>
      <c r="K22" s="65"/>
    </row>
    <row r="23" spans="2:11" ht="13.7" customHeight="1" x14ac:dyDescent="0.2">
      <c r="B23" s="1238"/>
      <c r="C23" s="1218" t="s">
        <v>73</v>
      </c>
      <c r="D23" s="1219" t="s">
        <v>74</v>
      </c>
      <c r="E23" s="1219" t="s">
        <v>75</v>
      </c>
      <c r="F23" s="1218" t="s">
        <v>76</v>
      </c>
      <c r="G23" s="1218" t="s">
        <v>77</v>
      </c>
      <c r="H23" s="1219" t="s">
        <v>78</v>
      </c>
      <c r="J23" s="529"/>
      <c r="K23" s="65"/>
    </row>
    <row r="24" spans="2:11" ht="13.7" customHeight="1" x14ac:dyDescent="0.2">
      <c r="B24" s="1238"/>
      <c r="C24" s="1219"/>
      <c r="D24" s="1219"/>
      <c r="E24" s="1219"/>
      <c r="F24" s="1219"/>
      <c r="G24" s="1219"/>
      <c r="H24" s="1219"/>
      <c r="J24" s="529"/>
      <c r="K24" s="65"/>
    </row>
    <row r="25" spans="2:11" ht="13.5" thickBot="1" x14ac:dyDescent="0.25">
      <c r="B25" s="88" t="str">
        <f>IF([1]Milch!B39="","",[1]Milch!B39)</f>
        <v>Butter</v>
      </c>
      <c r="C25" s="78">
        <f>IF(SUM(D25:E25)=0,"",SUM(D25:E25)*G25)</f>
        <v>690</v>
      </c>
      <c r="D25" s="94">
        <f>IF([1]Milch!O39="","",[1]Milch!O39)</f>
        <v>30</v>
      </c>
      <c r="E25" s="91" t="str">
        <f>IF([1]Milch!P39="","",[1]Milch!P39)</f>
        <v/>
      </c>
      <c r="F25" s="95">
        <f>IF([1]Milch!Q39="","",[1]Milch!Q39)</f>
        <v>3</v>
      </c>
      <c r="G25" s="91">
        <f>IF([1]Milch!K39="","",[1]Milch!K39)</f>
        <v>23</v>
      </c>
      <c r="H25" s="96">
        <f>IF(OR(D25="",G25=""),0,(D25*G25)-(D25*G25)/7.5)</f>
        <v>598</v>
      </c>
      <c r="I25" s="97"/>
      <c r="J25" s="529"/>
      <c r="K25" s="65"/>
    </row>
    <row r="26" spans="2:11" ht="13.5" thickBot="1" x14ac:dyDescent="0.25">
      <c r="B26" s="88" t="str">
        <f>IF([1]Milch!B41="","",[1]Milch!B41)</f>
        <v>Jogurt</v>
      </c>
      <c r="C26" s="1107">
        <f>D26*G26</f>
        <v>900</v>
      </c>
      <c r="D26" s="94">
        <f>IF([1]Milch!O41="","",[1]Milch!O41)</f>
        <v>900</v>
      </c>
      <c r="E26" s="90" t="str">
        <f>IF([1]Milch!P41="","",[1]Milch!P41)</f>
        <v/>
      </c>
      <c r="F26" s="95">
        <f>IF([1]Milch!Q41="","",[1]Milch!Q41)</f>
        <v>4.5</v>
      </c>
      <c r="G26" s="91">
        <f>IF([1]Milch!K41="","",[1]Milch!K41)</f>
        <v>1</v>
      </c>
      <c r="H26" s="98"/>
      <c r="I26" s="97"/>
      <c r="J26" s="529"/>
      <c r="K26" s="65"/>
    </row>
    <row r="27" spans="2:11" ht="12.75" x14ac:dyDescent="0.2">
      <c r="B27" s="88" t="str">
        <f>IF([1]Milch!B43="","",[1]Milch!B43)</f>
        <v>Topfen aus Vollmilch</v>
      </c>
      <c r="C27" s="78" t="str">
        <f>IF(SUM(D27:E27)=0,"",SUM(D27:E27)*G27)</f>
        <v/>
      </c>
      <c r="D27" s="94" t="str">
        <f>IF([1]Milch!O43="","",[1]Milch!O43)</f>
        <v/>
      </c>
      <c r="E27" s="90" t="str">
        <f>IF([1]Milch!P43="","",[1]Milch!P43)</f>
        <v/>
      </c>
      <c r="F27" s="95">
        <f>IF([1]Milch!Q43="","",[1]Milch!Q43)</f>
        <v>4.5</v>
      </c>
      <c r="G27" s="91">
        <f>IF([1]Milch!K43="","",[1]Milch!K43)</f>
        <v>8</v>
      </c>
      <c r="H27" s="98"/>
      <c r="I27" s="97"/>
      <c r="J27" s="529"/>
      <c r="K27" s="65"/>
    </row>
    <row r="28" spans="2:11" ht="12.75" x14ac:dyDescent="0.2">
      <c r="B28" s="88" t="str">
        <f>IF([1]Milch!B45="","",[1]Milch!B45)</f>
        <v>Käse</v>
      </c>
      <c r="C28" s="78">
        <f>IF(B28="Graukäse",H24*70%,IF(SUM(D28:E28)=0,"",SUM(D28:E28)*G28))</f>
        <v>340</v>
      </c>
      <c r="D28" s="94">
        <f>IF(B28="Graukäse",C28/G28,IF([1]Milch!O45="","",[1]Milch!O45))</f>
        <v>40</v>
      </c>
      <c r="E28" s="91" t="str">
        <f>IF([1]Milch!P45="","",[1]Milch!P45)</f>
        <v/>
      </c>
      <c r="F28" s="95">
        <f>IF([1]Milch!Q45="","",[1]Milch!Q45)</f>
        <v>2.75</v>
      </c>
      <c r="G28" s="91">
        <f>IF([1]Milch!K45="","",[1]Milch!K45)</f>
        <v>8.5</v>
      </c>
      <c r="H28" s="98"/>
      <c r="I28" s="97"/>
      <c r="J28" s="529"/>
      <c r="K28" s="65"/>
    </row>
    <row r="29" spans="2:11" ht="12.75" x14ac:dyDescent="0.2">
      <c r="B29" s="88" t="str">
        <f>IF([1]Milch!B47="","",[1]Milch!B47)</f>
        <v/>
      </c>
      <c r="C29" s="530" t="str">
        <f>IF(B29="Graukäse",H25*70%,IF(SUM(D29:E29)=0,"",SUM(D29:E29)*G29))</f>
        <v/>
      </c>
      <c r="D29" s="94" t="str">
        <f>IF(B29="Graukäse",C29/G29,IF([1]Milch!O47="","",[1]Milch!O47))</f>
        <v/>
      </c>
      <c r="E29" s="90" t="str">
        <f>IF([1]Milch!P47="","",[1]Milch!P47)</f>
        <v/>
      </c>
      <c r="F29" s="95" t="str">
        <f>IF([1]Milch!Q47="","",[1]Milch!Q47)</f>
        <v/>
      </c>
      <c r="G29" s="91" t="str">
        <f>IF([1]Milch!K47="","",[1]Milch!K47)</f>
        <v/>
      </c>
      <c r="H29" s="98"/>
      <c r="I29" s="97"/>
      <c r="J29" s="529"/>
      <c r="K29" s="65"/>
    </row>
    <row r="30" spans="2:11" ht="12.75" x14ac:dyDescent="0.2">
      <c r="B30" s="88" t="str">
        <f>IF([1]Milch!B49="","",[1]Milch!B49)</f>
        <v/>
      </c>
      <c r="C30" s="530" t="str">
        <f>IF(B30="Graukäse",H26*70%,IF(SUM(D30:E30)=0,"",SUM(D30:E30)*G30))</f>
        <v/>
      </c>
      <c r="D30" s="99" t="str">
        <f>IF(B30="Graukäse",C30/G30,IF([1]Milch!O48="","",[1]Milch!O48))</f>
        <v/>
      </c>
      <c r="E30" s="90" t="str">
        <f>IF([1]Milch!P49="","",[1]Milch!P49)</f>
        <v/>
      </c>
      <c r="F30" s="100" t="str">
        <f>IF([1]Milch!Q49="","",[1]Milch!Q49)</f>
        <v/>
      </c>
      <c r="G30" s="101" t="str">
        <f>IF([1]Milch!K49="","",[1]Milch!K49)</f>
        <v/>
      </c>
      <c r="H30" s="102"/>
      <c r="J30" s="529"/>
      <c r="K30" s="65"/>
    </row>
    <row r="31" spans="2:11" ht="12.75" x14ac:dyDescent="0.2">
      <c r="B31" s="1222" t="s">
        <v>79</v>
      </c>
      <c r="C31" s="1222"/>
      <c r="D31" s="1222"/>
      <c r="E31" s="1222"/>
      <c r="F31" s="1222"/>
      <c r="G31" s="1222"/>
      <c r="H31" s="1222"/>
      <c r="J31" s="529"/>
      <c r="K31" s="65"/>
    </row>
    <row r="32" spans="2:11" ht="12.75" x14ac:dyDescent="0.2">
      <c r="B32" s="88" t="s">
        <v>80</v>
      </c>
      <c r="C32" s="96">
        <f>IF(D13="","",D13-SUM(C19:C21,C25:C28,C29:C30))</f>
        <v>250</v>
      </c>
      <c r="D32" s="83"/>
      <c r="E32" s="83"/>
      <c r="F32" s="83"/>
      <c r="G32" s="56"/>
      <c r="H32" s="83"/>
      <c r="J32" s="529"/>
      <c r="K32" s="65"/>
    </row>
    <row r="33" spans="2:11" ht="12.75" x14ac:dyDescent="0.2">
      <c r="B33" s="88" t="s">
        <v>78</v>
      </c>
      <c r="C33" s="78">
        <f>H25-IF(B28="Graukäse",C28,IF(B29="Graukäse",C29,IF(B30="Graukäse",C30,0)))</f>
        <v>598</v>
      </c>
      <c r="D33" s="83"/>
      <c r="E33" s="83"/>
      <c r="F33" s="83"/>
      <c r="G33" s="83"/>
      <c r="H33" s="83"/>
      <c r="J33" s="529"/>
      <c r="K33" s="65"/>
    </row>
    <row r="34" spans="2:11" ht="12.75" x14ac:dyDescent="0.2">
      <c r="J34" s="529"/>
      <c r="K34" s="65"/>
    </row>
    <row r="35" spans="2:11" ht="12.75" x14ac:dyDescent="0.2">
      <c r="B35" s="1222" t="s">
        <v>81</v>
      </c>
      <c r="C35" s="1222"/>
      <c r="D35" s="1222"/>
      <c r="E35" s="1222"/>
      <c r="F35" s="1222"/>
      <c r="G35" s="1222"/>
      <c r="H35" s="1222"/>
      <c r="J35" s="529"/>
      <c r="K35" s="65"/>
    </row>
    <row r="36" spans="2:11" ht="12.75" x14ac:dyDescent="0.2">
      <c r="B36" s="1220" t="str">
        <f>IF([1]Milch!B59="","",[1]Milch!B59)</f>
        <v>Altkuherlös/kg LG</v>
      </c>
      <c r="C36" s="1221"/>
      <c r="D36" s="103">
        <f>IF([1]Milch!O59="","",[1]Milch!O59)</f>
        <v>0.5</v>
      </c>
      <c r="E36" s="104"/>
      <c r="F36" s="104"/>
      <c r="G36" s="104"/>
      <c r="H36" s="104"/>
      <c r="J36" s="529"/>
      <c r="K36" s="65"/>
    </row>
    <row r="37" spans="2:11" ht="12.75" x14ac:dyDescent="0.2">
      <c r="B37" s="1220" t="str">
        <f>IF([1]Milch!B61="","",[1]Milch!B61)</f>
        <v>Kälberpreis weiblich</v>
      </c>
      <c r="C37" s="1221"/>
      <c r="D37" s="103">
        <f>IF([1]Milch!O61="","",[1]Milch!O61)</f>
        <v>370</v>
      </c>
      <c r="E37" s="104" t="str">
        <f>IF([1]Milch!$B$63="","",[1]Milch!$B$63)</f>
        <v>Abkalbequote</v>
      </c>
      <c r="F37" s="518">
        <f>IF([1]Milch!$E$63="","",[1]Milch!$E$63)</f>
        <v>0.9</v>
      </c>
      <c r="G37" s="104"/>
      <c r="H37" s="104"/>
      <c r="J37" s="529"/>
      <c r="K37" s="65"/>
    </row>
    <row r="38" spans="2:11" ht="12.75" x14ac:dyDescent="0.2">
      <c r="B38" s="1220" t="str">
        <f>IF([1]Milch!G59="","",[1]Milch!G59)</f>
        <v>Kälberpreis männlich</v>
      </c>
      <c r="C38" s="1221"/>
      <c r="D38" s="103">
        <f>IF([1]Milch!R59="","",[1]Milch!R59)</f>
        <v>140</v>
      </c>
      <c r="J38" s="529"/>
      <c r="K38" s="65"/>
    </row>
    <row r="39" spans="2:11" ht="12.75" x14ac:dyDescent="0.2">
      <c r="B39" s="1220" t="str">
        <f>IF([1]Milch!G61="","",[1]Milch!G61)</f>
        <v>Aufzuchtkosten Rind</v>
      </c>
      <c r="C39" s="1221"/>
      <c r="D39" s="103">
        <f>IF([1]Milch!R61="","",[1]Milch!R61)</f>
        <v>790</v>
      </c>
      <c r="E39" s="105" t="s">
        <v>82</v>
      </c>
      <c r="F39" s="105"/>
      <c r="G39" s="105"/>
      <c r="H39" s="105"/>
      <c r="J39" s="529"/>
      <c r="K39" s="65"/>
    </row>
    <row r="40" spans="2:11" ht="12.75" x14ac:dyDescent="0.2">
      <c r="B40" s="1222" t="s">
        <v>83</v>
      </c>
      <c r="C40" s="1222"/>
      <c r="D40" s="1222"/>
      <c r="E40" s="1222"/>
      <c r="F40" s="1222"/>
      <c r="G40" s="1222"/>
      <c r="H40" s="1222"/>
      <c r="J40" s="529"/>
      <c r="K40" s="65"/>
    </row>
    <row r="41" spans="2:11" ht="13.5" thickBot="1" x14ac:dyDescent="0.25">
      <c r="B41" s="1243"/>
      <c r="C41" s="1243"/>
      <c r="D41" s="107" t="s">
        <v>84</v>
      </c>
      <c r="E41" s="108" t="s">
        <v>238</v>
      </c>
      <c r="F41" s="108" t="s">
        <v>85</v>
      </c>
      <c r="G41" s="106"/>
      <c r="H41" s="106"/>
      <c r="J41" s="529"/>
      <c r="K41" s="65"/>
    </row>
    <row r="42" spans="2:11" ht="13.5" thickBot="1" x14ac:dyDescent="0.25">
      <c r="B42" s="84" t="str">
        <f>IF([1]Milch!B67="","-",[1]Milch!B67)</f>
        <v>Molkereigeld</v>
      </c>
      <c r="C42" s="84"/>
      <c r="D42" s="103">
        <f>IF([1]Milch!O67="","",[1]Milch!O67)</f>
        <v>0.33</v>
      </c>
      <c r="E42" s="606">
        <f>IF(C19="","",C19)</f>
        <v>2000</v>
      </c>
      <c r="F42" s="109">
        <f t="shared" ref="F42:F44" si="0">D42*E42</f>
        <v>660</v>
      </c>
      <c r="G42" s="83"/>
      <c r="H42" s="83"/>
      <c r="J42" s="529"/>
      <c r="K42" s="65"/>
    </row>
    <row r="43" spans="2:11" ht="13.5" thickBot="1" x14ac:dyDescent="0.25">
      <c r="B43" s="84" t="str">
        <f>IF([1]Milch!B69="","-",[1]Milch!B69)</f>
        <v>Ab-Hof</v>
      </c>
      <c r="C43" s="84"/>
      <c r="D43" s="103">
        <f>IF([1]Milch!O69="","",[1]Milch!O69)</f>
        <v>0.6</v>
      </c>
      <c r="E43" s="606">
        <f>IF(C20="","",C20)</f>
        <v>900</v>
      </c>
      <c r="F43" s="525">
        <f t="shared" si="0"/>
        <v>540</v>
      </c>
      <c r="G43" s="83"/>
      <c r="H43" s="83"/>
      <c r="J43" s="529"/>
      <c r="K43" s="65"/>
    </row>
    <row r="44" spans="2:11" ht="13.5" thickBot="1" x14ac:dyDescent="0.25">
      <c r="B44" s="84" t="str">
        <f>IF([1]Milch!B71="","-",[1]Milch!B71)</f>
        <v>Eigen- u. Gästeverbrauch</v>
      </c>
      <c r="C44" s="84"/>
      <c r="D44" s="103">
        <f>IF([1]Milch!O71="","",[1]Milch!O71)</f>
        <v>0.6</v>
      </c>
      <c r="E44" s="606">
        <f>IF(C21="","",C21)</f>
        <v>120</v>
      </c>
      <c r="F44" s="109">
        <f t="shared" si="0"/>
        <v>72</v>
      </c>
      <c r="G44" s="83"/>
      <c r="H44" s="83"/>
      <c r="J44" s="529"/>
      <c r="K44" s="65"/>
    </row>
    <row r="45" spans="2:11" ht="12.75" x14ac:dyDescent="0.2">
      <c r="B45" s="84" t="str">
        <f>IF([1]Milch!B73="","-",[1]Milch!B73)</f>
        <v>Butter</v>
      </c>
      <c r="C45" s="84"/>
      <c r="D45" s="103">
        <f>IF([1]Milch!O73="","",[1]Milch!O73)</f>
        <v>5.9</v>
      </c>
      <c r="E45" s="607">
        <f t="shared" ref="E45:E50" si="1">IF(AND(D25="",E25=""),"",SUM(D25:E25))</f>
        <v>30</v>
      </c>
      <c r="F45" s="531">
        <f>D45*E45</f>
        <v>177</v>
      </c>
      <c r="G45" s="83"/>
      <c r="H45" s="83"/>
      <c r="J45" s="529"/>
      <c r="K45" s="65"/>
    </row>
    <row r="46" spans="2:11" ht="12.75" x14ac:dyDescent="0.2">
      <c r="B46" s="84" t="str">
        <f>IF([1]Milch!B75="","-",[1]Milch!B75)</f>
        <v>Jogurt</v>
      </c>
      <c r="C46" s="110"/>
      <c r="D46" s="103">
        <f>IF([1]Milch!O75="","",[1]Milch!O75)</f>
        <v>1.6</v>
      </c>
      <c r="E46" s="607">
        <f t="shared" si="1"/>
        <v>900</v>
      </c>
      <c r="F46" s="634">
        <f>D46*E46</f>
        <v>1440</v>
      </c>
      <c r="G46" s="83"/>
      <c r="H46" s="83"/>
      <c r="J46" s="529"/>
      <c r="K46" s="65"/>
    </row>
    <row r="47" spans="2:11" ht="13.5" thickBot="1" x14ac:dyDescent="0.25">
      <c r="B47" s="84" t="str">
        <f>IF([1]Milch!G67="","-",[1]Milch!G67)</f>
        <v>Topfen aus Vollmilch</v>
      </c>
      <c r="C47" s="110"/>
      <c r="D47" s="103">
        <f>IF([1]Milch!R67="","",[1]Milch!R67)</f>
        <v>2.4</v>
      </c>
      <c r="E47" s="607" t="str">
        <f t="shared" si="1"/>
        <v/>
      </c>
      <c r="F47" s="1122"/>
      <c r="G47" s="83"/>
      <c r="H47" s="83"/>
      <c r="J47" s="529"/>
      <c r="K47" s="65"/>
    </row>
    <row r="48" spans="2:11" ht="13.5" thickBot="1" x14ac:dyDescent="0.25">
      <c r="B48" s="84" t="str">
        <f>IF([1]Milch!G69="","-",[1]Milch!G69)</f>
        <v>Käse</v>
      </c>
      <c r="C48" s="84"/>
      <c r="D48" s="103">
        <f>IF([1]Milch!R69="","",[1]Milch!R69)</f>
        <v>8</v>
      </c>
      <c r="E48" s="606">
        <f t="shared" si="1"/>
        <v>40</v>
      </c>
      <c r="F48" s="109">
        <f>D48*E48</f>
        <v>320</v>
      </c>
      <c r="G48" s="83"/>
      <c r="H48" s="83"/>
      <c r="J48" s="529"/>
      <c r="K48" s="65"/>
    </row>
    <row r="49" spans="2:11" ht="12.75" x14ac:dyDescent="0.2">
      <c r="B49" s="84" t="str">
        <f>IF([1]Milch!G71="","-",[1]Milch!G71)</f>
        <v>-</v>
      </c>
      <c r="C49" s="110"/>
      <c r="D49" s="103" t="str">
        <f>IF([1]Milch!R71="","",[1]Milch!R71)</f>
        <v/>
      </c>
      <c r="E49" s="607" t="str">
        <f t="shared" si="1"/>
        <v/>
      </c>
      <c r="F49" s="531"/>
      <c r="G49" s="83"/>
      <c r="H49" s="83"/>
      <c r="J49" s="529"/>
      <c r="K49" s="65"/>
    </row>
    <row r="50" spans="2:11" ht="12.75" x14ac:dyDescent="0.2">
      <c r="B50" s="84" t="str">
        <f>IF([1]Milch!G73="","-",[1]Milch!G73)</f>
        <v>-</v>
      </c>
      <c r="C50" s="110"/>
      <c r="D50" s="103" t="str">
        <f>IF([1]Milch!R73="","",[1]Milch!R73)</f>
        <v/>
      </c>
      <c r="E50" s="607" t="str">
        <f t="shared" si="1"/>
        <v/>
      </c>
      <c r="F50" s="532"/>
      <c r="G50" s="83"/>
      <c r="H50" s="83"/>
      <c r="J50" s="529"/>
      <c r="K50" s="65"/>
    </row>
    <row r="51" spans="2:11" ht="13.5" thickBot="1" x14ac:dyDescent="0.25">
      <c r="B51" s="84" t="str">
        <f>IF([1]Milch!G75="","-",[1]Milch!G75)</f>
        <v>Magermilch</v>
      </c>
      <c r="C51" s="84"/>
      <c r="D51" s="103">
        <f>IF([1]Milch!R75="","",[1]Milch!R75)</f>
        <v>0.04</v>
      </c>
      <c r="E51" s="607">
        <f>IF(C33="","",C33)</f>
        <v>598</v>
      </c>
      <c r="F51" s="532">
        <f>D51*E51</f>
        <v>23.92</v>
      </c>
      <c r="G51" s="83"/>
      <c r="H51" s="83"/>
      <c r="J51" s="529"/>
      <c r="K51" s="65"/>
    </row>
    <row r="52" spans="2:11" ht="13.5" thickBot="1" x14ac:dyDescent="0.25">
      <c r="B52" s="1241" t="s">
        <v>86</v>
      </c>
      <c r="C52" s="1242"/>
      <c r="D52" s="111"/>
      <c r="E52" s="111"/>
      <c r="F52" s="112">
        <f>SUM(F42:F51)</f>
        <v>3232.92</v>
      </c>
      <c r="G52" s="111"/>
      <c r="H52" s="111"/>
      <c r="J52" s="529"/>
      <c r="K52" s="65"/>
    </row>
    <row r="53" spans="2:11" ht="13.5" thickBot="1" x14ac:dyDescent="0.25">
      <c r="B53" s="88" t="s">
        <v>87</v>
      </c>
      <c r="C53" s="88"/>
      <c r="D53" s="83"/>
      <c r="E53" s="113"/>
      <c r="F53" s="109">
        <f>D36*D6/D4</f>
        <v>55.833333333333336</v>
      </c>
      <c r="G53" s="83"/>
      <c r="H53" s="83"/>
      <c r="J53" s="529"/>
      <c r="K53" s="65"/>
    </row>
    <row r="54" spans="2:11" ht="13.5" thickBot="1" x14ac:dyDescent="0.25">
      <c r="B54" s="88" t="s">
        <v>88</v>
      </c>
      <c r="C54" s="88"/>
      <c r="D54" s="83"/>
      <c r="E54" s="113"/>
      <c r="F54" s="109">
        <f>AVERAGE(D37:D38)*F37</f>
        <v>229.5</v>
      </c>
      <c r="G54" s="83"/>
      <c r="H54" s="83"/>
      <c r="J54" s="529"/>
      <c r="K54" s="65"/>
    </row>
    <row r="55" spans="2:11" ht="13.5" thickBot="1" x14ac:dyDescent="0.25">
      <c r="B55" s="114" t="s">
        <v>89</v>
      </c>
      <c r="C55" s="114"/>
      <c r="D55" s="114"/>
      <c r="E55" s="114"/>
      <c r="F55" s="112">
        <f>SUM(F52:F54)</f>
        <v>3518.2533333333336</v>
      </c>
      <c r="G55" s="114"/>
      <c r="H55" s="115">
        <f>IF(F55="","",F55)</f>
        <v>3518.2533333333336</v>
      </c>
      <c r="J55" s="529"/>
      <c r="K55" s="65"/>
    </row>
    <row r="56" spans="2:11" ht="12.75" x14ac:dyDescent="0.2">
      <c r="J56" s="529"/>
      <c r="K56" s="65"/>
    </row>
    <row r="57" spans="2:11" ht="12.75" customHeight="1" x14ac:dyDescent="0.2">
      <c r="B57" s="68" t="s">
        <v>90</v>
      </c>
      <c r="C57" s="68"/>
      <c r="D57" s="68"/>
      <c r="E57" s="68"/>
      <c r="F57" s="68"/>
      <c r="G57" s="68"/>
      <c r="H57" s="68"/>
      <c r="J57" s="529"/>
      <c r="K57" s="65"/>
    </row>
    <row r="58" spans="2:11" ht="13.5" thickBot="1" x14ac:dyDescent="0.25">
      <c r="B58" s="1222" t="s">
        <v>91</v>
      </c>
      <c r="C58" s="1222"/>
      <c r="D58" s="82" t="s">
        <v>84</v>
      </c>
      <c r="E58" s="82" t="s">
        <v>92</v>
      </c>
      <c r="F58" s="82" t="s">
        <v>85</v>
      </c>
      <c r="G58" s="82"/>
      <c r="H58" s="82"/>
      <c r="J58" s="529"/>
      <c r="K58" s="65"/>
    </row>
    <row r="59" spans="2:11" ht="13.5" thickBot="1" x14ac:dyDescent="0.25">
      <c r="B59" s="1239" t="str">
        <f>IF([1]Milch!B81="","",[1]Milch!B81)</f>
        <v>Bestandesergänzung</v>
      </c>
      <c r="C59" s="1240"/>
      <c r="D59" s="103" t="str">
        <f>IF([1]Milch!O81="","",[1]Milch!O81)</f>
        <v/>
      </c>
      <c r="E59" s="116"/>
      <c r="F59" s="117">
        <f>D39/D4</f>
        <v>131.66666666666666</v>
      </c>
      <c r="G59" s="83"/>
      <c r="H59" s="83"/>
      <c r="J59" s="529"/>
      <c r="K59" s="65"/>
    </row>
    <row r="60" spans="2:11" ht="13.5" thickBot="1" x14ac:dyDescent="0.25">
      <c r="B60" s="1239" t="str">
        <f>IF([1]Milch!B83="","",[1]Milch!B83)</f>
        <v>KF</v>
      </c>
      <c r="C60" s="1240"/>
      <c r="D60" s="103">
        <f>IF([1]Milch!O83="","",[1]Milch!O83)</f>
        <v>0.44</v>
      </c>
      <c r="E60" s="116">
        <f>IF([1]Milch!P83="","",[1]Milch!P83)</f>
        <v>800</v>
      </c>
      <c r="F60" s="109">
        <f t="shared" ref="F60:F63" si="2">D60*E60</f>
        <v>352</v>
      </c>
      <c r="G60" s="83"/>
      <c r="H60" s="83"/>
      <c r="J60" s="529"/>
      <c r="K60" s="65"/>
    </row>
    <row r="61" spans="2:11" ht="13.5" thickBot="1" x14ac:dyDescent="0.25">
      <c r="B61" s="1239" t="str">
        <f>IF([1]Milch!B85="","",[1]Milch!B85)</f>
        <v>Mineralstoffmischung</v>
      </c>
      <c r="C61" s="1240"/>
      <c r="D61" s="103">
        <f>IF([1]Milch!O85="","",[1]Milch!O85)</f>
        <v>0.7</v>
      </c>
      <c r="E61" s="116">
        <f>IF([1]Milch!P85="","",[1]Milch!P85)</f>
        <v>49</v>
      </c>
      <c r="F61" s="109">
        <f t="shared" si="2"/>
        <v>34.299999999999997</v>
      </c>
      <c r="G61" s="83"/>
      <c r="H61" s="83"/>
      <c r="J61" s="529"/>
      <c r="K61" s="65"/>
    </row>
    <row r="62" spans="2:11" ht="13.5" thickBot="1" x14ac:dyDescent="0.25">
      <c r="B62" s="1239" t="str">
        <f>IF([1]Milch!B87="","",[1]Milch!B87)</f>
        <v>Tierarzt</v>
      </c>
      <c r="C62" s="1240"/>
      <c r="D62" s="103">
        <f>IF([1]Milch!O87="","",[1]Milch!O87)</f>
        <v>65</v>
      </c>
      <c r="E62" s="116">
        <v>1</v>
      </c>
      <c r="F62" s="526">
        <f t="shared" si="2"/>
        <v>65</v>
      </c>
      <c r="G62" s="83"/>
      <c r="H62" s="83"/>
      <c r="J62" s="529"/>
      <c r="K62" s="65"/>
    </row>
    <row r="63" spans="2:11" ht="13.5" thickBot="1" x14ac:dyDescent="0.25">
      <c r="B63" s="1239" t="str">
        <f>IF([1]Milch!B89="","",[1]Milch!B89)</f>
        <v>Deckgeld</v>
      </c>
      <c r="C63" s="1240"/>
      <c r="D63" s="103">
        <f>IF([1]Milch!O89="","",[1]Milch!O89)</f>
        <v>35</v>
      </c>
      <c r="E63" s="116">
        <v>1</v>
      </c>
      <c r="F63" s="117">
        <f t="shared" si="2"/>
        <v>35</v>
      </c>
      <c r="G63" s="83"/>
      <c r="H63" s="83"/>
      <c r="J63" s="529"/>
      <c r="K63" s="65"/>
    </row>
    <row r="64" spans="2:11" ht="12.75" x14ac:dyDescent="0.2">
      <c r="B64" s="1239" t="str">
        <f>IF([1]Milch!B91="","",[1]Milch!B91)</f>
        <v>Kontrollgebühren</v>
      </c>
      <c r="C64" s="1240"/>
      <c r="D64" s="103">
        <f>IF([1]Milch!O91="","",[1]Milch!O91)</f>
        <v>9</v>
      </c>
      <c r="E64" s="116">
        <v>1</v>
      </c>
      <c r="F64" s="533">
        <f>D64</f>
        <v>9</v>
      </c>
      <c r="G64" s="83"/>
      <c r="H64" s="83"/>
      <c r="J64" s="529"/>
      <c r="K64" s="65"/>
    </row>
    <row r="65" spans="2:11" ht="13.5" thickBot="1" x14ac:dyDescent="0.25">
      <c r="B65" s="1239" t="str">
        <f>IF([1]Milch!B93="","",[1]Milch!B93)</f>
        <v>Versicherung</v>
      </c>
      <c r="C65" s="1240"/>
      <c r="D65" s="103">
        <f>IF([1]Milch!O93="","",[1]Milch!O93)</f>
        <v>23</v>
      </c>
      <c r="E65" s="118">
        <v>1</v>
      </c>
      <c r="F65" s="532">
        <f>D65</f>
        <v>23</v>
      </c>
      <c r="G65" s="83"/>
      <c r="H65" s="83"/>
      <c r="J65" s="529"/>
      <c r="K65" s="65"/>
    </row>
    <row r="66" spans="2:11" ht="13.5" thickBot="1" x14ac:dyDescent="0.25">
      <c r="B66" s="1239" t="str">
        <f>IF([1]Milch!B95="","",[1]Milch!B95)</f>
        <v>Alpung</v>
      </c>
      <c r="C66" s="1240"/>
      <c r="D66" s="103">
        <f>IF([1]Milch!O95="","",[1]Milch!O95)</f>
        <v>80</v>
      </c>
      <c r="E66" s="116">
        <v>1</v>
      </c>
      <c r="F66" s="117">
        <f t="shared" ref="F66:F70" si="3">D66*E66</f>
        <v>80</v>
      </c>
      <c r="G66" s="83"/>
      <c r="H66" s="83"/>
      <c r="J66" s="529"/>
      <c r="K66" s="65"/>
    </row>
    <row r="67" spans="2:11" ht="13.5" thickBot="1" x14ac:dyDescent="0.25">
      <c r="B67" s="1239" t="str">
        <f>IF([1]Milch!B97="","",[1]Milch!B97)</f>
        <v>Energie</v>
      </c>
      <c r="C67" s="1240"/>
      <c r="D67" s="103">
        <f>IF([1]Milch!O97="","",[1]Milch!O97)</f>
        <v>32</v>
      </c>
      <c r="E67" s="116">
        <v>1</v>
      </c>
      <c r="F67" s="527">
        <f t="shared" si="3"/>
        <v>32</v>
      </c>
      <c r="G67" s="83"/>
      <c r="H67" s="83"/>
      <c r="J67" s="529"/>
      <c r="K67" s="65"/>
    </row>
    <row r="68" spans="2:11" ht="13.5" thickBot="1" x14ac:dyDescent="0.25">
      <c r="B68" s="1239" t="str">
        <f>IF([1]Milch!B99="","",[1]Milch!B99)</f>
        <v>Einstreu</v>
      </c>
      <c r="C68" s="1240"/>
      <c r="D68" s="103">
        <f>IF([1]Milch!O99="","",[1]Milch!O99)</f>
        <v>0.1</v>
      </c>
      <c r="E68" s="116">
        <f>IF([1]Milch!P99="","",[1]Milch!P99)</f>
        <v>500</v>
      </c>
      <c r="F68" s="109">
        <f t="shared" si="3"/>
        <v>50</v>
      </c>
      <c r="G68" s="83"/>
      <c r="H68" s="83"/>
      <c r="J68" s="529"/>
      <c r="K68" s="65"/>
    </row>
    <row r="69" spans="2:11" ht="13.5" thickBot="1" x14ac:dyDescent="0.25">
      <c r="B69" s="1239" t="str">
        <f>IF([1]Milch!B101="","",[1]Milch!B101)</f>
        <v>Vermarktungs-/Verarbeitungskosten</v>
      </c>
      <c r="C69" s="1240"/>
      <c r="D69" s="103">
        <f>IF([1]Milch!O101="","",[1]Milch!O101)</f>
        <v>115.8</v>
      </c>
      <c r="E69" s="116">
        <v>1</v>
      </c>
      <c r="F69" s="526">
        <f t="shared" si="3"/>
        <v>115.8</v>
      </c>
      <c r="G69" s="1259" t="str">
        <f>IF([1]Milch!M101="","",[1]Milch!M101)</f>
        <v/>
      </c>
      <c r="H69" s="1260"/>
      <c r="J69" s="529"/>
      <c r="K69" s="65"/>
    </row>
    <row r="70" spans="2:11" ht="13.5" thickBot="1" x14ac:dyDescent="0.25">
      <c r="B70" s="1239" t="str">
        <f>IF([1]Milch!B103="","",[1]Milch!B103)</f>
        <v>Verpackung/Etik. - in €/kg Produktion</v>
      </c>
      <c r="C70" s="1240"/>
      <c r="D70" s="103">
        <f>IF([1]Milch!O103="","",[1]Milch!O103)</f>
        <v>450</v>
      </c>
      <c r="E70" s="116">
        <v>1</v>
      </c>
      <c r="F70" s="109">
        <f t="shared" si="3"/>
        <v>450</v>
      </c>
      <c r="G70" s="83"/>
      <c r="H70" s="83"/>
      <c r="J70" s="529"/>
      <c r="K70" s="65"/>
    </row>
    <row r="71" spans="2:11" ht="13.5" thickBot="1" x14ac:dyDescent="0.25">
      <c r="B71" s="1239" t="str">
        <f>IF([1]Milch!B105="","",[1]Milch!B105)</f>
        <v>Reinigung und Energie</v>
      </c>
      <c r="C71" s="1240"/>
      <c r="D71" s="103">
        <f>IF([1]Milch!O105="","",[1]Milch!O105)</f>
        <v>71</v>
      </c>
      <c r="E71" s="116">
        <v>1</v>
      </c>
      <c r="F71" s="534">
        <f>D71</f>
        <v>71</v>
      </c>
      <c r="G71" s="83"/>
      <c r="H71" s="83"/>
      <c r="J71" s="529"/>
      <c r="K71" s="65"/>
    </row>
    <row r="72" spans="2:11" ht="13.5" thickBot="1" x14ac:dyDescent="0.25">
      <c r="B72" s="1239" t="str">
        <f>IF([1]Milch!B107="","",[1]Milch!B107)</f>
        <v>Zuteilbare FK Butterfass, Zentrifuge</v>
      </c>
      <c r="C72" s="1240"/>
      <c r="D72" s="103">
        <f>IF([1]Milch!O107="","",[1]Milch!O107)</f>
        <v>168</v>
      </c>
      <c r="E72" s="116">
        <v>1</v>
      </c>
      <c r="F72" s="117">
        <f>D72*E72</f>
        <v>168</v>
      </c>
      <c r="G72" s="83"/>
      <c r="H72" s="83"/>
      <c r="J72" s="529"/>
      <c r="K72" s="65"/>
    </row>
    <row r="73" spans="2:11" ht="13.5" thickBot="1" x14ac:dyDescent="0.25">
      <c r="B73" s="1247" t="s">
        <v>93</v>
      </c>
      <c r="C73" s="1248"/>
      <c r="D73" s="114"/>
      <c r="E73" s="114"/>
      <c r="F73" s="528">
        <f>SUM(F59:F72)</f>
        <v>1616.7666666666664</v>
      </c>
      <c r="G73" s="114"/>
      <c r="H73" s="115">
        <f>IF(F73="","",F73)</f>
        <v>1616.7666666666664</v>
      </c>
      <c r="J73" s="529"/>
      <c r="K73" s="65"/>
    </row>
    <row r="74" spans="2:11" ht="13.5" thickBot="1" x14ac:dyDescent="0.25">
      <c r="B74" s="119" t="s">
        <v>94</v>
      </c>
      <c r="C74" s="119"/>
      <c r="D74" s="119"/>
      <c r="E74" s="119"/>
      <c r="F74" s="640" t="s">
        <v>346</v>
      </c>
      <c r="G74" s="1253">
        <f>F55-F73</f>
        <v>1901.4866666666671</v>
      </c>
      <c r="H74" s="1254"/>
      <c r="J74" s="529"/>
      <c r="K74" s="65"/>
    </row>
    <row r="75" spans="2:11" ht="12.75" x14ac:dyDescent="0.2">
      <c r="J75" s="529"/>
      <c r="K75" s="65"/>
    </row>
    <row r="76" spans="2:11" ht="12.75" x14ac:dyDescent="0.2">
      <c r="B76" s="1222" t="s">
        <v>95</v>
      </c>
      <c r="C76" s="1222"/>
      <c r="D76" s="1222"/>
      <c r="E76" s="1222"/>
      <c r="F76" s="1222"/>
      <c r="G76" s="1222"/>
      <c r="H76" s="1222"/>
      <c r="J76" s="529"/>
      <c r="K76" s="65"/>
    </row>
    <row r="77" spans="2:11" ht="12.75" x14ac:dyDescent="0.2">
      <c r="B77" s="1268" t="s">
        <v>344</v>
      </c>
      <c r="C77" s="1269"/>
      <c r="D77" s="120">
        <f>G8-(H9*G11)</f>
        <v>18679.675166317506</v>
      </c>
      <c r="E77" s="121"/>
      <c r="F77" s="121"/>
      <c r="G77" s="83"/>
      <c r="H77" s="83"/>
      <c r="J77" s="529"/>
      <c r="K77" s="65"/>
    </row>
    <row r="78" spans="2:11" ht="12.75" x14ac:dyDescent="0.2">
      <c r="B78" s="1243" t="s">
        <v>96</v>
      </c>
      <c r="C78" s="122" t="s">
        <v>97</v>
      </c>
      <c r="D78" s="122" t="s">
        <v>97</v>
      </c>
      <c r="E78" s="1270" t="s">
        <v>98</v>
      </c>
      <c r="F78" s="107"/>
      <c r="G78" s="106"/>
      <c r="H78" s="106"/>
      <c r="J78" s="529"/>
      <c r="K78" s="65"/>
    </row>
    <row r="79" spans="2:11" ht="13.5" thickBot="1" x14ac:dyDescent="0.25">
      <c r="B79" s="1243"/>
      <c r="C79" s="122" t="s">
        <v>99</v>
      </c>
      <c r="D79" s="122" t="s">
        <v>100</v>
      </c>
      <c r="E79" s="1270" t="s">
        <v>15</v>
      </c>
      <c r="F79" s="107"/>
      <c r="G79" s="106"/>
      <c r="H79" s="106"/>
      <c r="J79" s="529"/>
      <c r="K79" s="65"/>
    </row>
    <row r="80" spans="2:11" ht="13.5" thickBot="1" x14ac:dyDescent="0.25">
      <c r="B80" s="66" t="str">
        <f>IF([1]Milch!B111="","",[1]Milch!B111)</f>
        <v>Heu</v>
      </c>
      <c r="C80" s="123">
        <f>IF([1]Milch!O111="","",[1]Milch!O111)</f>
        <v>0.55000000000000004</v>
      </c>
      <c r="D80" s="124">
        <f>IF(C80="","",$D$77*C80)</f>
        <v>10273.82134147463</v>
      </c>
      <c r="E80" s="125">
        <f>IF([1]Milch!P111="","",[1]Milch!P111)</f>
        <v>1.9E-2</v>
      </c>
      <c r="F80" s="525">
        <f t="shared" ref="F80:F81" si="4">D80*E80</f>
        <v>195.20260548801795</v>
      </c>
      <c r="G80" s="1267" t="s">
        <v>101</v>
      </c>
      <c r="H80" s="1267"/>
      <c r="J80" s="529"/>
      <c r="K80" s="65"/>
    </row>
    <row r="81" spans="2:11" ht="13.5" thickBot="1" x14ac:dyDescent="0.25">
      <c r="B81" s="126" t="str">
        <f>IF([1]Milch!B113="","",[1]Milch!B113)</f>
        <v>Grassilage</v>
      </c>
      <c r="C81" s="123">
        <f>IF([1]Milch!O113="","",[1]Milch!O113)</f>
        <v>0.25</v>
      </c>
      <c r="D81" s="124">
        <f>IF(C81="","",$D$77*C81)</f>
        <v>4669.9187915793764</v>
      </c>
      <c r="E81" s="125">
        <f>IF([1]Milch!P113="","",[1]Milch!P113)</f>
        <v>1.6E-2</v>
      </c>
      <c r="F81" s="623">
        <f t="shared" si="4"/>
        <v>74.718700665270021</v>
      </c>
      <c r="G81" s="1263">
        <f>SUM(F80:F82)</f>
        <v>329.69626668550399</v>
      </c>
      <c r="H81" s="1264"/>
      <c r="J81" s="529"/>
      <c r="K81" s="65"/>
    </row>
    <row r="82" spans="2:11" ht="13.5" thickBot="1" x14ac:dyDescent="0.25">
      <c r="B82" s="126" t="str">
        <f>IF([1]Milch!B115="","",[1]Milch!B115)</f>
        <v>Maissilage</v>
      </c>
      <c r="C82" s="123">
        <f>IF([1]Milch!O115="","",[1]Milch!O115)</f>
        <v>0.19999999999999996</v>
      </c>
      <c r="D82" s="124">
        <f>IF(C82="","",$D$77*C82)</f>
        <v>3735.9350332635004</v>
      </c>
      <c r="E82" s="125">
        <f>IF([1]Milch!P115="","",[1]Milch!P115)</f>
        <v>1.6E-2</v>
      </c>
      <c r="F82" s="624">
        <f>IF(OR(D82="",E82=""),"",D82*E82)</f>
        <v>59.774960532216006</v>
      </c>
      <c r="G82" s="1265"/>
      <c r="H82" s="1266"/>
      <c r="J82" s="529"/>
      <c r="K82" s="65"/>
    </row>
    <row r="83" spans="2:11" ht="13.5" thickBot="1" x14ac:dyDescent="0.25">
      <c r="B83" s="119" t="s">
        <v>102</v>
      </c>
      <c r="C83" s="119"/>
      <c r="D83" s="119"/>
      <c r="E83" s="119"/>
      <c r="F83" s="640" t="s">
        <v>347</v>
      </c>
      <c r="G83" s="1253">
        <f>G74-G81</f>
        <v>1571.7903999811631</v>
      </c>
      <c r="H83" s="1254"/>
      <c r="J83" s="529"/>
      <c r="K83" s="65"/>
    </row>
    <row r="84" spans="2:11" ht="12.75" x14ac:dyDescent="0.2">
      <c r="B84" s="1222" t="s">
        <v>36</v>
      </c>
      <c r="C84" s="1222"/>
      <c r="D84" s="1222"/>
      <c r="E84" s="1222"/>
      <c r="F84" s="1222"/>
      <c r="G84" s="1222"/>
      <c r="H84" s="1222"/>
      <c r="J84" s="529"/>
      <c r="K84" s="65"/>
    </row>
    <row r="85" spans="2:11" ht="12.75" customHeight="1" x14ac:dyDescent="0.2">
      <c r="B85" s="84" t="str">
        <f>IF([1]Milch!B119="","",[1]Milch!B119)</f>
        <v/>
      </c>
      <c r="C85" s="127"/>
      <c r="D85" s="84"/>
      <c r="E85" s="84"/>
      <c r="F85" s="84"/>
      <c r="G85" s="1257" t="str">
        <f>IF([1]Milch!O119="","",[1]Milch!O119)</f>
        <v/>
      </c>
      <c r="H85" s="1258"/>
      <c r="J85" s="529"/>
      <c r="K85" s="65"/>
    </row>
    <row r="86" spans="2:11" ht="12.75" customHeight="1" x14ac:dyDescent="0.2">
      <c r="B86" s="84" t="str">
        <f>IF([1]Milch!B121="","",[1]Milch!B121)</f>
        <v/>
      </c>
      <c r="C86" s="127"/>
      <c r="D86" s="84"/>
      <c r="E86" s="84"/>
      <c r="F86" s="84"/>
      <c r="G86" s="1257" t="str">
        <f>IF([1]Milch!O121="","",[1]Milch!O121)</f>
        <v/>
      </c>
      <c r="H86" s="1258"/>
      <c r="J86" s="529"/>
      <c r="K86" s="65"/>
    </row>
    <row r="87" spans="2:11" ht="13.5" customHeight="1" x14ac:dyDescent="0.2">
      <c r="B87" s="84" t="str">
        <f>IF([1]Milch!B123="","",[1]Milch!B123)</f>
        <v/>
      </c>
      <c r="C87" s="127"/>
      <c r="D87" s="84"/>
      <c r="E87" s="84"/>
      <c r="F87" s="84"/>
      <c r="G87" s="1261" t="str">
        <f>IF([1]Milch!O123="","",[1]Milch!O123)</f>
        <v/>
      </c>
      <c r="H87" s="1262"/>
      <c r="J87" s="529"/>
      <c r="K87" s="65"/>
    </row>
    <row r="88" spans="2:11" ht="13.5" thickBot="1" x14ac:dyDescent="0.25">
      <c r="B88" s="1247" t="s">
        <v>44</v>
      </c>
      <c r="C88" s="1248"/>
      <c r="D88" s="128"/>
      <c r="E88" s="111"/>
      <c r="F88" s="128"/>
      <c r="G88" s="1255">
        <f>SUM(G85:H87)</f>
        <v>0</v>
      </c>
      <c r="H88" s="1256"/>
      <c r="J88" s="529"/>
      <c r="K88" s="65"/>
    </row>
    <row r="89" spans="2:11" ht="13.5" thickBot="1" x14ac:dyDescent="0.25">
      <c r="B89" s="119" t="s">
        <v>103</v>
      </c>
      <c r="C89" s="119"/>
      <c r="D89" s="119"/>
      <c r="E89" s="119"/>
      <c r="F89" s="640" t="s">
        <v>348</v>
      </c>
      <c r="G89" s="1253">
        <f>G83+G88</f>
        <v>1571.7903999811631</v>
      </c>
      <c r="H89" s="1254"/>
      <c r="J89" s="529"/>
      <c r="K89" s="65"/>
    </row>
    <row r="90" spans="2:11" ht="12.75" x14ac:dyDescent="0.2">
      <c r="J90" s="529"/>
      <c r="K90" s="65"/>
    </row>
    <row r="91" spans="2:11" ht="12.75" x14ac:dyDescent="0.2">
      <c r="B91" s="1222" t="s">
        <v>104</v>
      </c>
      <c r="C91" s="1222"/>
      <c r="D91" s="1222"/>
      <c r="E91" s="1222"/>
      <c r="F91" s="1222"/>
      <c r="G91" s="1222"/>
      <c r="H91" s="1222"/>
      <c r="J91" s="529"/>
      <c r="K91" s="65"/>
    </row>
    <row r="92" spans="2:11" ht="12.75" x14ac:dyDescent="0.2">
      <c r="B92" s="84" t="s">
        <v>105</v>
      </c>
      <c r="C92" s="127"/>
      <c r="D92" s="127"/>
      <c r="E92" s="95">
        <f>IF([1]Milch!O127="","",[1]Milch!O127)</f>
        <v>60</v>
      </c>
      <c r="F92" s="14" t="s">
        <v>106</v>
      </c>
      <c r="G92" s="1251">
        <f>E92/60*D7</f>
        <v>270</v>
      </c>
      <c r="H92" s="1252"/>
      <c r="J92" s="529"/>
      <c r="K92" s="65"/>
    </row>
    <row r="93" spans="2:11" ht="13.5" thickBot="1" x14ac:dyDescent="0.25">
      <c r="B93" s="84" t="s">
        <v>107</v>
      </c>
      <c r="C93" s="127"/>
      <c r="D93" s="127"/>
      <c r="E93" s="127"/>
      <c r="F93" s="84"/>
      <c r="G93" s="1249">
        <f>IF(AND(AND(C25="",F25=""),AND(C26="",F26=""),AND(C27="",F27=""),AND(C28="",F28=""),AND(C29="",F29=""),AND(C30="",F30="")),"",SUM(IF(OR(F25="",C25=""),0,(F25*C25)),IF(OR(F26="",C26=""),0,(F26*C26)),IF(OR(F27="",C27=""),0,(F27*C27)),IF(OR(F28="",C28=""),0,(F28*C28)),IF(OR(F29="",C29=""),0,(F29*C29)),IF(OR(F30="",C30=""),0,(F30*C30))))/100</f>
        <v>70.55</v>
      </c>
      <c r="H93" s="1250"/>
      <c r="J93" s="529"/>
      <c r="K93" s="65"/>
    </row>
    <row r="94" spans="2:11" ht="13.5" thickBot="1" x14ac:dyDescent="0.25">
      <c r="B94" s="111" t="s">
        <v>108</v>
      </c>
      <c r="C94" s="111"/>
      <c r="D94" s="111"/>
      <c r="E94" s="128"/>
      <c r="F94" s="128"/>
      <c r="G94" s="1235">
        <f>SUM(G92:H93)</f>
        <v>340.55</v>
      </c>
      <c r="H94" s="1236"/>
      <c r="J94" s="529"/>
      <c r="K94" s="65"/>
    </row>
    <row r="95" spans="2:11" ht="13.5" thickBot="1" x14ac:dyDescent="0.25">
      <c r="B95" s="1244" t="s">
        <v>3</v>
      </c>
      <c r="C95" s="1244"/>
      <c r="D95" s="1244"/>
      <c r="E95" s="1244"/>
      <c r="F95" s="1244"/>
      <c r="G95" s="1245">
        <f>G89/G94</f>
        <v>4.6154467772167465</v>
      </c>
      <c r="H95" s="1246"/>
      <c r="J95" s="529"/>
      <c r="K95" s="65"/>
    </row>
    <row r="96" spans="2:11" ht="12.75" x14ac:dyDescent="0.2">
      <c r="J96" s="529"/>
      <c r="K96" s="65"/>
    </row>
    <row r="97" spans="10:10" ht="12.75" hidden="1" x14ac:dyDescent="0.2">
      <c r="J97" s="1"/>
    </row>
    <row r="98" spans="10:10" ht="12.75" hidden="1" x14ac:dyDescent="0.2">
      <c r="J98" s="1"/>
    </row>
    <row r="99" spans="10:10" ht="12.75" hidden="1" x14ac:dyDescent="0.2">
      <c r="J99" s="1"/>
    </row>
    <row r="100" spans="10:10" ht="12.75" hidden="1" x14ac:dyDescent="0.2">
      <c r="J100" s="1"/>
    </row>
    <row r="101" spans="10:10" ht="12.75" hidden="1" x14ac:dyDescent="0.2">
      <c r="J101" s="1"/>
    </row>
    <row r="102" spans="10:10" ht="12.75" hidden="1" x14ac:dyDescent="0.2">
      <c r="J102" s="1"/>
    </row>
    <row r="103" spans="10:10" ht="12.75" hidden="1" x14ac:dyDescent="0.2">
      <c r="J103" s="1"/>
    </row>
    <row r="104" spans="10:10" ht="12.75" hidden="1" x14ac:dyDescent="0.2">
      <c r="J104" s="1"/>
    </row>
    <row r="105" spans="10:10" ht="12.75" hidden="1" x14ac:dyDescent="0.2">
      <c r="J105" s="1"/>
    </row>
    <row r="106" spans="10:10" ht="12.75" hidden="1" x14ac:dyDescent="0.2">
      <c r="J106" s="1"/>
    </row>
    <row r="107" spans="10:10" ht="12.75" hidden="1" x14ac:dyDescent="0.2">
      <c r="J107" s="1"/>
    </row>
    <row r="108" spans="10:10" ht="12.75" hidden="1" x14ac:dyDescent="0.2">
      <c r="J108" s="1"/>
    </row>
    <row r="109" spans="10:10" ht="12.75" hidden="1" x14ac:dyDescent="0.2">
      <c r="J109" s="1"/>
    </row>
    <row r="110" spans="10:10" ht="12.75" hidden="1" x14ac:dyDescent="0.2">
      <c r="J110" s="1"/>
    </row>
    <row r="111" spans="10:10" ht="12.75" hidden="1" x14ac:dyDescent="0.2">
      <c r="J111" s="1"/>
    </row>
    <row r="112" spans="10:10" ht="12.75" hidden="1" x14ac:dyDescent="0.2">
      <c r="J112" s="1"/>
    </row>
    <row r="113" spans="10:10" ht="12.75" hidden="1" x14ac:dyDescent="0.2">
      <c r="J113" s="1"/>
    </row>
    <row r="114" spans="10:10" ht="12.75" hidden="1" x14ac:dyDescent="0.2">
      <c r="J114" s="1"/>
    </row>
    <row r="115" spans="10:10" ht="12.75" hidden="1" x14ac:dyDescent="0.2">
      <c r="J115" s="1"/>
    </row>
    <row r="116" spans="10:10" ht="12.75" hidden="1" x14ac:dyDescent="0.2">
      <c r="J116" s="1"/>
    </row>
    <row r="117" spans="10:10" ht="12.75" hidden="1" x14ac:dyDescent="0.2">
      <c r="J117" s="1"/>
    </row>
    <row r="118" spans="10:10" ht="12.75" hidden="1" x14ac:dyDescent="0.2">
      <c r="J118" s="1"/>
    </row>
    <row r="119" spans="10:10" ht="12.75" hidden="1" x14ac:dyDescent="0.2">
      <c r="J119" s="1"/>
    </row>
    <row r="120" spans="10:10" ht="12.75" hidden="1" x14ac:dyDescent="0.2">
      <c r="J120" s="1"/>
    </row>
    <row r="121" spans="10:10" ht="12.75" hidden="1" x14ac:dyDescent="0.2">
      <c r="J121" s="1"/>
    </row>
    <row r="122" spans="10:10" ht="12.75" hidden="1" x14ac:dyDescent="0.2">
      <c r="J122" s="1"/>
    </row>
    <row r="123" spans="10:10" ht="12.75" hidden="1" x14ac:dyDescent="0.2">
      <c r="J123" s="1"/>
    </row>
    <row r="124" spans="10:10" ht="12.75" hidden="1" x14ac:dyDescent="0.2">
      <c r="J124" s="1"/>
    </row>
    <row r="125" spans="10:10" ht="12.75" hidden="1" x14ac:dyDescent="0.2">
      <c r="J125" s="1"/>
    </row>
    <row r="126" spans="10:10" ht="12.75" hidden="1" x14ac:dyDescent="0.2">
      <c r="J126" s="1"/>
    </row>
    <row r="127" spans="10:10" ht="12.75" hidden="1" x14ac:dyDescent="0.2">
      <c r="J127" s="1"/>
    </row>
    <row r="128" spans="10:10" ht="12.75" hidden="1" x14ac:dyDescent="0.2">
      <c r="J128" s="1"/>
    </row>
    <row r="129" spans="10:10" ht="12.75" hidden="1" x14ac:dyDescent="0.2">
      <c r="J129" s="1"/>
    </row>
    <row r="130" spans="10:10" ht="12.75" hidden="1" x14ac:dyDescent="0.2">
      <c r="J130" s="1"/>
    </row>
    <row r="131" spans="10:10" ht="12.75" hidden="1" x14ac:dyDescent="0.2">
      <c r="J131" s="1"/>
    </row>
    <row r="132" spans="10:10" ht="12.75" hidden="1" customHeight="1" x14ac:dyDescent="0.2">
      <c r="J132" s="1"/>
    </row>
    <row r="133" spans="10:10" ht="12.75" hidden="1" customHeight="1" x14ac:dyDescent="0.2">
      <c r="J133" s="1"/>
    </row>
    <row r="134" spans="10:10" ht="12.75" hidden="1" customHeight="1" x14ac:dyDescent="0.2">
      <c r="J134" s="1"/>
    </row>
    <row r="135" spans="10:10" ht="12.75" hidden="1" customHeight="1" x14ac:dyDescent="0.2">
      <c r="J135" s="1"/>
    </row>
    <row r="136" spans="10:10" ht="12.75" hidden="1" customHeight="1" x14ac:dyDescent="0.2">
      <c r="J136" s="1"/>
    </row>
    <row r="137" spans="10:10" ht="12.75" hidden="1" customHeight="1" x14ac:dyDescent="0.2">
      <c r="J137" s="1"/>
    </row>
    <row r="138" spans="10:10" ht="12.75" hidden="1" customHeight="1" x14ac:dyDescent="0.2">
      <c r="J138" s="1"/>
    </row>
    <row r="139" spans="10:10" ht="12.75" hidden="1" customHeight="1" x14ac:dyDescent="0.2">
      <c r="J139" s="1"/>
    </row>
    <row r="140" spans="10:10" ht="12.75" hidden="1" customHeight="1" x14ac:dyDescent="0.2">
      <c r="J140" s="1"/>
    </row>
    <row r="141" spans="10:10" ht="12.75" hidden="1" customHeight="1" x14ac:dyDescent="0.2">
      <c r="J141" s="1"/>
    </row>
    <row r="142" spans="10:10" ht="12.75" hidden="1" customHeight="1" x14ac:dyDescent="0.2">
      <c r="J142" s="1"/>
    </row>
    <row r="143" spans="10:10" ht="12.75" hidden="1" customHeight="1" x14ac:dyDescent="0.2">
      <c r="J143" s="1"/>
    </row>
    <row r="144" spans="10:10" ht="12.75" hidden="1" customHeight="1" x14ac:dyDescent="0.2">
      <c r="J144" s="1"/>
    </row>
    <row r="145" spans="10:10" ht="12.75" hidden="1" customHeight="1" x14ac:dyDescent="0.2">
      <c r="J145" s="1"/>
    </row>
    <row r="146" spans="10:10" ht="12.75" hidden="1" customHeight="1" x14ac:dyDescent="0.2">
      <c r="J146" s="1"/>
    </row>
    <row r="147" spans="10:10" ht="12.75" hidden="1" customHeight="1" x14ac:dyDescent="0.2">
      <c r="J147" s="1"/>
    </row>
    <row r="148" spans="10:10" ht="12.75" hidden="1" customHeight="1" x14ac:dyDescent="0.2">
      <c r="J148" s="1"/>
    </row>
    <row r="149" spans="10:10" ht="12.75" hidden="1" customHeight="1" x14ac:dyDescent="0.2">
      <c r="J149" s="1"/>
    </row>
    <row r="150" spans="10:10" ht="12.75" hidden="1" customHeight="1" x14ac:dyDescent="0.2">
      <c r="J150" s="1"/>
    </row>
    <row r="151" spans="10:10" ht="12.75" hidden="1" customHeight="1" x14ac:dyDescent="0.2">
      <c r="J151" s="1"/>
    </row>
    <row r="152" spans="10:10" ht="12.75" hidden="1" customHeight="1" x14ac:dyDescent="0.2">
      <c r="J152" s="1"/>
    </row>
    <row r="153" spans="10:10" ht="12.75" hidden="1" customHeight="1" x14ac:dyDescent="0.2">
      <c r="J153" s="1"/>
    </row>
    <row r="154" spans="10:10" ht="12.75" hidden="1" customHeight="1" x14ac:dyDescent="0.2">
      <c r="J154" s="1"/>
    </row>
    <row r="155" spans="10:10" ht="12.75" hidden="1" customHeight="1" x14ac:dyDescent="0.2">
      <c r="J155" s="1"/>
    </row>
    <row r="156" spans="10:10" ht="12.75" hidden="1" customHeight="1" x14ac:dyDescent="0.2">
      <c r="J156" s="1"/>
    </row>
    <row r="157" spans="10:10" ht="12.75" hidden="1" customHeight="1" x14ac:dyDescent="0.2">
      <c r="J157" s="1"/>
    </row>
    <row r="158" spans="10:10" ht="12.75" hidden="1" customHeight="1" x14ac:dyDescent="0.2">
      <c r="J158" s="1"/>
    </row>
    <row r="159" spans="10:10" ht="12.75" hidden="1" customHeight="1" x14ac:dyDescent="0.2">
      <c r="J159" s="1"/>
    </row>
    <row r="160" spans="10:10" ht="12.75" hidden="1" customHeight="1" x14ac:dyDescent="0.2">
      <c r="J160" s="1"/>
    </row>
    <row r="161" spans="10:10" ht="12.75" hidden="1" customHeight="1" x14ac:dyDescent="0.2">
      <c r="J161" s="1"/>
    </row>
    <row r="162" spans="10:10" ht="12.75" hidden="1" customHeight="1" x14ac:dyDescent="0.2">
      <c r="J162" s="1"/>
    </row>
    <row r="163" spans="10:10" ht="12.75" hidden="1" customHeight="1" x14ac:dyDescent="0.2">
      <c r="J163" s="1"/>
    </row>
    <row r="164" spans="10:10" ht="12.75" hidden="1" customHeight="1" x14ac:dyDescent="0.2">
      <c r="J164" s="1"/>
    </row>
    <row r="165" spans="10:10" ht="12.75" hidden="1" customHeight="1" x14ac:dyDescent="0.2">
      <c r="J165" s="1"/>
    </row>
    <row r="166" spans="10:10" ht="12.75" hidden="1" customHeight="1" x14ac:dyDescent="0.2">
      <c r="J166" s="1"/>
    </row>
    <row r="167" spans="10:10" ht="12.75" hidden="1" customHeight="1" x14ac:dyDescent="0.2">
      <c r="J167" s="1"/>
    </row>
    <row r="168" spans="10:10" ht="12.75" hidden="1" customHeight="1" x14ac:dyDescent="0.2">
      <c r="J168" s="1"/>
    </row>
    <row r="169" spans="10:10" ht="12.75" hidden="1" customHeight="1" x14ac:dyDescent="0.2">
      <c r="J169" s="1"/>
    </row>
    <row r="170" spans="10:10" ht="12.75" hidden="1" customHeight="1" x14ac:dyDescent="0.2">
      <c r="J170" s="1"/>
    </row>
    <row r="171" spans="10:10" ht="12.75" hidden="1" customHeight="1" x14ac:dyDescent="0.2">
      <c r="J171" s="1"/>
    </row>
    <row r="172" spans="10:10" ht="12.75" hidden="1" customHeight="1" x14ac:dyDescent="0.2">
      <c r="J172" s="1"/>
    </row>
    <row r="173" spans="10:10" ht="12.75" hidden="1" customHeight="1" x14ac:dyDescent="0.2">
      <c r="J173" s="1"/>
    </row>
    <row r="174" spans="10:10" ht="12.75" hidden="1" customHeight="1" x14ac:dyDescent="0.2">
      <c r="J174" s="1"/>
    </row>
    <row r="175" spans="10:10" ht="12.75" hidden="1" customHeight="1" x14ac:dyDescent="0.2">
      <c r="J175" s="1"/>
    </row>
    <row r="176" spans="10:10" ht="12.75" hidden="1" customHeight="1" x14ac:dyDescent="0.2">
      <c r="J176" s="1"/>
    </row>
    <row r="177" spans="10:10" ht="12.75" hidden="1" customHeight="1" x14ac:dyDescent="0.2">
      <c r="J177" s="1"/>
    </row>
    <row r="178" spans="10:10" ht="12.75" hidden="1" customHeight="1" x14ac:dyDescent="0.2">
      <c r="J178" s="1"/>
    </row>
    <row r="179" spans="10:10" ht="12.75" hidden="1" customHeight="1" x14ac:dyDescent="0.2">
      <c r="J179" s="1"/>
    </row>
    <row r="180" spans="10:10" ht="12.75" hidden="1" customHeight="1" x14ac:dyDescent="0.2">
      <c r="J180" s="1"/>
    </row>
    <row r="181" spans="10:10" ht="12.75" hidden="1" customHeight="1" x14ac:dyDescent="0.2">
      <c r="J181" s="1"/>
    </row>
    <row r="182" spans="10:10" ht="12.75" hidden="1" customHeight="1" x14ac:dyDescent="0.2">
      <c r="J182" s="1"/>
    </row>
    <row r="183" spans="10:10" ht="12.75" hidden="1" customHeight="1" x14ac:dyDescent="0.2">
      <c r="J183" s="1"/>
    </row>
    <row r="184" spans="10:10" ht="12.75" hidden="1" customHeight="1" x14ac:dyDescent="0.2">
      <c r="J184" s="1"/>
    </row>
    <row r="185" spans="10:10" ht="12.75" hidden="1" customHeight="1" x14ac:dyDescent="0.2">
      <c r="J185" s="1"/>
    </row>
    <row r="186" spans="10:10" ht="12.75" hidden="1" customHeight="1" x14ac:dyDescent="0.2">
      <c r="J186" s="1"/>
    </row>
    <row r="187" spans="10:10" ht="12.75" hidden="1" customHeight="1" x14ac:dyDescent="0.2">
      <c r="J187" s="1"/>
    </row>
    <row r="188" spans="10:10" ht="12.75" hidden="1" customHeight="1" x14ac:dyDescent="0.2">
      <c r="J188" s="1"/>
    </row>
    <row r="189" spans="10:10" ht="12.75" hidden="1" customHeight="1" x14ac:dyDescent="0.2">
      <c r="J189" s="1"/>
    </row>
    <row r="190" spans="10:10" ht="12.75" hidden="1" customHeight="1" x14ac:dyDescent="0.2">
      <c r="J190" s="1"/>
    </row>
    <row r="191" spans="10:10" ht="12.75" hidden="1" customHeight="1" x14ac:dyDescent="0.2">
      <c r="J191" s="1"/>
    </row>
    <row r="192" spans="10:10" ht="12.75" hidden="1" customHeight="1" x14ac:dyDescent="0.2">
      <c r="J192" s="1"/>
    </row>
    <row r="193" spans="10:10" ht="12.75" hidden="1" customHeight="1" x14ac:dyDescent="0.2">
      <c r="J193" s="1"/>
    </row>
  </sheetData>
  <sheetProtection sheet="1" objects="1" scenarios="1"/>
  <mergeCells count="66">
    <mergeCell ref="G87:H87"/>
    <mergeCell ref="B78:B79"/>
    <mergeCell ref="G81:H82"/>
    <mergeCell ref="G80:H80"/>
    <mergeCell ref="G74:H74"/>
    <mergeCell ref="B76:H76"/>
    <mergeCell ref="B77:C77"/>
    <mergeCell ref="E78:E79"/>
    <mergeCell ref="G86:H86"/>
    <mergeCell ref="B62:C62"/>
    <mergeCell ref="B63:C63"/>
    <mergeCell ref="G69:H69"/>
    <mergeCell ref="B72:C72"/>
    <mergeCell ref="B69:C69"/>
    <mergeCell ref="B70:C70"/>
    <mergeCell ref="B67:C67"/>
    <mergeCell ref="B68:C68"/>
    <mergeCell ref="B71:C71"/>
    <mergeCell ref="B38:C38"/>
    <mergeCell ref="B95:F95"/>
    <mergeCell ref="G95:H95"/>
    <mergeCell ref="B73:C73"/>
    <mergeCell ref="B64:C64"/>
    <mergeCell ref="B65:C65"/>
    <mergeCell ref="B66:C66"/>
    <mergeCell ref="G93:H93"/>
    <mergeCell ref="G92:H92"/>
    <mergeCell ref="B91:H91"/>
    <mergeCell ref="G89:H89"/>
    <mergeCell ref="G88:H88"/>
    <mergeCell ref="B84:H84"/>
    <mergeCell ref="B88:C88"/>
    <mergeCell ref="G83:H83"/>
    <mergeCell ref="G85:H85"/>
    <mergeCell ref="E15:G16"/>
    <mergeCell ref="G94:H94"/>
    <mergeCell ref="B18:H18"/>
    <mergeCell ref="B22:H22"/>
    <mergeCell ref="B23:B24"/>
    <mergeCell ref="C23:C24"/>
    <mergeCell ref="D23:D24"/>
    <mergeCell ref="G23:G24"/>
    <mergeCell ref="B58:C58"/>
    <mergeCell ref="B59:C59"/>
    <mergeCell ref="B52:C52"/>
    <mergeCell ref="B36:C36"/>
    <mergeCell ref="B60:C60"/>
    <mergeCell ref="B61:C61"/>
    <mergeCell ref="B41:C41"/>
    <mergeCell ref="B37:C37"/>
    <mergeCell ref="F23:F24"/>
    <mergeCell ref="B39:C39"/>
    <mergeCell ref="B40:H40"/>
    <mergeCell ref="B35:H35"/>
    <mergeCell ref="K1:K2"/>
    <mergeCell ref="H15:H16"/>
    <mergeCell ref="B3:H3"/>
    <mergeCell ref="E4:H4"/>
    <mergeCell ref="E12:E14"/>
    <mergeCell ref="F12:F14"/>
    <mergeCell ref="G12:G14"/>
    <mergeCell ref="H12:H14"/>
    <mergeCell ref="B1:I1"/>
    <mergeCell ref="H23:H24"/>
    <mergeCell ref="B31:H31"/>
    <mergeCell ref="E23:E24"/>
  </mergeCells>
  <phoneticPr fontId="4" type="noConversion"/>
  <conditionalFormatting sqref="F42:F46 F51 F48">
    <cfRule type="expression" dxfId="86" priority="3" stopIfTrue="1">
      <formula>OR($D42="",$E42="")</formula>
    </cfRule>
  </conditionalFormatting>
  <conditionalFormatting sqref="F60:F72">
    <cfRule type="expression" dxfId="85" priority="4" stopIfTrue="1">
      <formula>AND($D60="",$E60="")</formula>
    </cfRule>
  </conditionalFormatting>
  <conditionalFormatting sqref="G5:G8 H5:H9 D4:D7 C9:C11 D9:D10 D77 C80:D82 G11:H11 C13:D13 D15:D16 C19:C21 F20 E92 C32:C33 D36:D39 H15:H16">
    <cfRule type="cellIs" dxfId="84" priority="5" stopIfTrue="1" operator="equal">
      <formula>""</formula>
    </cfRule>
  </conditionalFormatting>
  <conditionalFormatting sqref="F80:F82">
    <cfRule type="expression" dxfId="83" priority="7" stopIfTrue="1">
      <formula>$C80=""</formula>
    </cfRule>
  </conditionalFormatting>
  <conditionalFormatting sqref="E80:E82">
    <cfRule type="expression" dxfId="82" priority="8" stopIfTrue="1">
      <formula>$C80=""</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1" manualBreakCount="1">
    <brk id="55"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2">
    <tabColor indexed="10"/>
  </sheetPr>
  <dimension ref="A1:M199"/>
  <sheetViews>
    <sheetView showGridLines="0" zoomScaleNormal="100" workbookViewId="0">
      <selection activeCell="J26" sqref="J26"/>
    </sheetView>
  </sheetViews>
  <sheetFormatPr baseColWidth="10" defaultColWidth="0" defaultRowHeight="0" customHeight="1" zeroHeight="1" x14ac:dyDescent="0.2"/>
  <cols>
    <col min="1" max="1" width="2.7109375" style="4" customWidth="1"/>
    <col min="2" max="5" width="9.28515625" style="4" customWidth="1"/>
    <col min="6" max="10" width="8.7109375" style="4" customWidth="1"/>
    <col min="11" max="11" width="2.7109375" style="4" customWidth="1"/>
    <col min="12" max="12" width="0.85546875" style="15" customWidth="1"/>
    <col min="13" max="13" width="22.7109375" style="15" customWidth="1"/>
    <col min="14" max="16384" width="11.42578125" style="1" hidden="1"/>
  </cols>
  <sheetData>
    <row r="1" spans="1:13" ht="24.95" customHeight="1" x14ac:dyDescent="0.2">
      <c r="A1" s="17"/>
      <c r="B1" s="129" t="s">
        <v>109</v>
      </c>
      <c r="C1" s="130"/>
      <c r="D1" s="130"/>
      <c r="E1" s="130"/>
      <c r="F1" s="130"/>
      <c r="G1" s="130"/>
      <c r="H1" s="130"/>
      <c r="I1" s="130"/>
      <c r="J1" s="130"/>
      <c r="K1" s="130"/>
      <c r="L1" s="9"/>
      <c r="M1" s="1160" t="s">
        <v>11</v>
      </c>
    </row>
    <row r="2" spans="1:13" ht="30" customHeight="1" x14ac:dyDescent="0.2">
      <c r="A2" s="131"/>
      <c r="B2" s="132"/>
      <c r="C2" s="132"/>
      <c r="D2" s="132"/>
      <c r="E2" s="132"/>
      <c r="F2" s="132"/>
      <c r="G2" s="132"/>
      <c r="H2" s="132"/>
      <c r="I2" s="132"/>
      <c r="J2" s="132"/>
      <c r="K2" s="132"/>
      <c r="L2" s="10"/>
      <c r="M2" s="1161"/>
    </row>
    <row r="3" spans="1:13" ht="12.75" customHeight="1" x14ac:dyDescent="0.2">
      <c r="A3" s="132"/>
      <c r="B3" s="133" t="s">
        <v>110</v>
      </c>
      <c r="C3" s="134"/>
      <c r="D3" s="134"/>
      <c r="E3" s="134"/>
      <c r="F3" s="134"/>
      <c r="G3" s="134"/>
      <c r="H3" s="134"/>
      <c r="I3" s="134"/>
      <c r="J3" s="134"/>
      <c r="K3" s="132"/>
      <c r="L3" s="10"/>
      <c r="M3" s="11"/>
    </row>
    <row r="4" spans="1:13" ht="12.75" customHeight="1" x14ac:dyDescent="0.2">
      <c r="A4" s="132"/>
      <c r="B4" s="30" t="s">
        <v>111</v>
      </c>
      <c r="C4" s="30"/>
      <c r="D4" s="30"/>
      <c r="E4" s="30"/>
      <c r="F4" s="30" t="s">
        <v>112</v>
      </c>
      <c r="G4" s="30"/>
      <c r="H4" s="30"/>
      <c r="I4" s="30" t="s">
        <v>113</v>
      </c>
      <c r="J4" s="30"/>
      <c r="K4" s="132"/>
      <c r="L4" s="10"/>
      <c r="M4" s="11"/>
    </row>
    <row r="5" spans="1:13" ht="12.75" x14ac:dyDescent="0.2">
      <c r="A5" s="132"/>
      <c r="B5" s="20" t="str">
        <f>IF([1]MuKu!B12="","",[1]MuKu!B12)</f>
        <v>Erhaltungsbedarf</v>
      </c>
      <c r="C5" s="20"/>
      <c r="D5" s="135">
        <f>IF(OR(H8="",[1]MuKu!D14="",[1]MuKu!D16=""),"",POWER(H8,[1]MuKu!D14)*[1]MuKu!D16)</f>
        <v>36.405029514186502</v>
      </c>
      <c r="E5" s="136" t="s">
        <v>114</v>
      </c>
      <c r="F5" s="20" t="str">
        <f>IF([1]MuKu!B21="","",[1]MuKu!B21)</f>
        <v>Milchleistung:</v>
      </c>
      <c r="G5" s="20"/>
      <c r="H5" s="137">
        <f>IF([1]MuKu!O21="","",[1]MuKu!O21)</f>
        <v>3100</v>
      </c>
      <c r="I5" s="138">
        <f>IF([1]MuKu!K21="","",[1]MuKu!K21)</f>
        <v>1</v>
      </c>
      <c r="J5" s="139">
        <f>IF([1]MuKu!R21="","",[1]MuKu!R21)</f>
        <v>-0.2</v>
      </c>
      <c r="K5" s="132"/>
      <c r="L5" s="10"/>
      <c r="M5" s="11"/>
    </row>
    <row r="6" spans="1:13" ht="12.75" x14ac:dyDescent="0.2">
      <c r="A6" s="132"/>
      <c r="B6" s="20" t="str">
        <f>IF([1]MuKu!F12="","",[1]MuKu!F12)</f>
        <v>Leistungsbedarf</v>
      </c>
      <c r="C6" s="20"/>
      <c r="D6" s="140">
        <f>IF(OR([1]MuKu!I14="",H5="",[1]MuKu!I16=""),"",[1]MuKu!I14*H5/[1]MuKu!I16)</f>
        <v>27.297222222222221</v>
      </c>
      <c r="E6" s="136" t="s">
        <v>114</v>
      </c>
      <c r="F6" s="20" t="str">
        <f>IF([1]MuKu!B23="","",[1]MuKu!B23)</f>
        <v>Fett</v>
      </c>
      <c r="G6" s="20"/>
      <c r="H6" s="141">
        <f>IF([1]MuKu!O23="","",[1]MuKu!O23)</f>
        <v>0.04</v>
      </c>
      <c r="I6" s="138">
        <f>IF([1]MuKu!K23="","",[1]MuKu!K23)</f>
        <v>2</v>
      </c>
      <c r="J6" s="139">
        <f>IF([1]MuKu!R23="","",[1]MuKu!R23)</f>
        <v>-0.1</v>
      </c>
      <c r="K6" s="132"/>
      <c r="L6" s="10"/>
      <c r="M6" s="11"/>
    </row>
    <row r="7" spans="1:13" ht="12.75" x14ac:dyDescent="0.2">
      <c r="A7" s="132"/>
      <c r="B7" s="20" t="s">
        <v>115</v>
      </c>
      <c r="C7" s="20"/>
      <c r="D7" s="537">
        <f>SUM(D5:D6)</f>
        <v>63.702251736408726</v>
      </c>
      <c r="E7" s="136" t="s">
        <v>114</v>
      </c>
      <c r="F7" s="20" t="str">
        <f>IF([1]MuKu!B25="","",[1]MuKu!B25)</f>
        <v>Eiweiß</v>
      </c>
      <c r="G7" s="20"/>
      <c r="H7" s="141">
        <f>IF([1]MuKu!O25="","",[1]MuKu!O25)</f>
        <v>3.1E-2</v>
      </c>
      <c r="I7" s="138">
        <f>IF([1]MuKu!K25="","",[1]MuKu!K25)</f>
        <v>4</v>
      </c>
      <c r="J7" s="139">
        <f>IF([1]MuKu!R25="","",[1]MuKu!R25)</f>
        <v>0.1</v>
      </c>
      <c r="K7" s="132"/>
      <c r="L7" s="10"/>
      <c r="M7" s="11"/>
    </row>
    <row r="8" spans="1:13" ht="12.75" x14ac:dyDescent="0.2">
      <c r="A8" s="132"/>
      <c r="B8" s="20" t="s">
        <v>116</v>
      </c>
      <c r="C8" s="20"/>
      <c r="D8" s="523">
        <f>D7*H10</f>
        <v>18473.653003558531</v>
      </c>
      <c r="E8" s="143" t="s">
        <v>336</v>
      </c>
      <c r="F8" s="20" t="str">
        <f>IF([1]MuKu!B27="","",[1]MuKu!B27)</f>
        <v>Mutterkuhgewicht lebend</v>
      </c>
      <c r="G8" s="20"/>
      <c r="H8" s="137">
        <f>IF([1]MuKu!O27="","",[1]MuKu!O27)</f>
        <v>620</v>
      </c>
      <c r="I8" s="138">
        <f>IF([1]MuKu!K27="","",[1]MuKu!K27)</f>
        <v>5</v>
      </c>
      <c r="J8" s="139">
        <f>IF([1]MuKu!R27="","",[1]MuKu!R27)</f>
        <v>0.2</v>
      </c>
      <c r="K8" s="132"/>
      <c r="L8" s="10"/>
      <c r="M8" s="11"/>
    </row>
    <row r="9" spans="1:13" ht="13.5" thickBot="1" x14ac:dyDescent="0.25">
      <c r="A9" s="132"/>
      <c r="B9" s="20" t="str">
        <f>IF([1]MuKu!B18="","",[1]MuKu!B18)</f>
        <v>Bedarf je Nachkomme</v>
      </c>
      <c r="C9" s="20"/>
      <c r="D9" s="144">
        <f>IF([1]MuKu!O18="","",[1]MuKu!O18)</f>
        <v>7000</v>
      </c>
      <c r="E9" s="143" t="s">
        <v>336</v>
      </c>
      <c r="F9" s="20" t="str">
        <f>IF([1]MuKu!B29="","",[1]MuKu!B29)</f>
        <v>Nutzungsdauer</v>
      </c>
      <c r="G9" s="20"/>
      <c r="H9" s="145">
        <f>IF([1]MuKu!O29="","",[1]MuKu!O29)</f>
        <v>7</v>
      </c>
      <c r="I9" s="146" t="s">
        <v>117</v>
      </c>
      <c r="J9" s="146"/>
      <c r="K9" s="132"/>
      <c r="L9" s="10"/>
      <c r="M9" s="11"/>
    </row>
    <row r="10" spans="1:13" ht="13.5" thickBot="1" x14ac:dyDescent="0.25">
      <c r="A10" s="132"/>
      <c r="B10" s="20" t="s">
        <v>118</v>
      </c>
      <c r="C10" s="20"/>
      <c r="D10" s="142">
        <f>SUM(D8:D9)</f>
        <v>25473.653003558531</v>
      </c>
      <c r="E10" s="143" t="s">
        <v>336</v>
      </c>
      <c r="F10" s="20" t="str">
        <f>IF([1]MuKu!F21="","",[1]MuKu!F21)</f>
        <v>Stallhaltungstage</v>
      </c>
      <c r="G10" s="20"/>
      <c r="H10" s="145">
        <f>IF([1]MuKu!Q21="","",[1]MuKu!Q21)</f>
        <v>290</v>
      </c>
      <c r="I10" s="147" t="s">
        <v>119</v>
      </c>
      <c r="J10" s="147" t="s">
        <v>120</v>
      </c>
      <c r="K10" s="132"/>
      <c r="L10" s="10"/>
      <c r="M10" s="11"/>
    </row>
    <row r="11" spans="1:13" ht="12.75" x14ac:dyDescent="0.2">
      <c r="A11" s="132"/>
      <c r="B11" s="30" t="s">
        <v>121</v>
      </c>
      <c r="C11" s="30"/>
      <c r="D11" s="30"/>
      <c r="E11" s="30"/>
      <c r="F11" s="20" t="str">
        <f>IF([1]MuKu!F23="","",[1]MuKu!F23)</f>
        <v>Abkalbequote</v>
      </c>
      <c r="G11" s="20"/>
      <c r="H11" s="148">
        <f>IF([1]MuKu!Q23="","",[1]MuKu!Q23)</f>
        <v>0.9</v>
      </c>
      <c r="I11" s="149">
        <f>IF([1]MuKu!Q27="","",[1]MuKu!Q27)</f>
        <v>0.5</v>
      </c>
      <c r="J11" s="149">
        <f>1-I11</f>
        <v>0.5</v>
      </c>
      <c r="K11" s="132"/>
      <c r="L11" s="10"/>
      <c r="M11" s="11"/>
    </row>
    <row r="12" spans="1:13" ht="12.75" x14ac:dyDescent="0.2">
      <c r="A12" s="132"/>
      <c r="B12" s="20" t="str">
        <f>IF([1]MuKu!B33="","",[1]MuKu!B33)</f>
        <v>Nutzungsform</v>
      </c>
      <c r="C12" s="20"/>
      <c r="D12" s="150"/>
      <c r="E12" s="151" t="str">
        <f>IF([1]MuKu!F33="","",[1]MuKu!F33)</f>
        <v/>
      </c>
      <c r="F12" s="146" t="s">
        <v>122</v>
      </c>
      <c r="G12" s="146"/>
      <c r="H12" s="146"/>
      <c r="I12" s="146"/>
      <c r="J12" s="146"/>
      <c r="K12" s="132"/>
      <c r="L12" s="10"/>
      <c r="M12" s="11"/>
    </row>
    <row r="13" spans="1:13" ht="12.75" x14ac:dyDescent="0.2">
      <c r="A13" s="132"/>
      <c r="B13" s="20" t="str">
        <f>IF([1]MuKu!B35="","",[1]MuKu!B35)</f>
        <v>Haltungsdauer</v>
      </c>
      <c r="C13" s="20" t="str">
        <f>IF([1]MuKu!B37="","",[1]MuKu!B37)</f>
        <v>Kalbin</v>
      </c>
      <c r="D13" s="152" t="str">
        <f>IF([1]MuKu!O37="","",[1]MuKu!O37)</f>
        <v/>
      </c>
      <c r="E13" s="15" t="str">
        <f>IF([1]MuKu!E37="","",[1]MuKu!E37)</f>
        <v xml:space="preserve"> Tage</v>
      </c>
      <c r="F13" s="153" t="s">
        <v>123</v>
      </c>
      <c r="G13" s="153"/>
      <c r="H13" s="153"/>
      <c r="I13" s="153"/>
      <c r="J13" s="153"/>
      <c r="K13" s="132"/>
      <c r="L13" s="10"/>
      <c r="M13" s="11"/>
    </row>
    <row r="14" spans="1:13" ht="12.75" customHeight="1" x14ac:dyDescent="0.2">
      <c r="A14" s="132"/>
      <c r="B14" s="154"/>
      <c r="C14" s="20" t="str">
        <f>IF([1]MuKu!B39="","",[1]MuKu!B39)</f>
        <v>Stier</v>
      </c>
      <c r="D14" s="152" t="str">
        <f>IF([1]MuKu!O39="","",[1]MuKu!O39)</f>
        <v/>
      </c>
      <c r="E14" s="15" t="str">
        <f>IF([1]MuKu!E39="","",[1]MuKu!E39)</f>
        <v xml:space="preserve"> Tage</v>
      </c>
      <c r="F14" s="155" t="s">
        <v>124</v>
      </c>
      <c r="G14" s="155"/>
      <c r="H14" s="155"/>
      <c r="I14" s="155"/>
      <c r="J14" s="155"/>
      <c r="K14" s="132"/>
      <c r="L14" s="10"/>
      <c r="M14" s="11"/>
    </row>
    <row r="15" spans="1:13" ht="12.75" x14ac:dyDescent="0.2">
      <c r="A15" s="132"/>
      <c r="B15" s="146" t="s">
        <v>125</v>
      </c>
      <c r="C15" s="146"/>
      <c r="D15" s="146"/>
      <c r="E15" s="146"/>
      <c r="F15" s="156">
        <f>IF(OR(J5="",H15=""),"",ROUND($H15*SUM(1,$J$5),2))</f>
        <v>0.95</v>
      </c>
      <c r="G15" s="156">
        <f>IF(OR(J6="",H15=""),"",ROUND($H15*SUM(1,$J$6),2))</f>
        <v>1.07</v>
      </c>
      <c r="H15" s="157">
        <f>IF([1]MuKu!R35="","",[1]MuKu!R35)</f>
        <v>1.19</v>
      </c>
      <c r="I15" s="156">
        <f>IF(OR(J7="",H15=""),"",ROUND($H15*SUM(1,$J$7),2))</f>
        <v>1.31</v>
      </c>
      <c r="J15" s="156">
        <f>IF(OR(J8="",H15=""),"",ROUND($H15*SUM(1,$J$8),2))</f>
        <v>1.43</v>
      </c>
      <c r="K15" s="132"/>
      <c r="L15" s="10"/>
      <c r="M15" s="11"/>
    </row>
    <row r="16" spans="1:13" ht="12.75" x14ac:dyDescent="0.2">
      <c r="A16" s="132"/>
      <c r="B16" s="30" t="s">
        <v>126</v>
      </c>
      <c r="C16" s="1205" t="s">
        <v>127</v>
      </c>
      <c r="D16" s="1205" t="s">
        <v>128</v>
      </c>
      <c r="E16" s="1205" t="s">
        <v>129</v>
      </c>
      <c r="F16" s="153" t="s">
        <v>130</v>
      </c>
      <c r="G16" s="153"/>
      <c r="H16" s="153"/>
      <c r="I16" s="153"/>
      <c r="J16" s="153"/>
      <c r="K16" s="132"/>
      <c r="L16" s="10"/>
      <c r="M16" s="11"/>
    </row>
    <row r="17" spans="1:13" ht="12.75" x14ac:dyDescent="0.2">
      <c r="A17" s="132"/>
      <c r="B17" s="30" t="s">
        <v>126</v>
      </c>
      <c r="C17" s="1205" t="s">
        <v>126</v>
      </c>
      <c r="D17" s="1205" t="s">
        <v>126</v>
      </c>
      <c r="E17" s="1205" t="s">
        <v>126</v>
      </c>
      <c r="F17" s="155" t="s">
        <v>131</v>
      </c>
      <c r="G17" s="155"/>
      <c r="H17" s="155"/>
      <c r="I17" s="155"/>
      <c r="J17" s="155"/>
      <c r="K17" s="132"/>
      <c r="L17" s="10"/>
      <c r="M17" s="11"/>
    </row>
    <row r="18" spans="1:13" ht="12.75" x14ac:dyDescent="0.2">
      <c r="A18" s="132"/>
      <c r="B18" s="20" t="str">
        <f>IF([1]MuKu!D46="","",[1]MuKu!D46)</f>
        <v>Kalbin</v>
      </c>
      <c r="C18" s="137">
        <f>IF([1]MuKu!O47="","",[1]MuKu!O47)</f>
        <v>290</v>
      </c>
      <c r="D18" s="158" t="str">
        <f>IF([1]MuKu!O49="","",[1]MuKu!O49)</f>
        <v>mittel</v>
      </c>
      <c r="E18" s="159">
        <f>IF([1]MuKu!O51="","",[1]MuKu!O51)</f>
        <v>0.5</v>
      </c>
      <c r="F18" s="156">
        <f>IF(OR($J$5="",$H18=""),"",ROUND($H18*SUM(1,$J$5),2))</f>
        <v>4.83</v>
      </c>
      <c r="G18" s="156">
        <f>IF(OR($J$6="",$H18=""),"",ROUND($H18*SUM(1,$J$6),2))</f>
        <v>5.44</v>
      </c>
      <c r="H18" s="157">
        <f>IF([1]MuKu!R41="","",[1]MuKu!R41)</f>
        <v>6.04</v>
      </c>
      <c r="I18" s="156">
        <f>IF(OR($J$7="",$H18=""),"",ROUND($H18*SUM(1,$J$7),2))</f>
        <v>6.64</v>
      </c>
      <c r="J18" s="156">
        <f>IF(OR($J$8="",$H18=""),"",ROUND($H18*SUM(1,$J$8),2))</f>
        <v>7.25</v>
      </c>
      <c r="K18" s="132"/>
      <c r="L18" s="10"/>
      <c r="M18" s="11"/>
    </row>
    <row r="19" spans="1:13" ht="12.75" x14ac:dyDescent="0.2">
      <c r="A19" s="132"/>
      <c r="B19" s="20" t="str">
        <f>IF([1]MuKu!F46="","",[1]MuKu!F46)</f>
        <v>Stier</v>
      </c>
      <c r="C19" s="137">
        <f>IF([1]MuKu!P47="","",[1]MuKu!P47)</f>
        <v>330</v>
      </c>
      <c r="D19" s="158" t="str">
        <f>IF([1]MuKu!P49="","",[1]MuKu!P49)</f>
        <v>mittel</v>
      </c>
      <c r="E19" s="159">
        <f>IF([1]MuKu!P51="","",[1]MuKu!P51)</f>
        <v>0.55000000000000004</v>
      </c>
      <c r="F19" s="156">
        <f>IF(OR($J$5="",$H19=""),"",ROUND($H19*SUM(1,$J$5),2))</f>
        <v>5.15</v>
      </c>
      <c r="G19" s="156">
        <f>IF(OR($J$6="",$H19=""),"",ROUND($H19*SUM(1,$J$6),2))</f>
        <v>5.8</v>
      </c>
      <c r="H19" s="157">
        <f>IF([1]MuKu!R43="","",[1]MuKu!R43)</f>
        <v>6.44</v>
      </c>
      <c r="I19" s="156">
        <f>IF(OR($J$7="",$H19=""),"",ROUND($H19*SUM(1,$J$7),2))</f>
        <v>7.08</v>
      </c>
      <c r="J19" s="156">
        <f>IF(OR($J$8="",$H19=""),"",ROUND($H19*SUM(1,$J$8),2))</f>
        <v>7.73</v>
      </c>
      <c r="K19" s="132"/>
      <c r="L19" s="10"/>
      <c r="M19" s="11"/>
    </row>
    <row r="20" spans="1:13" ht="12.75" customHeight="1" x14ac:dyDescent="0.2">
      <c r="A20" s="132"/>
      <c r="B20" s="160"/>
      <c r="C20" s="160"/>
      <c r="D20" s="160"/>
      <c r="E20" s="132"/>
      <c r="F20" s="161"/>
      <c r="G20" s="161"/>
      <c r="H20" s="161"/>
      <c r="I20" s="161"/>
      <c r="J20" s="161"/>
      <c r="K20" s="132"/>
      <c r="L20" s="10"/>
      <c r="M20" s="11"/>
    </row>
    <row r="21" spans="1:13" ht="12.75" x14ac:dyDescent="0.2">
      <c r="A21" s="132"/>
      <c r="B21" s="30" t="s">
        <v>2</v>
      </c>
      <c r="C21" s="30"/>
      <c r="D21" s="30"/>
      <c r="E21" s="30"/>
      <c r="F21" s="19"/>
      <c r="G21" s="19"/>
      <c r="H21" s="19" t="s">
        <v>132</v>
      </c>
      <c r="I21" s="19"/>
      <c r="J21" s="19"/>
      <c r="K21" s="132"/>
      <c r="L21" s="10"/>
      <c r="M21" s="11"/>
    </row>
    <row r="22" spans="1:13" ht="12.75" x14ac:dyDescent="0.2">
      <c r="A22" s="132"/>
      <c r="B22" s="57"/>
      <c r="C22" s="19"/>
      <c r="D22" s="19" t="s">
        <v>133</v>
      </c>
      <c r="E22" s="19" t="s">
        <v>92</v>
      </c>
      <c r="F22" s="162">
        <f>$I$5</f>
        <v>1</v>
      </c>
      <c r="G22" s="162">
        <f>$I$6</f>
        <v>2</v>
      </c>
      <c r="H22" s="163" t="s">
        <v>134</v>
      </c>
      <c r="I22" s="162">
        <f>$I$7</f>
        <v>4</v>
      </c>
      <c r="J22" s="162">
        <f>$I$8</f>
        <v>5</v>
      </c>
      <c r="K22" s="132"/>
      <c r="L22" s="12"/>
      <c r="M22" s="11"/>
    </row>
    <row r="23" spans="1:13" ht="12.75" x14ac:dyDescent="0.2">
      <c r="A23" s="132"/>
      <c r="B23" s="20" t="s">
        <v>135</v>
      </c>
      <c r="C23" s="164"/>
      <c r="D23" s="535">
        <f>IF(C18="","",C18)</f>
        <v>290</v>
      </c>
      <c r="E23" s="538">
        <f>H11*I11</f>
        <v>0.45</v>
      </c>
      <c r="F23" s="170">
        <f>IF(OR($E$23="",$D$23="",$E$18="",F18=""),"",($E$23*$D$23)*$E$18*F18)</f>
        <v>315.15750000000003</v>
      </c>
      <c r="G23" s="168">
        <f>IF(OR($E$23="",$D$23="",$E$18="",G18=""),"",($E$23*$D$23)*$E$18*G18)</f>
        <v>354.96000000000004</v>
      </c>
      <c r="H23" s="226">
        <f>D23*E23*E18*H18</f>
        <v>394.11</v>
      </c>
      <c r="I23" s="170">
        <f>IF(OR($E$23="",$D$23="",$E$18="",I18=""),"",($E$23*$D$23)*$E$18*I18)</f>
        <v>433.26</v>
      </c>
      <c r="J23" s="167">
        <f>IF(OR($E$23="",$D$23="",$E$18="",J18=""),"",($E$23*$D$23)*$E$18*J18)</f>
        <v>473.0625</v>
      </c>
      <c r="K23" s="132"/>
      <c r="L23" s="10"/>
      <c r="M23" s="11"/>
    </row>
    <row r="24" spans="1:13" ht="13.5" thickBot="1" x14ac:dyDescent="0.25">
      <c r="A24" s="132"/>
      <c r="B24" s="20" t="s">
        <v>136</v>
      </c>
      <c r="C24" s="164"/>
      <c r="D24" s="536">
        <f>IF(C19="","",C19)</f>
        <v>330</v>
      </c>
      <c r="E24" s="539">
        <f>H11*J11</f>
        <v>0.45</v>
      </c>
      <c r="F24" s="170">
        <f>IF(OR($E$24="",$D$24="",$E$19="",F19=""),"",($E$24*$D$24)*$E$19*F19)</f>
        <v>420.62625000000008</v>
      </c>
      <c r="G24" s="168">
        <f>IF(OR($E$24="",$D$24="",$E$19="",G19=""),"",($E$24*$D$24)*$E$19*G19)</f>
        <v>473.71500000000003</v>
      </c>
      <c r="H24" s="226">
        <f>D24*E24*E19*H19</f>
        <v>525.98700000000008</v>
      </c>
      <c r="I24" s="170">
        <f>IF(OR($E$24="",$D$24="",$E$19="",I19=""),"",($E$24*$D$24)*$E$19*I19)</f>
        <v>578.25900000000013</v>
      </c>
      <c r="J24" s="167">
        <f>IF(OR($E$24="",$D$24="",$E$19="",J19=""),"",($E$24*$D$24)*$E$19*J19)</f>
        <v>631.34775000000013</v>
      </c>
      <c r="K24" s="132"/>
      <c r="L24" s="10"/>
      <c r="M24" s="11"/>
    </row>
    <row r="25" spans="1:13" ht="13.5" thickBot="1" x14ac:dyDescent="0.25">
      <c r="A25" s="132"/>
      <c r="B25" s="20" t="s">
        <v>87</v>
      </c>
      <c r="C25" s="164"/>
      <c r="D25" s="171">
        <f>IF(H8="","",H8)</f>
        <v>620</v>
      </c>
      <c r="E25" s="166">
        <f>1/H9</f>
        <v>0.14285714285714285</v>
      </c>
      <c r="F25" s="170">
        <f>IF(OR($D$25="",$E$25="",F15=""),"",$D$25*$E$25*F15)</f>
        <v>84.142857142857139</v>
      </c>
      <c r="G25" s="168">
        <f>IF(OR($D$25="",$E$25="",G15=""),"",$D$25*$E$25*G15)</f>
        <v>94.771428571428572</v>
      </c>
      <c r="H25" s="540">
        <f>IF(OR($D$25="",$E$25="",H15=""),"noch leer",$D$25*$E$25*H15)</f>
        <v>105.39999999999999</v>
      </c>
      <c r="I25" s="170">
        <f>IF(OR($D$25="",$E$25="",I15=""),"",$D$25*$E$25*I15)</f>
        <v>116.02857142857142</v>
      </c>
      <c r="J25" s="167">
        <f>IF(OR($D$25="",$E$25="",J15=""),"",$D$25*$E$25*J15)</f>
        <v>126.65714285714284</v>
      </c>
      <c r="K25" s="132"/>
      <c r="L25" s="10"/>
      <c r="M25" s="11"/>
    </row>
    <row r="26" spans="1:13" ht="13.5" thickBot="1" x14ac:dyDescent="0.25">
      <c r="A26" s="132"/>
      <c r="B26" s="36" t="s">
        <v>89</v>
      </c>
      <c r="C26" s="36"/>
      <c r="D26" s="36"/>
      <c r="E26" s="36"/>
      <c r="F26" s="172">
        <f>SUM(F23:F25)</f>
        <v>819.92660714285716</v>
      </c>
      <c r="G26" s="173">
        <f>SUM(G23:G25)</f>
        <v>923.44642857142867</v>
      </c>
      <c r="H26" s="174">
        <f>SUM(H23:H25)</f>
        <v>1025.4970000000001</v>
      </c>
      <c r="I26" s="175">
        <f>SUM(I23:I25)</f>
        <v>1127.5475714285715</v>
      </c>
      <c r="J26" s="172">
        <f>SUM(J23:J25)</f>
        <v>1231.067392857143</v>
      </c>
      <c r="K26" s="132"/>
      <c r="L26" s="10"/>
      <c r="M26" s="11"/>
    </row>
    <row r="27" spans="1:13" ht="3.95" customHeight="1" x14ac:dyDescent="0.2">
      <c r="A27" s="132"/>
      <c r="B27" s="160"/>
      <c r="C27" s="160"/>
      <c r="D27" s="160"/>
      <c r="E27" s="160"/>
      <c r="F27" s="160"/>
      <c r="G27" s="160"/>
      <c r="H27" s="176"/>
      <c r="I27" s="160"/>
      <c r="J27" s="160"/>
      <c r="K27" s="132"/>
      <c r="L27" s="10"/>
      <c r="M27" s="11"/>
    </row>
    <row r="28" spans="1:13" ht="12.75" x14ac:dyDescent="0.2">
      <c r="A28" s="132"/>
      <c r="B28" s="30" t="s">
        <v>7</v>
      </c>
      <c r="C28" s="134"/>
      <c r="D28" s="19" t="s">
        <v>92</v>
      </c>
      <c r="E28" s="30" t="s">
        <v>137</v>
      </c>
      <c r="F28" s="162">
        <f>$I$5</f>
        <v>1</v>
      </c>
      <c r="G28" s="162">
        <f>$I$6</f>
        <v>2</v>
      </c>
      <c r="H28" s="163" t="s">
        <v>134</v>
      </c>
      <c r="I28" s="162">
        <f>$I$7</f>
        <v>4</v>
      </c>
      <c r="J28" s="162">
        <f>$I$8</f>
        <v>5</v>
      </c>
      <c r="K28" s="132"/>
      <c r="L28" s="10"/>
      <c r="M28" s="11"/>
    </row>
    <row r="29" spans="1:13" ht="13.5" thickBot="1" x14ac:dyDescent="0.25">
      <c r="A29" s="132"/>
      <c r="B29" s="20" t="s">
        <v>138</v>
      </c>
      <c r="C29" s="164"/>
      <c r="D29" s="538">
        <f>1/H9</f>
        <v>0.14285714285714285</v>
      </c>
      <c r="E29" s="177"/>
      <c r="F29" s="167">
        <f>IF(OR(F23="",$E$23="",$D$29=""),"",F23/$E$23*$D$29)</f>
        <v>100.05</v>
      </c>
      <c r="G29" s="168">
        <f>IF(OR(G23="",$E$23="",$D$29=""),"",G23/$E$23*$D$29)</f>
        <v>112.68571428571428</v>
      </c>
      <c r="H29" s="540">
        <f>D23*D29*E18*H18</f>
        <v>125.1142857142857</v>
      </c>
      <c r="I29" s="170">
        <f>IF(OR(I23="",$E$23="",$D$29=""),"",I23/$E$23*$D$29)</f>
        <v>137.54285714285712</v>
      </c>
      <c r="J29" s="167">
        <f>IF(OR(J23="",$E$23="",$D$29=""),"",J23/$E$23*$D$29)</f>
        <v>150.17857142857142</v>
      </c>
      <c r="K29" s="132"/>
      <c r="L29" s="13"/>
      <c r="M29" s="11"/>
    </row>
    <row r="30" spans="1:13" ht="13.5" thickBot="1" x14ac:dyDescent="0.25">
      <c r="A30" s="132"/>
      <c r="B30" s="20" t="str">
        <f>IF([1]MuKu!B56="","",[1]MuKu!B56)</f>
        <v xml:space="preserve">KF-Gaben </v>
      </c>
      <c r="C30" s="164"/>
      <c r="D30" s="178">
        <f>IF([1]MuKu!O56="","",[1]MuKu!O56)</f>
        <v>42</v>
      </c>
      <c r="E30" s="179">
        <f>IF([1]MuKu!P56="","",[1]MuKu!P56)</f>
        <v>0.22</v>
      </c>
      <c r="F30" s="167">
        <f>IF(OR($H$30="",$D$30="",$E$30=""),"",$D$30*$E$30)</f>
        <v>9.24</v>
      </c>
      <c r="G30" s="168">
        <f>IF(OR($H$30="",$D$30="",$E$30=""),"",$D$30*$E$30)</f>
        <v>9.24</v>
      </c>
      <c r="H30" s="169">
        <f t="shared" ref="H30:H31" si="0">D30*E30</f>
        <v>9.24</v>
      </c>
      <c r="I30" s="170">
        <f>IF(OR($H$30="",$D$30="",$E$30=""),"",$D$30*$E$30)</f>
        <v>9.24</v>
      </c>
      <c r="J30" s="167">
        <f>IF(OR($H$30="",$D$30="",$E$30=""),"",$D$30*$E$30)</f>
        <v>9.24</v>
      </c>
      <c r="K30" s="132"/>
      <c r="L30" s="13"/>
      <c r="M30" s="11"/>
    </row>
    <row r="31" spans="1:13" ht="13.5" thickBot="1" x14ac:dyDescent="0.25">
      <c r="A31" s="132"/>
      <c r="B31" s="20" t="str">
        <f>IF([1]MuKu!B58="","",[1]MuKu!B58)</f>
        <v>Mineralstoffe</v>
      </c>
      <c r="C31" s="164"/>
      <c r="D31" s="165">
        <f>IF([1]MuKu!O58="","",[1]MuKu!O58)</f>
        <v>11</v>
      </c>
      <c r="E31" s="179">
        <f>IF([1]MuKu!P58="","",[1]MuKu!P58)</f>
        <v>0.89</v>
      </c>
      <c r="F31" s="167">
        <f>IF(OR($H$31="",$D$31="",$E$31=""),"",$D$31*$E$31)</f>
        <v>9.7900000000000009</v>
      </c>
      <c r="G31" s="168">
        <f>IF(OR($H$31="",$D$31="",$E$31=""),"",$D$31*$E$31)</f>
        <v>9.7900000000000009</v>
      </c>
      <c r="H31" s="169">
        <f t="shared" si="0"/>
        <v>9.7900000000000009</v>
      </c>
      <c r="I31" s="170">
        <f>IF(OR($H$31="",$D$31="",$E$31=""),"",$D$31*$E$31)</f>
        <v>9.7900000000000009</v>
      </c>
      <c r="J31" s="167">
        <f>IF(OR($H$31="",$D$31="",$E$31=""),"",$D$31*$E$31)</f>
        <v>9.7900000000000009</v>
      </c>
      <c r="K31" s="132"/>
      <c r="L31" s="13"/>
      <c r="M31" s="11"/>
    </row>
    <row r="32" spans="1:13" ht="12.75" x14ac:dyDescent="0.2">
      <c r="A32" s="132"/>
      <c r="B32" s="20" t="str">
        <f>IF([1]MuKu!B60="","",[1]MuKu!B60)</f>
        <v>Tierarzt Med.</v>
      </c>
      <c r="C32" s="164"/>
      <c r="D32" s="180"/>
      <c r="E32" s="179">
        <f>IF([1]MuKu!P60="","",[1]MuKu!P60)</f>
        <v>16.829999999999998</v>
      </c>
      <c r="F32" s="167">
        <f>$E$32</f>
        <v>16.829999999999998</v>
      </c>
      <c r="G32" s="168">
        <f>$E$32</f>
        <v>16.829999999999998</v>
      </c>
      <c r="H32" s="541">
        <f>E32</f>
        <v>16.829999999999998</v>
      </c>
      <c r="I32" s="170">
        <f>$E$32</f>
        <v>16.829999999999998</v>
      </c>
      <c r="J32" s="167">
        <f>$E$32</f>
        <v>16.829999999999998</v>
      </c>
      <c r="K32" s="132"/>
      <c r="L32" s="10"/>
      <c r="M32" s="11"/>
    </row>
    <row r="33" spans="1:13" ht="12.75" x14ac:dyDescent="0.2">
      <c r="A33" s="132"/>
      <c r="B33" s="20" t="str">
        <f>IF([1]MuKu!B62="","",[1]MuKu!B62)</f>
        <v>Deckgeld</v>
      </c>
      <c r="C33" s="164"/>
      <c r="D33" s="181"/>
      <c r="E33" s="182">
        <f>IF([1]MuKu!P62="","",[1]MuKu!P62)</f>
        <v>29.7</v>
      </c>
      <c r="F33" s="167">
        <f>$E$33</f>
        <v>29.7</v>
      </c>
      <c r="G33" s="168">
        <f>$E$33</f>
        <v>29.7</v>
      </c>
      <c r="H33" s="226">
        <f>E33</f>
        <v>29.7</v>
      </c>
      <c r="I33" s="170">
        <f>$E$33</f>
        <v>29.7</v>
      </c>
      <c r="J33" s="167">
        <f>$E$33</f>
        <v>29.7</v>
      </c>
      <c r="K33" s="132"/>
      <c r="L33" s="10"/>
      <c r="M33" s="11"/>
    </row>
    <row r="34" spans="1:13" ht="12.75" x14ac:dyDescent="0.2">
      <c r="A34" s="132"/>
      <c r="B34" s="20" t="str">
        <f>IF([1]MuKu!B64="","",[1]MuKu!B64)</f>
        <v>Versicherung</v>
      </c>
      <c r="C34" s="164"/>
      <c r="D34" s="1271">
        <v>0.03</v>
      </c>
      <c r="E34" s="1272"/>
      <c r="F34" s="170">
        <f>IF(F26="","",F26*$D$34)</f>
        <v>24.597798214285714</v>
      </c>
      <c r="G34" s="168">
        <f>IF(G26="","",G26*$D$34)</f>
        <v>27.703392857142859</v>
      </c>
      <c r="H34" s="226">
        <f>D34*H26</f>
        <v>30.76491</v>
      </c>
      <c r="I34" s="170">
        <f>IF(I26="","",I26*$D$34)</f>
        <v>33.826427142857142</v>
      </c>
      <c r="J34" s="167">
        <f>IF(J26="","",J26*$D$34)</f>
        <v>36.932021785714291</v>
      </c>
      <c r="K34" s="132"/>
      <c r="L34" s="10"/>
      <c r="M34" s="11"/>
    </row>
    <row r="35" spans="1:13" ht="12.75" x14ac:dyDescent="0.2">
      <c r="A35" s="132"/>
      <c r="B35" s="20" t="str">
        <f>IF([1]MuKu!K56="","",[1]MuKu!K56)</f>
        <v>Beiträge</v>
      </c>
      <c r="C35" s="164"/>
      <c r="D35" s="183"/>
      <c r="E35" s="184">
        <f>IF([1]MuKu!R56="","",[1]MuKu!R56)</f>
        <v>13.86</v>
      </c>
      <c r="F35" s="167">
        <f>$E$35</f>
        <v>13.86</v>
      </c>
      <c r="G35" s="168">
        <f>$E$35</f>
        <v>13.86</v>
      </c>
      <c r="H35" s="226">
        <f>E35</f>
        <v>13.86</v>
      </c>
      <c r="I35" s="170">
        <f>$E$35</f>
        <v>13.86</v>
      </c>
      <c r="J35" s="167">
        <f>$E$35</f>
        <v>13.86</v>
      </c>
      <c r="K35" s="132"/>
      <c r="L35" s="10"/>
      <c r="M35" s="11"/>
    </row>
    <row r="36" spans="1:13" ht="12.75" x14ac:dyDescent="0.2">
      <c r="A36" s="132"/>
      <c r="B36" s="20" t="str">
        <f>IF([1]MuKu!K58="","",[1]MuKu!K58)</f>
        <v>Sonstige Kosten</v>
      </c>
      <c r="C36" s="164"/>
      <c r="D36" s="180"/>
      <c r="E36" s="179">
        <f>IF([1]MuKu!R58="","",[1]MuKu!R58)</f>
        <v>47.52</v>
      </c>
      <c r="F36" s="167">
        <f>$E$36</f>
        <v>47.52</v>
      </c>
      <c r="G36" s="168">
        <f>$E$36</f>
        <v>47.52</v>
      </c>
      <c r="H36" s="226">
        <f>E36</f>
        <v>47.52</v>
      </c>
      <c r="I36" s="170">
        <f>$E$36</f>
        <v>47.52</v>
      </c>
      <c r="J36" s="167">
        <f>$E$36</f>
        <v>47.52</v>
      </c>
      <c r="K36" s="132"/>
      <c r="L36" s="10"/>
      <c r="M36" s="11"/>
    </row>
    <row r="37" spans="1:13" ht="12.75" x14ac:dyDescent="0.2">
      <c r="A37" s="132"/>
      <c r="B37" s="20" t="str">
        <f>IF([1]MuKu!K60="","",[1]MuKu!K60)</f>
        <v>Alpung, Transportkosten....</v>
      </c>
      <c r="C37" s="164"/>
      <c r="D37" s="180"/>
      <c r="E37" s="179">
        <f>IF([1]MuKu!R60="","",[1]MuKu!R60)</f>
        <v>31.68</v>
      </c>
      <c r="F37" s="167">
        <f>$E$37</f>
        <v>31.68</v>
      </c>
      <c r="G37" s="168">
        <f>$E$37</f>
        <v>31.68</v>
      </c>
      <c r="H37" s="226">
        <f>E37</f>
        <v>31.68</v>
      </c>
      <c r="I37" s="170">
        <f>$E$37</f>
        <v>31.68</v>
      </c>
      <c r="J37" s="167">
        <f>$E$37</f>
        <v>31.68</v>
      </c>
      <c r="K37" s="185"/>
      <c r="L37" s="10"/>
      <c r="M37" s="11"/>
    </row>
    <row r="38" spans="1:13" ht="12.75" x14ac:dyDescent="0.2">
      <c r="A38" s="132"/>
      <c r="B38" s="20" t="str">
        <f>IF([1]MuKu!K62="","",[1]MuKu!K62)</f>
        <v>Schlachtung</v>
      </c>
      <c r="C38" s="164"/>
      <c r="D38" s="180"/>
      <c r="E38" s="179">
        <f>IF([1]MuKu!R62="","",[1]MuKu!R62)</f>
        <v>40.590000000000003</v>
      </c>
      <c r="F38" s="167">
        <f>$E$38</f>
        <v>40.590000000000003</v>
      </c>
      <c r="G38" s="168">
        <f>$E$38</f>
        <v>40.590000000000003</v>
      </c>
      <c r="H38" s="226">
        <f>E38</f>
        <v>40.590000000000003</v>
      </c>
      <c r="I38" s="170">
        <f>$E$38</f>
        <v>40.590000000000003</v>
      </c>
      <c r="J38" s="167">
        <f>$E$38</f>
        <v>40.590000000000003</v>
      </c>
      <c r="K38" s="185"/>
      <c r="L38" s="10"/>
      <c r="M38" s="11"/>
    </row>
    <row r="39" spans="1:13" ht="13.5" thickBot="1" x14ac:dyDescent="0.25">
      <c r="A39" s="132"/>
      <c r="B39" s="20" t="str">
        <f>IF([1]MuKu!K64="","",[1]MuKu!K64)</f>
        <v xml:space="preserve">Mischpakete </v>
      </c>
      <c r="C39" s="164"/>
      <c r="D39" s="180"/>
      <c r="E39" s="179">
        <f>IF([1]MuKu!R64="","",[1]MuKu!R64)</f>
        <v>32.67</v>
      </c>
      <c r="F39" s="167">
        <f>$E$39</f>
        <v>32.67</v>
      </c>
      <c r="G39" s="168">
        <f>$E$39</f>
        <v>32.67</v>
      </c>
      <c r="H39" s="540">
        <f>E39</f>
        <v>32.67</v>
      </c>
      <c r="I39" s="170">
        <f>$E$39</f>
        <v>32.67</v>
      </c>
      <c r="J39" s="167">
        <f>$E$39</f>
        <v>32.67</v>
      </c>
      <c r="K39" s="132"/>
      <c r="L39" s="10"/>
      <c r="M39" s="11"/>
    </row>
    <row r="40" spans="1:13" ht="13.5" thickBot="1" x14ac:dyDescent="0.25">
      <c r="A40" s="132"/>
      <c r="B40" s="36" t="s">
        <v>93</v>
      </c>
      <c r="C40" s="36"/>
      <c r="D40" s="36"/>
      <c r="E40" s="36"/>
      <c r="F40" s="172">
        <f>SUM(F29:F39)</f>
        <v>356.52779821428572</v>
      </c>
      <c r="G40" s="173">
        <f>SUM(G29:G39)</f>
        <v>372.26910714285708</v>
      </c>
      <c r="H40" s="174">
        <f>SUM(H29:H39)</f>
        <v>387.75919571428568</v>
      </c>
      <c r="I40" s="175">
        <f>SUM(I29:I39)</f>
        <v>403.24928428571428</v>
      </c>
      <c r="J40" s="172">
        <f>SUM(J29:J39)</f>
        <v>418.99059321428564</v>
      </c>
      <c r="K40" s="132"/>
      <c r="L40" s="10"/>
      <c r="M40" s="11"/>
    </row>
    <row r="41" spans="1:13" ht="13.5" thickBot="1" x14ac:dyDescent="0.25">
      <c r="A41" s="132"/>
      <c r="B41" s="59" t="s">
        <v>139</v>
      </c>
      <c r="C41" s="60"/>
      <c r="D41" s="60"/>
      <c r="E41" s="60"/>
      <c r="F41" s="186">
        <f>IF(OR(F26="",F40=""),"",F26-F40)</f>
        <v>463.39880892857144</v>
      </c>
      <c r="G41" s="187">
        <f>IF(OR(G26="",G40=""),"",G26-G40)</f>
        <v>551.17732142857153</v>
      </c>
      <c r="H41" s="188">
        <f>H26-H40</f>
        <v>637.73780428571445</v>
      </c>
      <c r="I41" s="189">
        <f>IF(OR(I26="",I40=""),"",I26-I40)</f>
        <v>724.29828714285713</v>
      </c>
      <c r="J41" s="186">
        <f>IF(OR(J26="",J40=""),"",J26-J40)</f>
        <v>812.0767996428574</v>
      </c>
      <c r="K41" s="132"/>
      <c r="L41" s="10"/>
      <c r="M41" s="11"/>
    </row>
    <row r="42" spans="1:13" ht="3.95" customHeight="1" x14ac:dyDescent="0.2">
      <c r="A42" s="132"/>
      <c r="B42" s="160"/>
      <c r="C42" s="160"/>
      <c r="D42" s="160"/>
      <c r="E42" s="160"/>
      <c r="F42" s="160"/>
      <c r="G42" s="160"/>
      <c r="H42" s="176"/>
      <c r="I42" s="160"/>
      <c r="J42" s="160"/>
      <c r="K42" s="132"/>
      <c r="L42" s="10"/>
      <c r="M42" s="11"/>
    </row>
    <row r="43" spans="1:13" ht="12.75" x14ac:dyDescent="0.2">
      <c r="A43" s="132"/>
      <c r="B43" s="30" t="s">
        <v>140</v>
      </c>
      <c r="C43" s="147"/>
      <c r="D43" s="147"/>
      <c r="E43" s="147"/>
      <c r="F43" s="162">
        <f>$I$5</f>
        <v>1</v>
      </c>
      <c r="G43" s="162">
        <f>$I$6</f>
        <v>2</v>
      </c>
      <c r="H43" s="163" t="s">
        <v>134</v>
      </c>
      <c r="I43" s="162">
        <f>$I$7</f>
        <v>4</v>
      </c>
      <c r="J43" s="162">
        <f>$I$8</f>
        <v>5</v>
      </c>
      <c r="K43" s="132"/>
      <c r="L43" s="10"/>
      <c r="M43" s="11"/>
    </row>
    <row r="44" spans="1:13" ht="13.5" thickBot="1" x14ac:dyDescent="0.25">
      <c r="A44" s="132"/>
      <c r="B44" s="20" t="str">
        <f>IF([1]MuKu!B67="","",[1]MuKu!B67)</f>
        <v>Gesamtbedarf</v>
      </c>
      <c r="C44" s="164"/>
      <c r="D44" s="190">
        <f>IF(D10="","noch leer",D10)</f>
        <v>25473.653003558531</v>
      </c>
      <c r="E44" s="191">
        <f>IF([1]MuKu!P67="","",[1]MuKu!P67)</f>
        <v>1.4999999999999999E-2</v>
      </c>
      <c r="F44" s="167">
        <f>IF(OR($D$44="",$D$44="noch leer",$E$44=""),"",$D$44*$E$44)</f>
        <v>382.10479505337793</v>
      </c>
      <c r="G44" s="168">
        <f>IF(OR($D$44="",$D$44="noch leer",$E$44=""),"",$D$44*$E$44)</f>
        <v>382.10479505337793</v>
      </c>
      <c r="H44" s="540">
        <f>IF(OR($D$44="",$D$44="noch leer",E44=""),"noch leer",D44*E44)</f>
        <v>382.10479505337793</v>
      </c>
      <c r="I44" s="170">
        <f>IF(OR($D$44="",$D$44="noch leer",$E$44=""),"",$D$44*$E$44)</f>
        <v>382.10479505337793</v>
      </c>
      <c r="J44" s="167">
        <f>IF(OR($D$44="",$D$44="noch leer",$E$44=""),"",$D$44*$E$44)</f>
        <v>382.10479505337793</v>
      </c>
      <c r="K44" s="132"/>
      <c r="L44" s="10"/>
      <c r="M44" s="11"/>
    </row>
    <row r="45" spans="1:13" ht="13.5" thickBot="1" x14ac:dyDescent="0.25">
      <c r="A45" s="132"/>
      <c r="B45" s="59" t="s">
        <v>141</v>
      </c>
      <c r="C45" s="60"/>
      <c r="D45" s="60"/>
      <c r="E45" s="60"/>
      <c r="F45" s="186">
        <f>IF(OR(F41="",F44=""),"",F41-F44)</f>
        <v>81.294013875193514</v>
      </c>
      <c r="G45" s="187">
        <f>IF(OR(G41="",G44=""),"",G41-G44)</f>
        <v>169.0725263751936</v>
      </c>
      <c r="H45" s="188">
        <f>H41-H44</f>
        <v>255.63300923233652</v>
      </c>
      <c r="I45" s="189">
        <f>IF(OR(I41="",I44=""),"",I41-I44)</f>
        <v>342.19349208947921</v>
      </c>
      <c r="J45" s="186">
        <f>IF(OR(J41="",J44=""),"",J41-J44)</f>
        <v>429.97200458947947</v>
      </c>
      <c r="K45" s="132"/>
      <c r="L45" s="10"/>
      <c r="M45" s="11"/>
    </row>
    <row r="46" spans="1:13" ht="3.95" customHeight="1" x14ac:dyDescent="0.2">
      <c r="A46" s="132"/>
      <c r="B46" s="160"/>
      <c r="C46" s="160"/>
      <c r="D46" s="160"/>
      <c r="E46" s="160"/>
      <c r="F46" s="160"/>
      <c r="G46" s="160"/>
      <c r="H46" s="176"/>
      <c r="I46" s="160"/>
      <c r="J46" s="160"/>
      <c r="K46" s="132"/>
      <c r="L46" s="10"/>
      <c r="M46" s="11"/>
    </row>
    <row r="47" spans="1:13" ht="12.75" x14ac:dyDescent="0.2">
      <c r="A47" s="132"/>
      <c r="B47" s="30" t="s">
        <v>36</v>
      </c>
      <c r="C47" s="19"/>
      <c r="D47" s="19"/>
      <c r="E47" s="19" t="s">
        <v>51</v>
      </c>
      <c r="F47" s="162">
        <f>$I$5</f>
        <v>1</v>
      </c>
      <c r="G47" s="162">
        <f>$I$6</f>
        <v>2</v>
      </c>
      <c r="H47" s="163" t="s">
        <v>134</v>
      </c>
      <c r="I47" s="162">
        <f>$I$7</f>
        <v>4</v>
      </c>
      <c r="J47" s="162">
        <f>$I$8</f>
        <v>5</v>
      </c>
      <c r="K47" s="132"/>
      <c r="L47" s="10"/>
      <c r="M47" s="11"/>
    </row>
    <row r="48" spans="1:13" ht="12.75" x14ac:dyDescent="0.2">
      <c r="A48" s="132"/>
      <c r="B48" s="46" t="str">
        <f>IF([1]MuKu!B71="","",[1]MuKu!B71)</f>
        <v>Gefährdete Tierrassen</v>
      </c>
      <c r="C48" s="50"/>
      <c r="D48" s="50"/>
      <c r="E48" s="179">
        <f>IF([1]MuKu!O71="","",[1]MuKu!O71)</f>
        <v>180</v>
      </c>
      <c r="F48" s="167">
        <f t="shared" ref="F48:G50" si="1">IF($E48="","",$E48)</f>
        <v>180</v>
      </c>
      <c r="G48" s="168">
        <f t="shared" si="1"/>
        <v>180</v>
      </c>
      <c r="H48" s="226">
        <f>E48</f>
        <v>180</v>
      </c>
      <c r="I48" s="170">
        <f t="shared" ref="I48:J50" si="2">IF($E48="","",$E48)</f>
        <v>180</v>
      </c>
      <c r="J48" s="167">
        <f t="shared" si="2"/>
        <v>180</v>
      </c>
      <c r="K48" s="132"/>
      <c r="L48" s="10"/>
      <c r="M48" s="542"/>
    </row>
    <row r="49" spans="1:13" ht="12.75" x14ac:dyDescent="0.2">
      <c r="A49" s="132"/>
      <c r="B49" s="46" t="str">
        <f>IF([1]MuKu!B73="","",[1]MuKu!B73)</f>
        <v/>
      </c>
      <c r="C49" s="50"/>
      <c r="D49" s="50"/>
      <c r="E49" s="179" t="str">
        <f>IF([1]MuKu!O73="","",[1]MuKu!O73)</f>
        <v/>
      </c>
      <c r="F49" s="167" t="str">
        <f t="shared" si="1"/>
        <v/>
      </c>
      <c r="G49" s="168" t="str">
        <f t="shared" si="1"/>
        <v/>
      </c>
      <c r="H49" s="226" t="str">
        <f>E49</f>
        <v/>
      </c>
      <c r="I49" s="170" t="str">
        <f t="shared" si="2"/>
        <v/>
      </c>
      <c r="J49" s="167" t="str">
        <f t="shared" si="2"/>
        <v/>
      </c>
      <c r="K49" s="132"/>
      <c r="L49" s="10"/>
      <c r="M49" s="542"/>
    </row>
    <row r="50" spans="1:13" ht="13.5" thickBot="1" x14ac:dyDescent="0.25">
      <c r="A50" s="132"/>
      <c r="B50" s="46" t="str">
        <f>IF([1]MuKu!B75="","",[1]MuKu!B75)</f>
        <v/>
      </c>
      <c r="C50" s="50"/>
      <c r="D50" s="50"/>
      <c r="E50" s="179" t="str">
        <f>IF([1]MuKu!O75="","",[1]MuKu!O75)</f>
        <v/>
      </c>
      <c r="F50" s="167" t="str">
        <f t="shared" si="1"/>
        <v/>
      </c>
      <c r="G50" s="168" t="str">
        <f t="shared" si="1"/>
        <v/>
      </c>
      <c r="H50" s="540" t="str">
        <f>E50</f>
        <v/>
      </c>
      <c r="I50" s="170" t="str">
        <f t="shared" si="2"/>
        <v/>
      </c>
      <c r="J50" s="167" t="str">
        <f t="shared" si="2"/>
        <v/>
      </c>
      <c r="K50" s="132"/>
      <c r="L50" s="10"/>
      <c r="M50" s="542"/>
    </row>
    <row r="51" spans="1:13" ht="13.5" thickBot="1" x14ac:dyDescent="0.25">
      <c r="A51" s="132"/>
      <c r="B51" s="59" t="s">
        <v>142</v>
      </c>
      <c r="C51" s="60"/>
      <c r="D51" s="60"/>
      <c r="E51" s="60"/>
      <c r="F51" s="186">
        <f>IF(F45="","",SUM(F45,F48:F50))</f>
        <v>261.29401387519351</v>
      </c>
      <c r="G51" s="187">
        <f>IF(G45="","",SUM(G45,G48:G50))</f>
        <v>349.0725263751936</v>
      </c>
      <c r="H51" s="188">
        <f>SUM(H45:H50)</f>
        <v>435.63300923233652</v>
      </c>
      <c r="I51" s="189">
        <f>IF(I45="","",SUM(I45,I48:I50))</f>
        <v>522.19349208947915</v>
      </c>
      <c r="J51" s="186">
        <f>IF(J45="","",SUM(J45,J48:J50))</f>
        <v>609.97200458947941</v>
      </c>
      <c r="K51" s="132"/>
      <c r="L51" s="10"/>
      <c r="M51" s="542"/>
    </row>
    <row r="52" spans="1:13" ht="3.95" customHeight="1" x14ac:dyDescent="0.2">
      <c r="A52" s="132"/>
      <c r="B52" s="160"/>
      <c r="C52" s="160"/>
      <c r="D52" s="160"/>
      <c r="E52" s="160"/>
      <c r="F52" s="160"/>
      <c r="G52" s="160"/>
      <c r="H52" s="176"/>
      <c r="I52" s="160"/>
      <c r="J52" s="160"/>
      <c r="K52" s="132"/>
      <c r="L52" s="10"/>
      <c r="M52" s="542"/>
    </row>
    <row r="53" spans="1:13" ht="12.75" x14ac:dyDescent="0.2">
      <c r="A53" s="132"/>
      <c r="B53" s="30" t="s">
        <v>143</v>
      </c>
      <c r="C53" s="19"/>
      <c r="D53" s="19"/>
      <c r="E53" s="147"/>
      <c r="F53" s="162">
        <f>$I$5</f>
        <v>1</v>
      </c>
      <c r="G53" s="162">
        <f>$I$6</f>
        <v>2</v>
      </c>
      <c r="H53" s="163" t="s">
        <v>134</v>
      </c>
      <c r="I53" s="162">
        <f>$I$7</f>
        <v>4</v>
      </c>
      <c r="J53" s="162">
        <f>$I$8</f>
        <v>5</v>
      </c>
      <c r="K53" s="132"/>
      <c r="L53" s="10"/>
      <c r="M53" s="542"/>
    </row>
    <row r="54" spans="1:13" ht="12.75" x14ac:dyDescent="0.2">
      <c r="A54" s="132"/>
      <c r="B54" s="20" t="str">
        <f>IF([1]MuKu!F71="","",[1]MuKu!F71)</f>
        <v>Stallarbeit</v>
      </c>
      <c r="C54" s="192"/>
      <c r="D54" s="192"/>
      <c r="E54" s="193">
        <f>IF([1]MuKu!Q71="","",[1]MuKu!Q71)</f>
        <v>30</v>
      </c>
      <c r="F54" s="194"/>
      <c r="G54" s="194"/>
      <c r="H54" s="195"/>
      <c r="I54" s="194"/>
      <c r="J54" s="194"/>
      <c r="K54" s="132"/>
      <c r="L54" s="10"/>
      <c r="M54" s="542"/>
    </row>
    <row r="55" spans="1:13" ht="12.75" x14ac:dyDescent="0.2">
      <c r="A55" s="132"/>
      <c r="B55" s="20" t="str">
        <f>IF([1]MuKu!F73="","",[1]MuKu!F73)</f>
        <v>Außenwirtschaft</v>
      </c>
      <c r="C55" s="192"/>
      <c r="D55" s="192"/>
      <c r="E55" s="193">
        <f>IF([1]MuKu!Q73="","",[1]MuKu!Q73)</f>
        <v>14</v>
      </c>
      <c r="F55" s="194"/>
      <c r="G55" s="194"/>
      <c r="H55" s="195"/>
      <c r="I55" s="194"/>
      <c r="J55" s="194"/>
      <c r="K55" s="132"/>
      <c r="L55" s="10"/>
      <c r="M55" s="542"/>
    </row>
    <row r="56" spans="1:13" ht="13.5" thickBot="1" x14ac:dyDescent="0.25">
      <c r="A56" s="132"/>
      <c r="B56" s="20" t="str">
        <f>IF([1]MuKu!F75="","",[1]MuKu!F75)</f>
        <v>Selbstvermarktung</v>
      </c>
      <c r="C56" s="192"/>
      <c r="D56" s="192"/>
      <c r="E56" s="196">
        <f>IF([1]MuKu!Q75="","",[1]MuKu!Q75)</f>
        <v>4</v>
      </c>
      <c r="F56" s="194"/>
      <c r="G56" s="194"/>
      <c r="H56" s="195"/>
      <c r="I56" s="194"/>
      <c r="J56" s="194"/>
      <c r="K56" s="132"/>
      <c r="L56" s="10"/>
      <c r="M56" s="542"/>
    </row>
    <row r="57" spans="1:13" ht="13.5" thickBot="1" x14ac:dyDescent="0.25">
      <c r="A57" s="132"/>
      <c r="B57" s="20"/>
      <c r="C57" s="192"/>
      <c r="D57" s="197" t="s">
        <v>345</v>
      </c>
      <c r="E57" s="198">
        <f>SUM(E54:E56)</f>
        <v>48</v>
      </c>
      <c r="F57" s="194"/>
      <c r="G57" s="194"/>
      <c r="H57" s="195"/>
      <c r="I57" s="194"/>
      <c r="J57" s="194"/>
      <c r="K57" s="132"/>
      <c r="L57" s="10"/>
      <c r="M57" s="11"/>
    </row>
    <row r="58" spans="1:13" ht="13.5" thickBot="1" x14ac:dyDescent="0.25">
      <c r="A58" s="132"/>
      <c r="B58" s="199"/>
      <c r="C58" s="200"/>
      <c r="D58" s="200"/>
      <c r="E58" s="200" t="s">
        <v>144</v>
      </c>
      <c r="F58" s="201">
        <f>IF($E$57="","",F51/$E$57)</f>
        <v>5.4436252890665315</v>
      </c>
      <c r="G58" s="202">
        <f>IF($E$57="","",G51/$E$57)</f>
        <v>7.2723442994832004</v>
      </c>
      <c r="H58" s="203">
        <f>H51/E57</f>
        <v>9.0756876923403436</v>
      </c>
      <c r="I58" s="204">
        <f>IF($E$57="","",I51/$E$57)</f>
        <v>10.879031085197482</v>
      </c>
      <c r="J58" s="201">
        <f>IF($E$57="","",J51/$E$57)</f>
        <v>12.707750095614154</v>
      </c>
      <c r="K58" s="132"/>
      <c r="L58" s="10"/>
      <c r="M58" s="11"/>
    </row>
    <row r="59" spans="1:13" ht="12.75" x14ac:dyDescent="0.2">
      <c r="A59" s="132"/>
      <c r="B59" s="132"/>
      <c r="C59" s="132"/>
      <c r="D59" s="132"/>
      <c r="E59" s="132"/>
      <c r="F59" s="132"/>
      <c r="G59" s="132"/>
      <c r="H59" s="132"/>
      <c r="I59" s="132"/>
      <c r="J59" s="132"/>
      <c r="K59" s="132"/>
      <c r="L59" s="10"/>
      <c r="M59" s="11"/>
    </row>
    <row r="60" spans="1:13" ht="12.75" hidden="1" x14ac:dyDescent="0.2">
      <c r="L60" s="4"/>
      <c r="M60" s="53"/>
    </row>
    <row r="61" spans="1:13" ht="12.75" hidden="1" x14ac:dyDescent="0.2">
      <c r="B61" s="205"/>
      <c r="C61" s="205"/>
      <c r="D61" s="205"/>
      <c r="E61" s="205"/>
      <c r="F61" s="205"/>
      <c r="G61" s="205"/>
      <c r="H61" s="205"/>
      <c r="I61" s="205"/>
      <c r="J61" s="205"/>
      <c r="L61" s="4"/>
      <c r="M61" s="53"/>
    </row>
    <row r="62" spans="1:13" ht="12.75" hidden="1" x14ac:dyDescent="0.2">
      <c r="B62" s="205"/>
      <c r="C62" s="205"/>
      <c r="D62" s="205"/>
      <c r="E62" s="205"/>
      <c r="F62" s="205"/>
      <c r="G62" s="205"/>
      <c r="H62" s="205"/>
      <c r="I62" s="205"/>
      <c r="J62" s="205"/>
      <c r="L62" s="4"/>
      <c r="M62" s="53"/>
    </row>
    <row r="63" spans="1:13" ht="12.75" hidden="1" x14ac:dyDescent="0.2">
      <c r="B63" s="206"/>
      <c r="C63" s="206"/>
      <c r="D63" s="206"/>
      <c r="E63" s="206"/>
      <c r="F63" s="206"/>
      <c r="G63" s="206"/>
      <c r="H63" s="206"/>
      <c r="I63" s="206"/>
      <c r="J63" s="206"/>
      <c r="L63" s="4"/>
    </row>
    <row r="64" spans="1:13" ht="12.75" hidden="1" x14ac:dyDescent="0.2">
      <c r="L64" s="4"/>
    </row>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sheetProtection sheet="1" objects="1" scenarios="1"/>
  <mergeCells count="5">
    <mergeCell ref="D34:E34"/>
    <mergeCell ref="M1:M2"/>
    <mergeCell ref="C16:C17"/>
    <mergeCell ref="D16:D17"/>
    <mergeCell ref="E16:E17"/>
  </mergeCells>
  <phoneticPr fontId="4" type="noConversion"/>
  <conditionalFormatting sqref="D9 D44:E44 J5:J8 E54:E56 D23:D25 D5:D6 C18:J19 F15:J15 I11:J11 H5:H11 E48">
    <cfRule type="cellIs" dxfId="81" priority="3" stopIfTrue="1" operator="equal">
      <formula>""</formula>
    </cfRule>
  </conditionalFormatting>
  <conditionalFormatting sqref="H48">
    <cfRule type="expression" dxfId="80" priority="5" stopIfTrue="1">
      <formula>B48=""</formula>
    </cfRule>
  </conditionalFormatting>
  <conditionalFormatting sqref="F48:G48 I48:J48">
    <cfRule type="cellIs" dxfId="79" priority="6" stopIfTrue="1" operator="equal">
      <formula>""</formula>
    </cfRule>
    <cfRule type="expression" dxfId="78" priority="7" stopIfTrue="1">
      <formula>$A$2="Du musst zuerst alle Berechnungen durchführen, um das Ergebnis ansehen zu können!"</formula>
    </cfRule>
  </conditionalFormatting>
  <conditionalFormatting sqref="F23:G25 I23:J25 I44:J44 I29:J39 F44:G44 F29:G39">
    <cfRule type="expression" dxfId="77" priority="8" stopIfTrue="1">
      <formula>$A$2="Du musst zuerst alle Berechnungen durchführen, um das Ergebnis ansehen zu können!"</formula>
    </cfRule>
  </conditionalFormatting>
  <conditionalFormatting sqref="F26:G26 I26:J26 F40:G40 I40:J40">
    <cfRule type="expression" dxfId="76" priority="9" stopIfTrue="1">
      <formula>$A$2="Du musst zuerst alle Berechnungen durchführen, um das Ergebnis ansehen zu können!"</formula>
    </cfRule>
  </conditionalFormatting>
  <conditionalFormatting sqref="F41:G41 I41:J41 F45:G45 I45:J45 F51:G51 I51:J51">
    <cfRule type="expression" dxfId="75" priority="10" stopIfTrue="1">
      <formula>$A$2="Du musst zuerst alle Berechnungen durchführen, um das Ergebnis ansehen zu können!"</formula>
    </cfRule>
  </conditionalFormatting>
  <conditionalFormatting sqref="F58:G58 I58:J58">
    <cfRule type="expression" dxfId="74" priority="11" stopIfTrue="1">
      <formula>$A$2="Du musst zuerst alle Berechnungen durchführen, um das Ergebnis ansehen zu können!"</formula>
    </cfRule>
  </conditionalFormatting>
  <conditionalFormatting sqref="H44">
    <cfRule type="cellIs" dxfId="73" priority="12" stopIfTrue="1" operator="equal">
      <formula>"noch leer"</formula>
    </cfRule>
  </conditionalFormatting>
  <conditionalFormatting sqref="D44">
    <cfRule type="cellIs" dxfId="72" priority="2" stopIfTrue="1" operator="equal">
      <formula>"noch leer"</formula>
    </cfRule>
  </conditionalFormatting>
  <conditionalFormatting sqref="H25">
    <cfRule type="cellIs" dxfId="71" priority="1"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42</vt:i4>
      </vt:variant>
    </vt:vector>
  </HeadingPairs>
  <TitlesOfParts>
    <vt:vector size="61" baseType="lpstr">
      <vt:lpstr>Korrektur</vt:lpstr>
      <vt:lpstr>ErgInt</vt:lpstr>
      <vt:lpstr>FinII</vt:lpstr>
      <vt:lpstr>PlanII</vt:lpstr>
      <vt:lpstr>FinI</vt:lpstr>
      <vt:lpstr>PlanI</vt:lpstr>
      <vt:lpstr>Ist</vt:lpstr>
      <vt:lpstr>Milch</vt:lpstr>
      <vt:lpstr>MuKu</vt:lpstr>
      <vt:lpstr>1xDgl</vt:lpstr>
      <vt:lpstr>WD.1Dgl</vt:lpstr>
      <vt:lpstr>Jog</vt:lpstr>
      <vt:lpstr>FK</vt:lpstr>
      <vt:lpstr>UV</vt:lpstr>
      <vt:lpstr>AV</vt:lpstr>
      <vt:lpstr>MKK1</vt:lpstr>
      <vt:lpstr>MKK2</vt:lpstr>
      <vt:lpstr>2NGeb</vt:lpstr>
      <vt:lpstr>Annuitätentabelle</vt:lpstr>
      <vt:lpstr>ErgInt!Ankreuzen</vt:lpstr>
      <vt:lpstr>ANTilPla</vt:lpstr>
      <vt:lpstr>ErgInt!Arbeitskräfte</vt:lpstr>
      <vt:lpstr>ArbeitskräfteII</vt:lpstr>
      <vt:lpstr>AT</vt:lpstr>
      <vt:lpstr>'1xDgl'!Druckbereich</vt:lpstr>
      <vt:lpstr>'2NGeb'!Druckbereich</vt:lpstr>
      <vt:lpstr>Annuitätentabelle!Druckbereich</vt:lpstr>
      <vt:lpstr>AV!Druckbereich</vt:lpstr>
      <vt:lpstr>ErgInt!Druckbereich</vt:lpstr>
      <vt:lpstr>FinI!Druckbereich</vt:lpstr>
      <vt:lpstr>FinII!Druckbereich</vt:lpstr>
      <vt:lpstr>FK!Druckbereich</vt:lpstr>
      <vt:lpstr>Ist!Druckbereich</vt:lpstr>
      <vt:lpstr>Jog!Druckbereich</vt:lpstr>
      <vt:lpstr>Korrektur!Druckbereich</vt:lpstr>
      <vt:lpstr>Milch!Druckbereich</vt:lpstr>
      <vt:lpstr>'MKK1'!Druckbereich</vt:lpstr>
      <vt:lpstr>'MKK2'!Druckbereich</vt:lpstr>
      <vt:lpstr>MuKu!Druckbereich</vt:lpstr>
      <vt:lpstr>PlanI!Druckbereich</vt:lpstr>
      <vt:lpstr>PlanII!Druckbereich</vt:lpstr>
      <vt:lpstr>UV!Druckbereich</vt:lpstr>
      <vt:lpstr>WD.1Dgl!Druckbereich</vt:lpstr>
      <vt:lpstr>Annuitätentabelle!Drucktitel</vt:lpstr>
      <vt:lpstr>Korrektur!Drucktitel</vt:lpstr>
      <vt:lpstr>Milch!Drucktitel</vt:lpstr>
      <vt:lpstr>ErgInt!Energiebilanz</vt:lpstr>
      <vt:lpstr>EnergiebilanzII</vt:lpstr>
      <vt:lpstr>ErgInt!Finanzierbarkeit</vt:lpstr>
      <vt:lpstr>FinanzierbarkeitII</vt:lpstr>
      <vt:lpstr>ErgInt!FolgerungenArbeitskräfte</vt:lpstr>
      <vt:lpstr>ErgInt!FolgerungenEnergiebilanz</vt:lpstr>
      <vt:lpstr>ErgInt!FolgerungenFinanzierbarkeit</vt:lpstr>
      <vt:lpstr>ErgInt!FolgerungenKD_KDG</vt:lpstr>
      <vt:lpstr>ErgInt!FolgerungenWirtschaftlichkeit</vt:lpstr>
      <vt:lpstr>ErgInt!FolgerungLHK_GEK</vt:lpstr>
      <vt:lpstr>KDGvsKD</vt:lpstr>
      <vt:lpstr>ErgInt!VglKD_KDG</vt:lpstr>
      <vt:lpstr>ErgInt!VglLHK_GEK</vt:lpstr>
      <vt:lpstr>ErgInt!Wirtschaftlichkeit</vt:lpstr>
      <vt:lpstr>WirtschaftlichkeitII</vt:lpstr>
    </vt:vector>
  </TitlesOfParts>
  <Company>e&amp;wh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Harasleben</dc:creator>
  <cp:lastModifiedBy>wharasleben</cp:lastModifiedBy>
  <cp:lastPrinted>2019-03-04T06:46:48Z</cp:lastPrinted>
  <dcterms:created xsi:type="dcterms:W3CDTF">2007-02-22T21:16:57Z</dcterms:created>
  <dcterms:modified xsi:type="dcterms:W3CDTF">2020-05-13T07:29:09Z</dcterms:modified>
</cp:coreProperties>
</file>