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charts/chart1.xml" ContentType="application/vnd.openxmlformats-officedocument.drawingml.chart+xml"/>
  <Override PartName="/xl/drawings/drawing13.xml" ContentType="application/vnd.openxmlformats-officedocument.drawing+xml"/>
  <Override PartName="/xl/comments13.xml" ContentType="application/vnd.openxmlformats-officedocument.spreadsheetml.comment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updateLinks="never" codeName="DieseArbeitsmappe" defaultThemeVersion="124226"/>
  <mc:AlternateContent xmlns:mc="http://schemas.openxmlformats.org/markup-compatibility/2006">
    <mc:Choice Requires="x15">
      <x15ac:absPath xmlns:x15ac="http://schemas.microsoft.com/office/spreadsheetml/2010/11/ac" url="F:\02 BLRW FSL\Übsp Abprfg\Bsp 4\"/>
    </mc:Choice>
  </mc:AlternateContent>
  <xr:revisionPtr revIDLastSave="0" documentId="13_ncr:1_{62C8E766-1137-41A4-927A-36E0C969491E}" xr6:coauthVersionLast="41" xr6:coauthVersionMax="41" xr10:uidLastSave="{00000000-0000-0000-0000-000000000000}"/>
  <bookViews>
    <workbookView xWindow="-28920" yWindow="-120" windowWidth="29040" windowHeight="16440" tabRatio="928" activeTab="15" xr2:uid="{00000000-000D-0000-FFFF-FFFF00000000}"/>
  </bookViews>
  <sheets>
    <sheet name="Korrektur" sheetId="1" r:id="rId1"/>
    <sheet name="ErgInt" sheetId="17" r:id="rId2"/>
    <sheet name="Fin" sheetId="5" r:id="rId3"/>
    <sheet name="Plan" sheetId="4" r:id="rId4"/>
    <sheet name="Ist" sheetId="3" r:id="rId5"/>
    <sheet name="Milch" sheetId="6" r:id="rId6"/>
    <sheet name="MuKu" sheetId="7" state="hidden" r:id="rId7"/>
    <sheet name="1xDgl" sheetId="9" r:id="rId8"/>
    <sheet name="WD.1Dgl" sheetId="8" r:id="rId9"/>
    <sheet name="Jog" sheetId="12" r:id="rId10"/>
    <sheet name="FK" sheetId="13" r:id="rId11"/>
    <sheet name="UV" sheetId="14" r:id="rId12"/>
    <sheet name="AV" sheetId="15" r:id="rId13"/>
    <sheet name="MKK1" sheetId="10" r:id="rId14"/>
    <sheet name="MKK2" sheetId="11" r:id="rId15"/>
    <sheet name="2NGeb" sheetId="16" r:id="rId16"/>
  </sheets>
  <externalReferences>
    <externalReference r:id="rId17"/>
  </externalReferences>
  <definedNames>
    <definedName name="_xlnm._FilterDatabase" localSheetId="0" hidden="1">Korrektur!$H$1:$P$845</definedName>
    <definedName name="Ankreuzen" localSheetId="1">ErgInt!$AC$175:$AD$175</definedName>
    <definedName name="Arbeitskräfte" localSheetId="1">ErgInt!$S$91:$S$93</definedName>
    <definedName name="Ausnahmen">ErgInt!$X$288:$AA$288</definedName>
    <definedName name="Begünstigte">ErgInt!$AB$260:$AB$267</definedName>
    <definedName name="_xlnm.Print_Area" localSheetId="7">'1xDgl'!$A$1:$J$66</definedName>
    <definedName name="_xlnm.Print_Area" localSheetId="15">'2NGeb'!$A$1:$Z$118</definedName>
    <definedName name="_xlnm.Print_Area" localSheetId="12">AV!$A$1:$K$41</definedName>
    <definedName name="_xlnm.Print_Area" localSheetId="1">ErgInt!$C$1:$Q$291</definedName>
    <definedName name="_xlnm.Print_Area" localSheetId="2">Fin!$A$1:$H$46</definedName>
    <definedName name="_xlnm.Print_Area" localSheetId="10">FK!$A$1:$E$18</definedName>
    <definedName name="_xlnm.Print_Area" localSheetId="4">Ist!$A$1:$J$44</definedName>
    <definedName name="_xlnm.Print_Area" localSheetId="9">Jog!$A$1:$I$47</definedName>
    <definedName name="_xlnm.Print_Area" localSheetId="0">Korrektur!$A$1:$L$852</definedName>
    <definedName name="_xlnm.Print_Area" localSheetId="5">Milch!$A$1:$I$96</definedName>
    <definedName name="_xlnm.Print_Area" localSheetId="13">'MKK1'!$A$1:$G$27</definedName>
    <definedName name="_xlnm.Print_Area" localSheetId="14">'MKK2'!$A$1:$G$27</definedName>
    <definedName name="_xlnm.Print_Area" localSheetId="6">MuKu!$A$1:$K$58</definedName>
    <definedName name="_xlnm.Print_Area" localSheetId="3">Plan!$A$1:$J$61</definedName>
    <definedName name="_xlnm.Print_Area" localSheetId="11">UV!$A$1:$K$59</definedName>
    <definedName name="_xlnm.Print_Area" localSheetId="8">WD.1Dgl!$A$1:$J$60</definedName>
    <definedName name="_xlnm.Print_Titles" localSheetId="0">Korrektur!$1:$6</definedName>
    <definedName name="_xlnm.Print_Titles" localSheetId="5">Milch!$1:$1</definedName>
    <definedName name="E\Jahr">'[1]E-MKK1'!$G$23</definedName>
    <definedName name="Eigentümer">ErgInt!$X$223:$X$229</definedName>
    <definedName name="Energiebilanz" localSheetId="1">ErgInt!$S$108:$S$110</definedName>
    <definedName name="Finanzierbarkeit" localSheetId="1">ErgInt!$S$70:$S$72</definedName>
    <definedName name="FolgerungenArbeitskräfte" localSheetId="1">ErgInt!$S$83:$S$87</definedName>
    <definedName name="FolgerungenEnergiebilanz" localSheetId="1">ErgInt!$S$112:$S$116</definedName>
    <definedName name="FolgerungenFinanzierbarkeit" localSheetId="1">ErgInt!$S$54:$S$57</definedName>
    <definedName name="FolgerungenKD_KDG" localSheetId="1">ErgInt!$S$19:$S$21</definedName>
    <definedName name="FolgerungenWirtschaftlichkeit" localSheetId="1">ErgInt!$S$42:$S$46</definedName>
    <definedName name="FolgerungLHK_GEK" localSheetId="1">ErgInt!$S$19:$S$21</definedName>
    <definedName name="GB">[1]GB!$U$199:$W$254</definedName>
    <definedName name="KDGvsKD">ErgInt!$T$135:$T$137</definedName>
    <definedName name="Matrix1">[1]WD.ILeist!$U$94:$AA$117</definedName>
    <definedName name="Matrix2">[1]WD.ILeist!$U$127:$AA$150</definedName>
    <definedName name="Pflichten">ErgInt!$X$260:$X$276</definedName>
    <definedName name="Rechte">ErgInt!$X$234:$X$239</definedName>
    <definedName name="RöPDB">[1]GB!$Y$199:$AB$201</definedName>
    <definedName name="VglKD_KDG" localSheetId="1">ErgInt!$S$26:$S$28</definedName>
    <definedName name="VglLHK_GEK" localSheetId="1">ErgInt!$S$15:$S$17</definedName>
    <definedName name="Wirtschaftlichkeit" localSheetId="1">ErgInt!$S$50:$S$52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64" i="17" l="1"/>
  <c r="F16" i="17"/>
  <c r="U42" i="17"/>
  <c r="U85" i="17" l="1"/>
  <c r="S15" i="17"/>
  <c r="AA288" i="17"/>
  <c r="Z288" i="17"/>
  <c r="Y288" i="17"/>
  <c r="X288" i="17"/>
  <c r="U288" i="17"/>
  <c r="U277" i="17"/>
  <c r="X276" i="17"/>
  <c r="X275" i="17"/>
  <c r="U275" i="17"/>
  <c r="X274" i="17"/>
  <c r="X273" i="17"/>
  <c r="X272" i="17"/>
  <c r="U272" i="17"/>
  <c r="X271" i="17"/>
  <c r="X270" i="17"/>
  <c r="U270" i="17"/>
  <c r="X269" i="17"/>
  <c r="X268" i="17"/>
  <c r="AB267" i="17"/>
  <c r="X267" i="17"/>
  <c r="U267" i="17"/>
  <c r="AB266" i="17"/>
  <c r="X266" i="17"/>
  <c r="AB265" i="17"/>
  <c r="X265" i="17"/>
  <c r="U265" i="17"/>
  <c r="AB264" i="17"/>
  <c r="X264" i="17"/>
  <c r="AB263" i="17"/>
  <c r="X263" i="17"/>
  <c r="AB262" i="17"/>
  <c r="X262" i="17"/>
  <c r="U262" i="17"/>
  <c r="AB261" i="17"/>
  <c r="X261" i="17"/>
  <c r="AB260" i="17"/>
  <c r="X260" i="17"/>
  <c r="U260" i="17"/>
  <c r="U256" i="17"/>
  <c r="V254" i="17"/>
  <c r="U254" i="17"/>
  <c r="U252" i="17"/>
  <c r="U250" i="17"/>
  <c r="U248" i="17"/>
  <c r="U245" i="17"/>
  <c r="V243" i="17"/>
  <c r="U243" i="17"/>
  <c r="U241" i="17"/>
  <c r="X239" i="17"/>
  <c r="U239" i="17"/>
  <c r="X238" i="17"/>
  <c r="X237" i="17"/>
  <c r="U237" i="17"/>
  <c r="X236" i="17"/>
  <c r="X235" i="17"/>
  <c r="X234" i="17"/>
  <c r="U233" i="17"/>
  <c r="U231" i="17"/>
  <c r="X229" i="17"/>
  <c r="X228" i="17"/>
  <c r="U228" i="17"/>
  <c r="X227" i="17"/>
  <c r="X226" i="17"/>
  <c r="U226" i="17"/>
  <c r="X225" i="17"/>
  <c r="X224" i="17"/>
  <c r="U224" i="17"/>
  <c r="X223" i="17"/>
  <c r="U220" i="17"/>
  <c r="U218" i="17"/>
  <c r="U215" i="17"/>
  <c r="U213" i="17"/>
  <c r="U210" i="17"/>
  <c r="U207" i="17"/>
  <c r="U204" i="17"/>
  <c r="U202" i="17"/>
  <c r="U188" i="17"/>
  <c r="U185" i="17"/>
  <c r="X181" i="17"/>
  <c r="F181" i="17" s="1"/>
  <c r="X179" i="17"/>
  <c r="F179" i="17" s="1"/>
  <c r="X177" i="17"/>
  <c r="F177" i="17" s="1"/>
  <c r="X175" i="17"/>
  <c r="F175" i="17" s="1"/>
  <c r="T166" i="17"/>
  <c r="S166" i="17"/>
  <c r="T164" i="17"/>
  <c r="S164" i="17"/>
  <c r="T162" i="17"/>
  <c r="S162" i="17"/>
  <c r="T160" i="17"/>
  <c r="S160" i="17"/>
  <c r="T158" i="17"/>
  <c r="S158" i="17"/>
  <c r="T156" i="17"/>
  <c r="S156" i="17"/>
  <c r="T154" i="17"/>
  <c r="S154" i="17"/>
  <c r="T152" i="17"/>
  <c r="S152" i="17"/>
  <c r="V150" i="17"/>
  <c r="U150" i="17"/>
  <c r="T150" i="17"/>
  <c r="S150" i="17"/>
  <c r="V148" i="17"/>
  <c r="U148" i="17"/>
  <c r="Z148" i="17" s="1"/>
  <c r="T148" i="17"/>
  <c r="S148" i="17"/>
  <c r="S288" i="17"/>
  <c r="O288" i="17" s="1"/>
  <c r="S286" i="17"/>
  <c r="S284" i="17"/>
  <c r="S282" i="17"/>
  <c r="S280" i="17"/>
  <c r="O280" i="17" s="1"/>
  <c r="S277" i="17"/>
  <c r="O277" i="17" s="1"/>
  <c r="S275" i="17"/>
  <c r="O275" i="17"/>
  <c r="S272" i="17"/>
  <c r="O272" i="17" s="1"/>
  <c r="S270" i="17"/>
  <c r="O270" i="17"/>
  <c r="S267" i="17"/>
  <c r="O267" i="17" s="1"/>
  <c r="S265" i="17"/>
  <c r="O265" i="17" s="1"/>
  <c r="S262" i="17"/>
  <c r="O262" i="17" s="1"/>
  <c r="S260" i="17"/>
  <c r="O260" i="17" s="1"/>
  <c r="S256" i="17"/>
  <c r="T254" i="17"/>
  <c r="S254" i="17"/>
  <c r="O254" i="17"/>
  <c r="S252" i="17"/>
  <c r="S250" i="17"/>
  <c r="O250" i="17" s="1"/>
  <c r="S248" i="17"/>
  <c r="O248" i="17"/>
  <c r="S245" i="17"/>
  <c r="T243" i="17"/>
  <c r="S243" i="17"/>
  <c r="O243" i="17"/>
  <c r="S241" i="17"/>
  <c r="S239" i="17"/>
  <c r="O239" i="17"/>
  <c r="S237" i="17"/>
  <c r="O237" i="17"/>
  <c r="S233" i="17"/>
  <c r="O233" i="17"/>
  <c r="S231" i="17"/>
  <c r="O231" i="17" s="1"/>
  <c r="S228" i="17"/>
  <c r="O228" i="17" s="1"/>
  <c r="S226" i="17"/>
  <c r="O226" i="17"/>
  <c r="S224" i="17"/>
  <c r="O224" i="17"/>
  <c r="S220" i="17"/>
  <c r="O220" i="17"/>
  <c r="S218" i="17"/>
  <c r="O218" i="17"/>
  <c r="S215" i="17"/>
  <c r="O215" i="17"/>
  <c r="S213" i="17"/>
  <c r="O213" i="17"/>
  <c r="S210" i="17"/>
  <c r="O210" i="17"/>
  <c r="S207" i="17"/>
  <c r="O207" i="17"/>
  <c r="S204" i="17"/>
  <c r="O204" i="17"/>
  <c r="S202" i="17"/>
  <c r="O202" i="17"/>
  <c r="S199" i="17"/>
  <c r="S197" i="17"/>
  <c r="S195" i="17"/>
  <c r="S193" i="17"/>
  <c r="S191" i="17"/>
  <c r="O191" i="17"/>
  <c r="S188" i="17"/>
  <c r="O188" i="17"/>
  <c r="S185" i="17"/>
  <c r="O185" i="17"/>
  <c r="S181" i="17"/>
  <c r="S179" i="17"/>
  <c r="S177" i="17"/>
  <c r="S175" i="17"/>
  <c r="O175" i="17"/>
  <c r="Q145" i="17"/>
  <c r="AA150" i="17" l="1"/>
  <c r="X166" i="17"/>
  <c r="Z150" i="17"/>
  <c r="X152" i="17"/>
  <c r="X164" i="17"/>
  <c r="Y156" i="17"/>
  <c r="X150" i="17"/>
  <c r="Y166" i="17"/>
  <c r="Y162" i="17"/>
  <c r="X148" i="17"/>
  <c r="X156" i="17"/>
  <c r="X162" i="17"/>
  <c r="X158" i="17"/>
  <c r="AA148" i="17"/>
  <c r="Y158" i="17"/>
  <c r="Y164" i="17"/>
  <c r="X154" i="17"/>
  <c r="X160" i="17"/>
  <c r="Y154" i="17"/>
  <c r="Y160" i="17"/>
  <c r="T120" i="17"/>
  <c r="E120" i="17"/>
  <c r="Z119" i="17"/>
  <c r="Y119" i="17"/>
  <c r="X119" i="17"/>
  <c r="Z118" i="17"/>
  <c r="Y118" i="17"/>
  <c r="X118" i="17"/>
  <c r="Z117" i="17"/>
  <c r="Y117" i="17"/>
  <c r="X117" i="17"/>
  <c r="Z116" i="17"/>
  <c r="Y116" i="17"/>
  <c r="X116" i="17"/>
  <c r="Y115" i="17"/>
  <c r="X115" i="17"/>
  <c r="Z114" i="17"/>
  <c r="Y114" i="17"/>
  <c r="X114" i="17"/>
  <c r="Z113" i="17"/>
  <c r="Y113" i="17"/>
  <c r="X113" i="17"/>
  <c r="Y112" i="17"/>
  <c r="X112" i="17"/>
  <c r="Z111" i="17"/>
  <c r="Y111" i="17"/>
  <c r="X111" i="17"/>
  <c r="F109" i="17"/>
  <c r="F117" i="17"/>
  <c r="F115" i="17"/>
  <c r="F113" i="17"/>
  <c r="F111" i="17"/>
  <c r="F92" i="17"/>
  <c r="S116" i="17"/>
  <c r="S115" i="17"/>
  <c r="S114" i="17"/>
  <c r="S113" i="17"/>
  <c r="S112" i="17"/>
  <c r="O109" i="17" s="1"/>
  <c r="S110" i="17"/>
  <c r="S109" i="17"/>
  <c r="S108" i="17"/>
  <c r="S107" i="17"/>
  <c r="O107" i="17" s="1"/>
  <c r="S104" i="17"/>
  <c r="O104" i="17" s="1"/>
  <c r="S102" i="17"/>
  <c r="S100" i="17"/>
  <c r="O100" i="17"/>
  <c r="S97" i="17"/>
  <c r="S96" i="17"/>
  <c r="S95" i="17"/>
  <c r="S93" i="17"/>
  <c r="S92" i="17"/>
  <c r="O92" i="17"/>
  <c r="S91" i="17"/>
  <c r="S90" i="17"/>
  <c r="O90" i="17"/>
  <c r="S87" i="17"/>
  <c r="O87" i="17" s="1"/>
  <c r="S85" i="17"/>
  <c r="O85" i="17" s="1"/>
  <c r="S83" i="17"/>
  <c r="O83" i="17" s="1"/>
  <c r="T81" i="17"/>
  <c r="S81" i="17"/>
  <c r="O81" i="17"/>
  <c r="S76" i="17"/>
  <c r="S75" i="17"/>
  <c r="S74" i="17"/>
  <c r="O71" i="17" s="1"/>
  <c r="S72" i="17"/>
  <c r="S71" i="17"/>
  <c r="S70" i="17"/>
  <c r="S69" i="17"/>
  <c r="O69" i="17" s="1"/>
  <c r="S66" i="17"/>
  <c r="O66" i="17" s="1"/>
  <c r="S64" i="17"/>
  <c r="O64" i="17"/>
  <c r="S62" i="17"/>
  <c r="S60" i="17"/>
  <c r="O60" i="17"/>
  <c r="S57" i="17"/>
  <c r="O51" i="17" s="1"/>
  <c r="S56" i="17"/>
  <c r="S55" i="17"/>
  <c r="S54" i="17"/>
  <c r="S52" i="17"/>
  <c r="S51" i="17"/>
  <c r="S50" i="17"/>
  <c r="S49" i="17"/>
  <c r="O49" i="17" s="1"/>
  <c r="S46" i="17"/>
  <c r="O46" i="17"/>
  <c r="S44" i="17"/>
  <c r="O44" i="17"/>
  <c r="S42" i="17"/>
  <c r="O42" i="17"/>
  <c r="S40" i="17"/>
  <c r="S38" i="17"/>
  <c r="O38" i="17" s="1"/>
  <c r="S32" i="17"/>
  <c r="S31" i="17"/>
  <c r="S30" i="17"/>
  <c r="O27" i="17" s="1"/>
  <c r="S28" i="17"/>
  <c r="S27" i="17"/>
  <c r="S26" i="17"/>
  <c r="S25" i="17"/>
  <c r="O25" i="17"/>
  <c r="S21" i="17"/>
  <c r="S20" i="17"/>
  <c r="O16" i="17" s="1"/>
  <c r="S19" i="17"/>
  <c r="S17" i="17"/>
  <c r="S16" i="17"/>
  <c r="S14" i="17"/>
  <c r="O14" i="17" s="1"/>
  <c r="S11" i="17"/>
  <c r="O11" i="17"/>
  <c r="S9" i="17"/>
  <c r="O9" i="17" s="1"/>
  <c r="S7" i="17"/>
  <c r="O7" i="17" s="1"/>
  <c r="S5" i="17"/>
  <c r="O5" i="17" s="1"/>
  <c r="S839" i="1" l="1"/>
  <c r="Q839" i="1"/>
  <c r="S838" i="1"/>
  <c r="Q838" i="1"/>
  <c r="S837" i="1"/>
  <c r="Q837" i="1"/>
  <c r="S836" i="1"/>
  <c r="Q836" i="1"/>
  <c r="T835" i="1"/>
  <c r="S835" i="1"/>
  <c r="R835" i="1"/>
  <c r="Q835" i="1"/>
  <c r="P835" i="1"/>
  <c r="T834" i="1"/>
  <c r="S834" i="1"/>
  <c r="R834" i="1"/>
  <c r="Q834" i="1"/>
  <c r="P834" i="1"/>
  <c r="S833" i="1"/>
  <c r="Q833" i="1"/>
  <c r="S832" i="1"/>
  <c r="R832" i="1"/>
  <c r="Q832" i="1"/>
  <c r="S831" i="1"/>
  <c r="R831" i="1"/>
  <c r="Q831" i="1"/>
  <c r="S830" i="1"/>
  <c r="R830" i="1"/>
  <c r="Q830" i="1"/>
  <c r="T829" i="1"/>
  <c r="S829" i="1"/>
  <c r="R829" i="1"/>
  <c r="Q829" i="1"/>
  <c r="P829" i="1"/>
  <c r="S828" i="1"/>
  <c r="Q828" i="1"/>
  <c r="S827" i="1"/>
  <c r="R827" i="1"/>
  <c r="Q827" i="1"/>
  <c r="S826" i="1"/>
  <c r="R826" i="1"/>
  <c r="Q826" i="1"/>
  <c r="S825" i="1"/>
  <c r="R825" i="1"/>
  <c r="Q825" i="1"/>
  <c r="T824" i="1"/>
  <c r="S824" i="1"/>
  <c r="R824" i="1"/>
  <c r="Q824" i="1"/>
  <c r="P824" i="1"/>
  <c r="S823" i="1"/>
  <c r="Q823" i="1"/>
  <c r="S822" i="1"/>
  <c r="R822" i="1"/>
  <c r="Q822" i="1"/>
  <c r="S821" i="1"/>
  <c r="R821" i="1"/>
  <c r="Q821" i="1"/>
  <c r="S820" i="1"/>
  <c r="R820" i="1"/>
  <c r="Q820" i="1"/>
  <c r="T819" i="1"/>
  <c r="S819" i="1"/>
  <c r="R819" i="1"/>
  <c r="Q819" i="1"/>
  <c r="P819" i="1"/>
  <c r="S818" i="1"/>
  <c r="Q818" i="1"/>
  <c r="S817" i="1"/>
  <c r="R817" i="1"/>
  <c r="Q817" i="1"/>
  <c r="S816" i="1"/>
  <c r="R816" i="1"/>
  <c r="Q816" i="1"/>
  <c r="T815" i="1"/>
  <c r="S815" i="1"/>
  <c r="R815" i="1"/>
  <c r="Q815" i="1"/>
  <c r="P815" i="1"/>
  <c r="T814" i="1"/>
  <c r="S814" i="1"/>
  <c r="R814" i="1"/>
  <c r="Q814" i="1"/>
  <c r="P814" i="1"/>
  <c r="T813" i="1"/>
  <c r="L813" i="1" s="1"/>
  <c r="S813" i="1"/>
  <c r="R813" i="1"/>
  <c r="Q813" i="1"/>
  <c r="P813" i="1"/>
  <c r="S812" i="1"/>
  <c r="Q812" i="1"/>
  <c r="S811" i="1"/>
  <c r="Q811" i="1"/>
  <c r="S810" i="1"/>
  <c r="R810" i="1"/>
  <c r="Q810" i="1"/>
  <c r="T809" i="1"/>
  <c r="S809" i="1"/>
  <c r="R809" i="1"/>
  <c r="Q809" i="1"/>
  <c r="P809" i="1"/>
  <c r="L809" i="1" s="1"/>
  <c r="T808" i="1"/>
  <c r="S808" i="1"/>
  <c r="R808" i="1"/>
  <c r="Q808" i="1"/>
  <c r="P808" i="1"/>
  <c r="S807" i="1"/>
  <c r="Q807" i="1"/>
  <c r="S806" i="1"/>
  <c r="R806" i="1"/>
  <c r="Q806" i="1"/>
  <c r="S805" i="1"/>
  <c r="R805" i="1"/>
  <c r="Q805" i="1"/>
  <c r="S804" i="1"/>
  <c r="R804" i="1"/>
  <c r="Q804" i="1"/>
  <c r="T803" i="1"/>
  <c r="S803" i="1"/>
  <c r="R803" i="1"/>
  <c r="Q803" i="1"/>
  <c r="P803" i="1"/>
  <c r="S802" i="1"/>
  <c r="Q802" i="1"/>
  <c r="S801" i="1"/>
  <c r="Q801" i="1"/>
  <c r="S800" i="1"/>
  <c r="Q800" i="1"/>
  <c r="S799" i="1"/>
  <c r="Q799" i="1"/>
  <c r="T798" i="1"/>
  <c r="S798" i="1"/>
  <c r="R798" i="1"/>
  <c r="Q798" i="1"/>
  <c r="P798" i="1"/>
  <c r="S797" i="1"/>
  <c r="R797" i="1"/>
  <c r="Q797" i="1"/>
  <c r="S796" i="1"/>
  <c r="R796" i="1"/>
  <c r="Q796" i="1"/>
  <c r="T795" i="1"/>
  <c r="S795" i="1"/>
  <c r="R795" i="1"/>
  <c r="Q795" i="1"/>
  <c r="P795" i="1"/>
  <c r="T794" i="1"/>
  <c r="S794" i="1"/>
  <c r="R794" i="1"/>
  <c r="Q794" i="1"/>
  <c r="P794" i="1"/>
  <c r="S793" i="1"/>
  <c r="Q793" i="1"/>
  <c r="S792" i="1"/>
  <c r="Q792" i="1"/>
  <c r="S791" i="1"/>
  <c r="Q791" i="1"/>
  <c r="T790" i="1"/>
  <c r="S790" i="1"/>
  <c r="R790" i="1"/>
  <c r="Q790" i="1"/>
  <c r="P790" i="1"/>
  <c r="S789" i="1"/>
  <c r="R789" i="1"/>
  <c r="Q789" i="1"/>
  <c r="S788" i="1"/>
  <c r="R788" i="1"/>
  <c r="Q788" i="1"/>
  <c r="S787" i="1"/>
  <c r="R787" i="1"/>
  <c r="Q787" i="1"/>
  <c r="S786" i="1"/>
  <c r="R786" i="1"/>
  <c r="Q786" i="1"/>
  <c r="T785" i="1"/>
  <c r="S785" i="1"/>
  <c r="R785" i="1"/>
  <c r="Q785" i="1"/>
  <c r="P785" i="1"/>
  <c r="J785" i="1" s="1"/>
  <c r="S784" i="1"/>
  <c r="R784" i="1"/>
  <c r="Q784" i="1"/>
  <c r="S783" i="1"/>
  <c r="R783" i="1"/>
  <c r="Q783" i="1"/>
  <c r="S782" i="1"/>
  <c r="R782" i="1"/>
  <c r="Q782" i="1"/>
  <c r="S781" i="1"/>
  <c r="R781" i="1"/>
  <c r="Q781" i="1"/>
  <c r="S780" i="1"/>
  <c r="R780" i="1"/>
  <c r="Q780" i="1"/>
  <c r="S779" i="1"/>
  <c r="R779" i="1"/>
  <c r="Q779" i="1"/>
  <c r="T778" i="1"/>
  <c r="S778" i="1"/>
  <c r="R778" i="1"/>
  <c r="Q778" i="1"/>
  <c r="P778" i="1"/>
  <c r="T777" i="1"/>
  <c r="S777" i="1"/>
  <c r="R777" i="1"/>
  <c r="Q777" i="1"/>
  <c r="P777" i="1"/>
  <c r="T776" i="1"/>
  <c r="S776" i="1"/>
  <c r="R776" i="1"/>
  <c r="Q776" i="1"/>
  <c r="P776" i="1"/>
  <c r="T775" i="1"/>
  <c r="S775" i="1"/>
  <c r="R775" i="1"/>
  <c r="Q775" i="1"/>
  <c r="P775" i="1"/>
  <c r="S774" i="1"/>
  <c r="Q774" i="1"/>
  <c r="S773" i="1"/>
  <c r="Q773" i="1"/>
  <c r="S772" i="1"/>
  <c r="Q772" i="1"/>
  <c r="T771" i="1"/>
  <c r="S771" i="1"/>
  <c r="R771" i="1"/>
  <c r="Q771" i="1"/>
  <c r="P771" i="1"/>
  <c r="S770" i="1"/>
  <c r="Q770" i="1"/>
  <c r="S769" i="1"/>
  <c r="Q769" i="1"/>
  <c r="S768" i="1"/>
  <c r="Q768" i="1"/>
  <c r="T767" i="1"/>
  <c r="S767" i="1"/>
  <c r="R767" i="1"/>
  <c r="Q767" i="1"/>
  <c r="P767" i="1"/>
  <c r="T766" i="1"/>
  <c r="S766" i="1"/>
  <c r="R766" i="1"/>
  <c r="Q766" i="1"/>
  <c r="P766" i="1"/>
  <c r="T765" i="1"/>
  <c r="S765" i="1"/>
  <c r="R765" i="1"/>
  <c r="Q765" i="1"/>
  <c r="P765" i="1"/>
  <c r="S764" i="1"/>
  <c r="Q764" i="1"/>
  <c r="S763" i="1"/>
  <c r="Q763" i="1"/>
  <c r="S762" i="1"/>
  <c r="Q762" i="1"/>
  <c r="S761" i="1"/>
  <c r="Q761" i="1"/>
  <c r="S760" i="1"/>
  <c r="Q760" i="1"/>
  <c r="S759" i="1"/>
  <c r="Q759" i="1"/>
  <c r="S758" i="1"/>
  <c r="R758" i="1"/>
  <c r="Q758" i="1"/>
  <c r="S757" i="1"/>
  <c r="Q757" i="1"/>
  <c r="S756" i="1"/>
  <c r="Q756" i="1"/>
  <c r="S755" i="1"/>
  <c r="Q755" i="1"/>
  <c r="S754" i="1"/>
  <c r="Q754" i="1"/>
  <c r="S753" i="1"/>
  <c r="Q753" i="1"/>
  <c r="S752" i="1"/>
  <c r="Q752" i="1"/>
  <c r="S751" i="1"/>
  <c r="R751" i="1"/>
  <c r="Q751" i="1"/>
  <c r="S750" i="1"/>
  <c r="Q750" i="1"/>
  <c r="S749" i="1"/>
  <c r="Q749" i="1"/>
  <c r="S748" i="1"/>
  <c r="Q748" i="1"/>
  <c r="S747" i="1"/>
  <c r="Q747" i="1"/>
  <c r="S746" i="1"/>
  <c r="Q746" i="1"/>
  <c r="S745" i="1"/>
  <c r="Q745" i="1"/>
  <c r="S744" i="1"/>
  <c r="R744" i="1"/>
  <c r="Q744" i="1"/>
  <c r="S743" i="1"/>
  <c r="Q743" i="1"/>
  <c r="S742" i="1"/>
  <c r="Q742" i="1"/>
  <c r="S741" i="1"/>
  <c r="Q741" i="1"/>
  <c r="S740" i="1"/>
  <c r="Q740" i="1"/>
  <c r="S739" i="1"/>
  <c r="Q739" i="1"/>
  <c r="S738" i="1"/>
  <c r="Q738" i="1"/>
  <c r="S737" i="1"/>
  <c r="Q737" i="1"/>
  <c r="S736" i="1"/>
  <c r="Q736" i="1"/>
  <c r="S735" i="1"/>
  <c r="R735" i="1"/>
  <c r="Q735" i="1"/>
  <c r="T734" i="1"/>
  <c r="S734" i="1"/>
  <c r="R734" i="1"/>
  <c r="Q734" i="1"/>
  <c r="P734" i="1"/>
  <c r="T733" i="1"/>
  <c r="S733" i="1"/>
  <c r="R733" i="1"/>
  <c r="Q733" i="1"/>
  <c r="P733" i="1"/>
  <c r="S732" i="1"/>
  <c r="Q732" i="1"/>
  <c r="S731" i="1"/>
  <c r="R731" i="1"/>
  <c r="Q731" i="1"/>
  <c r="S730" i="1"/>
  <c r="R730" i="1"/>
  <c r="Q730" i="1"/>
  <c r="S729" i="1"/>
  <c r="R729" i="1"/>
  <c r="Q729" i="1"/>
  <c r="S728" i="1"/>
  <c r="R728" i="1"/>
  <c r="Q728" i="1"/>
  <c r="S727" i="1"/>
  <c r="R727" i="1"/>
  <c r="Q727" i="1"/>
  <c r="S726" i="1"/>
  <c r="R726" i="1"/>
  <c r="Q726" i="1"/>
  <c r="S725" i="1"/>
  <c r="Q725" i="1"/>
  <c r="S724" i="1"/>
  <c r="R724" i="1"/>
  <c r="Q724" i="1"/>
  <c r="S723" i="1"/>
  <c r="R723" i="1"/>
  <c r="Q723" i="1"/>
  <c r="S722" i="1"/>
  <c r="R722" i="1"/>
  <c r="Q722" i="1"/>
  <c r="S721" i="1"/>
  <c r="R721" i="1"/>
  <c r="Q721" i="1"/>
  <c r="S720" i="1"/>
  <c r="R720" i="1"/>
  <c r="Q720" i="1"/>
  <c r="S719" i="1"/>
  <c r="R719" i="1"/>
  <c r="Q719" i="1"/>
  <c r="S718" i="1"/>
  <c r="Q718" i="1"/>
  <c r="S717" i="1"/>
  <c r="R717" i="1"/>
  <c r="Q717" i="1"/>
  <c r="S716" i="1"/>
  <c r="R716" i="1"/>
  <c r="Q716" i="1"/>
  <c r="S715" i="1"/>
  <c r="R715" i="1"/>
  <c r="Q715" i="1"/>
  <c r="S714" i="1"/>
  <c r="R714" i="1"/>
  <c r="Q714" i="1"/>
  <c r="S713" i="1"/>
  <c r="R713" i="1"/>
  <c r="Q713" i="1"/>
  <c r="S712" i="1"/>
  <c r="R712" i="1"/>
  <c r="Q712" i="1"/>
  <c r="S711" i="1"/>
  <c r="Q711" i="1"/>
  <c r="S710" i="1"/>
  <c r="R710" i="1"/>
  <c r="Q710" i="1"/>
  <c r="S709" i="1"/>
  <c r="R709" i="1"/>
  <c r="Q709" i="1"/>
  <c r="S708" i="1"/>
  <c r="R708" i="1"/>
  <c r="Q708" i="1"/>
  <c r="S707" i="1"/>
  <c r="R707" i="1"/>
  <c r="Q707" i="1"/>
  <c r="S706" i="1"/>
  <c r="R706" i="1"/>
  <c r="Q706" i="1"/>
  <c r="S705" i="1"/>
  <c r="R705" i="1"/>
  <c r="Q705" i="1"/>
  <c r="S704" i="1"/>
  <c r="R704" i="1"/>
  <c r="Q704" i="1"/>
  <c r="S703" i="1"/>
  <c r="R703" i="1"/>
  <c r="Q703" i="1"/>
  <c r="T702" i="1"/>
  <c r="S702" i="1"/>
  <c r="R702" i="1"/>
  <c r="Q702" i="1"/>
  <c r="P702" i="1"/>
  <c r="T701" i="1"/>
  <c r="S701" i="1"/>
  <c r="R701" i="1"/>
  <c r="Q701" i="1"/>
  <c r="P701" i="1"/>
  <c r="S700" i="1"/>
  <c r="Q700" i="1"/>
  <c r="S699" i="1"/>
  <c r="R699" i="1"/>
  <c r="Q699" i="1"/>
  <c r="S698" i="1"/>
  <c r="R698" i="1"/>
  <c r="Q698" i="1"/>
  <c r="S697" i="1"/>
  <c r="R697" i="1"/>
  <c r="Q697" i="1"/>
  <c r="S696" i="1"/>
  <c r="R696" i="1"/>
  <c r="Q696" i="1"/>
  <c r="S695" i="1"/>
  <c r="R695" i="1"/>
  <c r="Q695" i="1"/>
  <c r="S694" i="1"/>
  <c r="R694" i="1"/>
  <c r="Q694" i="1"/>
  <c r="S693" i="1"/>
  <c r="Q693" i="1"/>
  <c r="S692" i="1"/>
  <c r="R692" i="1"/>
  <c r="Q692" i="1"/>
  <c r="S691" i="1"/>
  <c r="R691" i="1"/>
  <c r="Q691" i="1"/>
  <c r="S690" i="1"/>
  <c r="R690" i="1"/>
  <c r="Q690" i="1"/>
  <c r="S689" i="1"/>
  <c r="R689" i="1"/>
  <c r="Q689" i="1"/>
  <c r="S688" i="1"/>
  <c r="R688" i="1"/>
  <c r="Q688" i="1"/>
  <c r="S687" i="1"/>
  <c r="R687" i="1"/>
  <c r="Q687" i="1"/>
  <c r="S686" i="1"/>
  <c r="Q686" i="1"/>
  <c r="S685" i="1"/>
  <c r="R685" i="1"/>
  <c r="Q685" i="1"/>
  <c r="S684" i="1"/>
  <c r="R684" i="1"/>
  <c r="Q684" i="1"/>
  <c r="S683" i="1"/>
  <c r="R683" i="1"/>
  <c r="Q683" i="1"/>
  <c r="S682" i="1"/>
  <c r="R682" i="1"/>
  <c r="Q682" i="1"/>
  <c r="S681" i="1"/>
  <c r="R681" i="1"/>
  <c r="Q681" i="1"/>
  <c r="S680" i="1"/>
  <c r="R680" i="1"/>
  <c r="Q680" i="1"/>
  <c r="S679" i="1"/>
  <c r="Q679" i="1"/>
  <c r="S678" i="1"/>
  <c r="R678" i="1"/>
  <c r="Q678" i="1"/>
  <c r="S677" i="1"/>
  <c r="R677" i="1"/>
  <c r="Q677" i="1"/>
  <c r="S676" i="1"/>
  <c r="R676" i="1"/>
  <c r="Q676" i="1"/>
  <c r="S675" i="1"/>
  <c r="R675" i="1"/>
  <c r="Q675" i="1"/>
  <c r="S674" i="1"/>
  <c r="R674" i="1"/>
  <c r="Q674" i="1"/>
  <c r="S673" i="1"/>
  <c r="R673" i="1"/>
  <c r="Q673" i="1"/>
  <c r="S672" i="1"/>
  <c r="R672" i="1"/>
  <c r="Q672" i="1"/>
  <c r="S671" i="1"/>
  <c r="R671" i="1"/>
  <c r="Q671" i="1"/>
  <c r="T670" i="1"/>
  <c r="S670" i="1"/>
  <c r="R670" i="1"/>
  <c r="Q670" i="1"/>
  <c r="P670" i="1"/>
  <c r="T669" i="1"/>
  <c r="S669" i="1"/>
  <c r="R669" i="1"/>
  <c r="Q669" i="1"/>
  <c r="P669" i="1"/>
  <c r="T668" i="1"/>
  <c r="S668" i="1"/>
  <c r="R668" i="1"/>
  <c r="Q668" i="1"/>
  <c r="P668" i="1"/>
  <c r="S667" i="1"/>
  <c r="Q667" i="1"/>
  <c r="S666" i="1"/>
  <c r="Q666" i="1"/>
  <c r="S665" i="1"/>
  <c r="Q665" i="1"/>
  <c r="S664" i="1"/>
  <c r="Q664" i="1"/>
  <c r="S663" i="1"/>
  <c r="Q663" i="1"/>
  <c r="S662" i="1"/>
  <c r="Q662" i="1"/>
  <c r="S661" i="1"/>
  <c r="Q661" i="1"/>
  <c r="S660" i="1"/>
  <c r="Q660" i="1"/>
  <c r="S659" i="1"/>
  <c r="Q659" i="1"/>
  <c r="S658" i="1"/>
  <c r="Q658" i="1"/>
  <c r="S657" i="1"/>
  <c r="Q657" i="1"/>
  <c r="S656" i="1"/>
  <c r="Q656" i="1"/>
  <c r="S655" i="1"/>
  <c r="Q655" i="1"/>
  <c r="S654" i="1"/>
  <c r="Q654" i="1"/>
  <c r="S653" i="1"/>
  <c r="Q653" i="1"/>
  <c r="S652" i="1"/>
  <c r="Q652" i="1"/>
  <c r="S651" i="1"/>
  <c r="Q651" i="1"/>
  <c r="S650" i="1"/>
  <c r="Q650" i="1"/>
  <c r="S649" i="1"/>
  <c r="Q649" i="1"/>
  <c r="S648" i="1"/>
  <c r="Q648" i="1"/>
  <c r="S647" i="1"/>
  <c r="Q647" i="1"/>
  <c r="T646" i="1"/>
  <c r="S646" i="1"/>
  <c r="R646" i="1"/>
  <c r="Q646" i="1"/>
  <c r="P646" i="1"/>
  <c r="S645" i="1"/>
  <c r="Q645" i="1"/>
  <c r="S644" i="1"/>
  <c r="Q644" i="1"/>
  <c r="S643" i="1"/>
  <c r="Q643" i="1"/>
  <c r="S642" i="1"/>
  <c r="Q642" i="1"/>
  <c r="S641" i="1"/>
  <c r="Q641" i="1"/>
  <c r="S640" i="1"/>
  <c r="Q640" i="1"/>
  <c r="S639" i="1"/>
  <c r="Q639" i="1"/>
  <c r="S638" i="1"/>
  <c r="Q638" i="1"/>
  <c r="S637" i="1"/>
  <c r="Q637" i="1"/>
  <c r="T636" i="1"/>
  <c r="S636" i="1"/>
  <c r="R636" i="1"/>
  <c r="Q636" i="1"/>
  <c r="P636" i="1"/>
  <c r="S635" i="1"/>
  <c r="Q635" i="1"/>
  <c r="S634" i="1"/>
  <c r="Q634" i="1"/>
  <c r="S633" i="1"/>
  <c r="Q633" i="1"/>
  <c r="T632" i="1"/>
  <c r="S632" i="1"/>
  <c r="R632" i="1"/>
  <c r="Q632" i="1"/>
  <c r="P632" i="1"/>
  <c r="S631" i="1"/>
  <c r="R631" i="1"/>
  <c r="Q631" i="1"/>
  <c r="T630" i="1"/>
  <c r="S630" i="1"/>
  <c r="R630" i="1"/>
  <c r="Q630" i="1"/>
  <c r="P630" i="1"/>
  <c r="S629" i="1"/>
  <c r="Q629" i="1"/>
  <c r="S628" i="1"/>
  <c r="R628" i="1"/>
  <c r="Q628" i="1"/>
  <c r="S627" i="1"/>
  <c r="R627" i="1"/>
  <c r="Q627" i="1"/>
  <c r="S626" i="1"/>
  <c r="R626" i="1"/>
  <c r="Q626" i="1"/>
  <c r="S625" i="1"/>
  <c r="R625" i="1"/>
  <c r="Q625" i="1"/>
  <c r="S624" i="1"/>
  <c r="R624" i="1"/>
  <c r="Q624" i="1"/>
  <c r="S623" i="1"/>
  <c r="R623" i="1"/>
  <c r="Q623" i="1"/>
  <c r="S622" i="1"/>
  <c r="R622" i="1"/>
  <c r="Q622" i="1"/>
  <c r="S621" i="1"/>
  <c r="R621" i="1"/>
  <c r="Q621" i="1"/>
  <c r="S620" i="1"/>
  <c r="R620" i="1"/>
  <c r="Q620" i="1"/>
  <c r="S619" i="1"/>
  <c r="R619" i="1"/>
  <c r="Q619" i="1"/>
  <c r="S618" i="1"/>
  <c r="R618" i="1"/>
  <c r="Q618" i="1"/>
  <c r="S617" i="1"/>
  <c r="R617" i="1"/>
  <c r="Q617" i="1"/>
  <c r="S616" i="1"/>
  <c r="R616" i="1"/>
  <c r="Q616" i="1"/>
  <c r="S615" i="1"/>
  <c r="R615" i="1"/>
  <c r="Q615" i="1"/>
  <c r="S614" i="1"/>
  <c r="R614" i="1"/>
  <c r="Q614" i="1"/>
  <c r="S613" i="1"/>
  <c r="R613" i="1"/>
  <c r="Q613" i="1"/>
  <c r="S612" i="1"/>
  <c r="R612" i="1"/>
  <c r="Q612" i="1"/>
  <c r="S611" i="1"/>
  <c r="R611" i="1"/>
  <c r="Q611" i="1"/>
  <c r="S610" i="1"/>
  <c r="R610" i="1"/>
  <c r="Q610" i="1"/>
  <c r="S609" i="1"/>
  <c r="R609" i="1"/>
  <c r="Q609" i="1"/>
  <c r="T608" i="1"/>
  <c r="S608" i="1"/>
  <c r="R608" i="1"/>
  <c r="Q608" i="1"/>
  <c r="P608" i="1"/>
  <c r="S607" i="1"/>
  <c r="Q607" i="1"/>
  <c r="S606" i="1"/>
  <c r="R606" i="1"/>
  <c r="Q606" i="1"/>
  <c r="S605" i="1"/>
  <c r="R605" i="1"/>
  <c r="Q605" i="1"/>
  <c r="S604" i="1"/>
  <c r="R604" i="1"/>
  <c r="Q604" i="1"/>
  <c r="S603" i="1"/>
  <c r="R603" i="1"/>
  <c r="Q603" i="1"/>
  <c r="S602" i="1"/>
  <c r="R602" i="1"/>
  <c r="Q602" i="1"/>
  <c r="S601" i="1"/>
  <c r="R601" i="1"/>
  <c r="Q601" i="1"/>
  <c r="S600" i="1"/>
  <c r="R600" i="1"/>
  <c r="Q600" i="1"/>
  <c r="S599" i="1"/>
  <c r="R599" i="1"/>
  <c r="Q599" i="1"/>
  <c r="T598" i="1"/>
  <c r="S598" i="1"/>
  <c r="R598" i="1"/>
  <c r="Q598" i="1"/>
  <c r="P598" i="1"/>
  <c r="S597" i="1"/>
  <c r="Q597" i="1"/>
  <c r="S596" i="1"/>
  <c r="R596" i="1"/>
  <c r="Q596" i="1"/>
  <c r="S595" i="1"/>
  <c r="R595" i="1"/>
  <c r="Q595" i="1"/>
  <c r="T594" i="1"/>
  <c r="S594" i="1"/>
  <c r="R594" i="1"/>
  <c r="Q594" i="1"/>
  <c r="P594" i="1"/>
  <c r="S593" i="1"/>
  <c r="R593" i="1"/>
  <c r="Q593" i="1"/>
  <c r="T592" i="1"/>
  <c r="S592" i="1"/>
  <c r="R592" i="1"/>
  <c r="Q592" i="1"/>
  <c r="P592" i="1"/>
  <c r="S591" i="1"/>
  <c r="Q591" i="1"/>
  <c r="S590" i="1"/>
  <c r="Q590" i="1"/>
  <c r="S589" i="1"/>
  <c r="Q589" i="1"/>
  <c r="S588" i="1"/>
  <c r="Q588" i="1"/>
  <c r="S587" i="1"/>
  <c r="Q587" i="1"/>
  <c r="S586" i="1"/>
  <c r="Q586" i="1"/>
  <c r="S585" i="1"/>
  <c r="Q585" i="1"/>
  <c r="S584" i="1"/>
  <c r="Q584" i="1"/>
  <c r="S583" i="1"/>
  <c r="Q583" i="1"/>
  <c r="S582" i="1"/>
  <c r="Q582" i="1"/>
  <c r="S581" i="1"/>
  <c r="Q581" i="1"/>
  <c r="S580" i="1"/>
  <c r="Q580" i="1"/>
  <c r="S579" i="1"/>
  <c r="Q579" i="1"/>
  <c r="S578" i="1"/>
  <c r="Q578" i="1"/>
  <c r="S577" i="1"/>
  <c r="Q577" i="1"/>
  <c r="S576" i="1"/>
  <c r="Q576" i="1"/>
  <c r="S575" i="1"/>
  <c r="Q575" i="1"/>
  <c r="S574" i="1"/>
  <c r="Q574" i="1"/>
  <c r="S573" i="1"/>
  <c r="Q573" i="1"/>
  <c r="S572" i="1"/>
  <c r="Q572" i="1"/>
  <c r="S571" i="1"/>
  <c r="Q571" i="1"/>
  <c r="T570" i="1"/>
  <c r="S570" i="1"/>
  <c r="R570" i="1"/>
  <c r="Q570" i="1"/>
  <c r="P570" i="1"/>
  <c r="S569" i="1"/>
  <c r="Q569" i="1"/>
  <c r="S568" i="1"/>
  <c r="Q568" i="1"/>
  <c r="S567" i="1"/>
  <c r="Q567" i="1"/>
  <c r="S566" i="1"/>
  <c r="Q566" i="1"/>
  <c r="S565" i="1"/>
  <c r="Q565" i="1"/>
  <c r="S564" i="1"/>
  <c r="Q564" i="1"/>
  <c r="S563" i="1"/>
  <c r="Q563" i="1"/>
  <c r="S562" i="1"/>
  <c r="Q562" i="1"/>
  <c r="S561" i="1"/>
  <c r="Q561" i="1"/>
  <c r="T560" i="1"/>
  <c r="S560" i="1"/>
  <c r="R560" i="1"/>
  <c r="Q560" i="1"/>
  <c r="P560" i="1"/>
  <c r="S559" i="1"/>
  <c r="Q559" i="1"/>
  <c r="S558" i="1"/>
  <c r="Q558" i="1"/>
  <c r="S557" i="1"/>
  <c r="Q557" i="1"/>
  <c r="T556" i="1"/>
  <c r="S556" i="1"/>
  <c r="R556" i="1"/>
  <c r="Q556" i="1"/>
  <c r="P556" i="1"/>
  <c r="S555" i="1"/>
  <c r="R555" i="1"/>
  <c r="Q555" i="1"/>
  <c r="T554" i="1"/>
  <c r="S554" i="1"/>
  <c r="R554" i="1"/>
  <c r="Q554" i="1"/>
  <c r="P554" i="1"/>
  <c r="S553" i="1"/>
  <c r="R553" i="1"/>
  <c r="Q553" i="1"/>
  <c r="S552" i="1"/>
  <c r="R552" i="1"/>
  <c r="Q552" i="1"/>
  <c r="S551" i="1"/>
  <c r="R551" i="1"/>
  <c r="Q551" i="1"/>
  <c r="S550" i="1"/>
  <c r="R550" i="1"/>
  <c r="Q550" i="1"/>
  <c r="S549" i="1"/>
  <c r="R549" i="1"/>
  <c r="Q549" i="1"/>
  <c r="S548" i="1"/>
  <c r="R548" i="1"/>
  <c r="Q548" i="1"/>
  <c r="S547" i="1"/>
  <c r="R547" i="1"/>
  <c r="Q547" i="1"/>
  <c r="S546" i="1"/>
  <c r="R546" i="1"/>
  <c r="Q546" i="1"/>
  <c r="S545" i="1"/>
  <c r="R545" i="1"/>
  <c r="Q545" i="1"/>
  <c r="S544" i="1"/>
  <c r="R544" i="1"/>
  <c r="Q544" i="1"/>
  <c r="S543" i="1"/>
  <c r="R543" i="1"/>
  <c r="Q543" i="1"/>
  <c r="S542" i="1"/>
  <c r="R542" i="1"/>
  <c r="Q542" i="1"/>
  <c r="S541" i="1"/>
  <c r="R541" i="1"/>
  <c r="Q541" i="1"/>
  <c r="S540" i="1"/>
  <c r="R540" i="1"/>
  <c r="Q540" i="1"/>
  <c r="S539" i="1"/>
  <c r="R539" i="1"/>
  <c r="Q539" i="1"/>
  <c r="S538" i="1"/>
  <c r="R538" i="1"/>
  <c r="Q538" i="1"/>
  <c r="S537" i="1"/>
  <c r="R537" i="1"/>
  <c r="Q537" i="1"/>
  <c r="S536" i="1"/>
  <c r="R536" i="1"/>
  <c r="Q536" i="1"/>
  <c r="S535" i="1"/>
  <c r="R535" i="1"/>
  <c r="Q535" i="1"/>
  <c r="S534" i="1"/>
  <c r="R534" i="1"/>
  <c r="Q534" i="1"/>
  <c r="S533" i="1"/>
  <c r="R533" i="1"/>
  <c r="Q533" i="1"/>
  <c r="S532" i="1"/>
  <c r="R532" i="1"/>
  <c r="Q532" i="1"/>
  <c r="S531" i="1"/>
  <c r="R531" i="1"/>
  <c r="Q531" i="1"/>
  <c r="S530" i="1"/>
  <c r="R530" i="1"/>
  <c r="Q530" i="1"/>
  <c r="S529" i="1"/>
  <c r="R529" i="1"/>
  <c r="Q529" i="1"/>
  <c r="S528" i="1"/>
  <c r="R528" i="1"/>
  <c r="Q528" i="1"/>
  <c r="S527" i="1"/>
  <c r="R527" i="1"/>
  <c r="Q527" i="1"/>
  <c r="S526" i="1"/>
  <c r="R526" i="1"/>
  <c r="Q526" i="1"/>
  <c r="S525" i="1"/>
  <c r="R525" i="1"/>
  <c r="Q525" i="1"/>
  <c r="T524" i="1"/>
  <c r="S524" i="1"/>
  <c r="R524" i="1"/>
  <c r="Q524" i="1"/>
  <c r="P524" i="1"/>
  <c r="S523" i="1"/>
  <c r="R523" i="1"/>
  <c r="Q523" i="1"/>
  <c r="S522" i="1"/>
  <c r="R522" i="1"/>
  <c r="Q522" i="1"/>
  <c r="S521" i="1"/>
  <c r="R521" i="1"/>
  <c r="Q521" i="1"/>
  <c r="T520" i="1"/>
  <c r="S520" i="1"/>
  <c r="R520" i="1"/>
  <c r="Q520" i="1"/>
  <c r="P520" i="1"/>
  <c r="T519" i="1"/>
  <c r="S519" i="1"/>
  <c r="R519" i="1"/>
  <c r="Q519" i="1"/>
  <c r="P519" i="1"/>
  <c r="T518" i="1"/>
  <c r="S518" i="1"/>
  <c r="R518" i="1"/>
  <c r="Q518" i="1"/>
  <c r="P518" i="1"/>
  <c r="S517" i="1"/>
  <c r="Q517" i="1"/>
  <c r="T516" i="1"/>
  <c r="S516" i="1"/>
  <c r="R516" i="1"/>
  <c r="Q516" i="1"/>
  <c r="P516" i="1"/>
  <c r="T515" i="1"/>
  <c r="S515" i="1"/>
  <c r="R515" i="1"/>
  <c r="Q515" i="1"/>
  <c r="P515" i="1"/>
  <c r="S514" i="1"/>
  <c r="Q514" i="1"/>
  <c r="S513" i="1"/>
  <c r="Q513" i="1"/>
  <c r="S512" i="1"/>
  <c r="Q512" i="1"/>
  <c r="S511" i="1"/>
  <c r="Q511" i="1"/>
  <c r="S510" i="1"/>
  <c r="Q510" i="1"/>
  <c r="S509" i="1"/>
  <c r="Q509" i="1"/>
  <c r="T508" i="1"/>
  <c r="S508" i="1"/>
  <c r="R508" i="1"/>
  <c r="Q508" i="1"/>
  <c r="P508" i="1"/>
  <c r="T507" i="1"/>
  <c r="S507" i="1"/>
  <c r="R507" i="1"/>
  <c r="Q507" i="1"/>
  <c r="P507" i="1"/>
  <c r="S506" i="1"/>
  <c r="Q506" i="1"/>
  <c r="S505" i="1"/>
  <c r="Q505" i="1"/>
  <c r="S504" i="1"/>
  <c r="Q504" i="1"/>
  <c r="S503" i="1"/>
  <c r="Q503" i="1"/>
  <c r="S502" i="1"/>
  <c r="R502" i="1"/>
  <c r="Q502" i="1"/>
  <c r="S501" i="1"/>
  <c r="R501" i="1"/>
  <c r="Q501" i="1"/>
  <c r="S500" i="1"/>
  <c r="R500" i="1"/>
  <c r="Q500" i="1"/>
  <c r="T499" i="1"/>
  <c r="S499" i="1"/>
  <c r="R499" i="1"/>
  <c r="Q499" i="1"/>
  <c r="P499" i="1"/>
  <c r="T498" i="1"/>
  <c r="S498" i="1"/>
  <c r="R498" i="1"/>
  <c r="Q498" i="1"/>
  <c r="P498" i="1"/>
  <c r="S497" i="1"/>
  <c r="Q497" i="1"/>
  <c r="S496" i="1"/>
  <c r="Q496" i="1"/>
  <c r="S495" i="1"/>
  <c r="R495" i="1"/>
  <c r="Q495" i="1"/>
  <c r="T494" i="1"/>
  <c r="S494" i="1"/>
  <c r="R494" i="1"/>
  <c r="Q494" i="1"/>
  <c r="P494" i="1"/>
  <c r="T493" i="1"/>
  <c r="S493" i="1"/>
  <c r="R493" i="1"/>
  <c r="Q493" i="1"/>
  <c r="P493" i="1"/>
  <c r="S492" i="1"/>
  <c r="Q492" i="1"/>
  <c r="S491" i="1"/>
  <c r="Q491" i="1"/>
  <c r="S490" i="1"/>
  <c r="R490" i="1"/>
  <c r="Q490" i="1"/>
  <c r="S489" i="1"/>
  <c r="R489" i="1"/>
  <c r="Q489" i="1"/>
  <c r="S488" i="1"/>
  <c r="R488" i="1"/>
  <c r="Q488" i="1"/>
  <c r="S487" i="1"/>
  <c r="R487" i="1"/>
  <c r="Q487" i="1"/>
  <c r="S486" i="1"/>
  <c r="R486" i="1"/>
  <c r="Q486" i="1"/>
  <c r="S485" i="1"/>
  <c r="R485" i="1"/>
  <c r="Q485" i="1"/>
  <c r="S484" i="1"/>
  <c r="R484" i="1"/>
  <c r="Q484" i="1"/>
  <c r="S483" i="1"/>
  <c r="R483" i="1"/>
  <c r="Q483" i="1"/>
  <c r="S482" i="1"/>
  <c r="R482" i="1"/>
  <c r="Q482" i="1"/>
  <c r="T481" i="1"/>
  <c r="S481" i="1"/>
  <c r="R481" i="1"/>
  <c r="Q481" i="1"/>
  <c r="P481" i="1"/>
  <c r="T480" i="1"/>
  <c r="S480" i="1"/>
  <c r="R480" i="1"/>
  <c r="Q480" i="1"/>
  <c r="P480" i="1"/>
  <c r="S479" i="1"/>
  <c r="Q479" i="1"/>
  <c r="S478" i="1"/>
  <c r="Q478" i="1"/>
  <c r="S477" i="1"/>
  <c r="R477" i="1"/>
  <c r="Q477" i="1"/>
  <c r="T476" i="1"/>
  <c r="S476" i="1"/>
  <c r="R476" i="1"/>
  <c r="Q476" i="1"/>
  <c r="P476" i="1"/>
  <c r="T475" i="1"/>
  <c r="S475" i="1"/>
  <c r="R475" i="1"/>
  <c r="Q475" i="1"/>
  <c r="P475" i="1"/>
  <c r="S474" i="1"/>
  <c r="Q474" i="1"/>
  <c r="S473" i="1"/>
  <c r="Q473" i="1"/>
  <c r="S472" i="1"/>
  <c r="R472" i="1"/>
  <c r="Q472" i="1"/>
  <c r="S471" i="1"/>
  <c r="R471" i="1"/>
  <c r="Q471" i="1"/>
  <c r="T470" i="1"/>
  <c r="S470" i="1"/>
  <c r="R470" i="1"/>
  <c r="Q470" i="1"/>
  <c r="P470" i="1"/>
  <c r="T469" i="1"/>
  <c r="S469" i="1"/>
  <c r="R469" i="1"/>
  <c r="Q469" i="1"/>
  <c r="P469" i="1"/>
  <c r="T468" i="1"/>
  <c r="S468" i="1"/>
  <c r="R468" i="1"/>
  <c r="Q468" i="1"/>
  <c r="P468" i="1"/>
  <c r="S467" i="1"/>
  <c r="Q467" i="1"/>
  <c r="S466" i="1"/>
  <c r="Q466" i="1"/>
  <c r="S465" i="1"/>
  <c r="Q465" i="1"/>
  <c r="T464" i="1"/>
  <c r="S464" i="1"/>
  <c r="R464" i="1"/>
  <c r="Q464" i="1"/>
  <c r="P464" i="1"/>
  <c r="T463" i="1"/>
  <c r="S463" i="1"/>
  <c r="R463" i="1"/>
  <c r="Q463" i="1"/>
  <c r="P463" i="1"/>
  <c r="S462" i="1"/>
  <c r="Q462" i="1"/>
  <c r="S461" i="1"/>
  <c r="Q461" i="1"/>
  <c r="S460" i="1"/>
  <c r="R460" i="1"/>
  <c r="Q460" i="1"/>
  <c r="S459" i="1"/>
  <c r="R459" i="1"/>
  <c r="Q459" i="1"/>
  <c r="T458" i="1"/>
  <c r="S458" i="1"/>
  <c r="R458" i="1"/>
  <c r="Q458" i="1"/>
  <c r="P458" i="1"/>
  <c r="T457" i="1"/>
  <c r="S457" i="1"/>
  <c r="R457" i="1"/>
  <c r="Q457" i="1"/>
  <c r="P457" i="1"/>
  <c r="S456" i="1"/>
  <c r="Q456" i="1"/>
  <c r="S455" i="1"/>
  <c r="R455" i="1"/>
  <c r="Q455" i="1"/>
  <c r="S454" i="1"/>
  <c r="R454" i="1"/>
  <c r="Q454" i="1"/>
  <c r="S453" i="1"/>
  <c r="R453" i="1"/>
  <c r="Q453" i="1"/>
  <c r="S452" i="1"/>
  <c r="R452" i="1"/>
  <c r="Q452" i="1"/>
  <c r="T451" i="1"/>
  <c r="S451" i="1"/>
  <c r="R451" i="1"/>
  <c r="Q451" i="1"/>
  <c r="P451" i="1"/>
  <c r="T450" i="1"/>
  <c r="S450" i="1"/>
  <c r="R450" i="1"/>
  <c r="Q450" i="1"/>
  <c r="P450" i="1"/>
  <c r="S449" i="1"/>
  <c r="R449" i="1"/>
  <c r="Q449" i="1"/>
  <c r="S448" i="1"/>
  <c r="R448" i="1"/>
  <c r="Q448" i="1"/>
  <c r="T447" i="1"/>
  <c r="S447" i="1"/>
  <c r="R447" i="1"/>
  <c r="Q447" i="1"/>
  <c r="P447" i="1"/>
  <c r="T446" i="1"/>
  <c r="S446" i="1"/>
  <c r="R446" i="1"/>
  <c r="Q446" i="1"/>
  <c r="P446" i="1"/>
  <c r="T445" i="1"/>
  <c r="S445" i="1"/>
  <c r="R445" i="1"/>
  <c r="Q445" i="1"/>
  <c r="P445" i="1"/>
  <c r="S444" i="1"/>
  <c r="Q444" i="1"/>
  <c r="S443" i="1"/>
  <c r="Q443" i="1"/>
  <c r="S442" i="1"/>
  <c r="Q442" i="1"/>
  <c r="T441" i="1"/>
  <c r="S441" i="1"/>
  <c r="R441" i="1"/>
  <c r="Q441" i="1"/>
  <c r="P441" i="1"/>
  <c r="T440" i="1"/>
  <c r="S440" i="1"/>
  <c r="R440" i="1"/>
  <c r="Q440" i="1"/>
  <c r="P440" i="1"/>
  <c r="S439" i="1"/>
  <c r="Q439" i="1"/>
  <c r="S438" i="1"/>
  <c r="Q438" i="1"/>
  <c r="S437" i="1"/>
  <c r="R437" i="1"/>
  <c r="Q437" i="1"/>
  <c r="S436" i="1"/>
  <c r="R436" i="1"/>
  <c r="Q436" i="1"/>
  <c r="T435" i="1"/>
  <c r="S435" i="1"/>
  <c r="R435" i="1"/>
  <c r="Q435" i="1"/>
  <c r="P435" i="1"/>
  <c r="T434" i="1"/>
  <c r="S434" i="1"/>
  <c r="R434" i="1"/>
  <c r="Q434" i="1"/>
  <c r="P434" i="1"/>
  <c r="S433" i="1"/>
  <c r="Q433" i="1"/>
  <c r="S432" i="1"/>
  <c r="R432" i="1"/>
  <c r="Q432" i="1"/>
  <c r="S431" i="1"/>
  <c r="R431" i="1"/>
  <c r="Q431" i="1"/>
  <c r="S430" i="1"/>
  <c r="R430" i="1"/>
  <c r="Q430" i="1"/>
  <c r="S429" i="1"/>
  <c r="R429" i="1"/>
  <c r="Q429" i="1"/>
  <c r="T428" i="1"/>
  <c r="S428" i="1"/>
  <c r="R428" i="1"/>
  <c r="Q428" i="1"/>
  <c r="P428" i="1"/>
  <c r="T427" i="1"/>
  <c r="S427" i="1"/>
  <c r="R427" i="1"/>
  <c r="Q427" i="1"/>
  <c r="P427" i="1"/>
  <c r="S426" i="1"/>
  <c r="R426" i="1"/>
  <c r="Q426" i="1"/>
  <c r="S425" i="1"/>
  <c r="R425" i="1"/>
  <c r="Q425" i="1"/>
  <c r="T424" i="1"/>
  <c r="S424" i="1"/>
  <c r="R424" i="1"/>
  <c r="Q424" i="1"/>
  <c r="P424" i="1"/>
  <c r="T423" i="1"/>
  <c r="S423" i="1"/>
  <c r="R423" i="1"/>
  <c r="Q423" i="1"/>
  <c r="P423" i="1"/>
  <c r="T422" i="1"/>
  <c r="S422" i="1"/>
  <c r="R422" i="1"/>
  <c r="Q422" i="1"/>
  <c r="P422" i="1"/>
  <c r="S421" i="1"/>
  <c r="Q421" i="1"/>
  <c r="S420" i="1"/>
  <c r="Q420" i="1"/>
  <c r="S419" i="1"/>
  <c r="Q419" i="1"/>
  <c r="S418" i="1"/>
  <c r="Q418" i="1"/>
  <c r="S417" i="1"/>
  <c r="R417" i="1"/>
  <c r="Q417" i="1"/>
  <c r="S416" i="1"/>
  <c r="Q416" i="1"/>
  <c r="S415" i="1"/>
  <c r="R415" i="1"/>
  <c r="Q415" i="1"/>
  <c r="S414" i="1"/>
  <c r="R414" i="1"/>
  <c r="Q414" i="1"/>
  <c r="S413" i="1"/>
  <c r="R413" i="1"/>
  <c r="Q413" i="1"/>
  <c r="S412" i="1"/>
  <c r="Q412" i="1"/>
  <c r="S411" i="1"/>
  <c r="R411" i="1"/>
  <c r="Q411" i="1"/>
  <c r="S410" i="1"/>
  <c r="R410" i="1"/>
  <c r="Q410" i="1"/>
  <c r="S409" i="1"/>
  <c r="Q409" i="1"/>
  <c r="T408" i="1"/>
  <c r="S408" i="1"/>
  <c r="R408" i="1"/>
  <c r="Q408" i="1"/>
  <c r="P408" i="1"/>
  <c r="T407" i="1"/>
  <c r="S407" i="1"/>
  <c r="R407" i="1"/>
  <c r="Q407" i="1"/>
  <c r="P407" i="1"/>
  <c r="S406" i="1"/>
  <c r="R406" i="1"/>
  <c r="Q406" i="1"/>
  <c r="S405" i="1"/>
  <c r="R405" i="1"/>
  <c r="Q405" i="1"/>
  <c r="T404" i="1"/>
  <c r="S404" i="1"/>
  <c r="R404" i="1"/>
  <c r="Q404" i="1"/>
  <c r="P404" i="1"/>
  <c r="T403" i="1"/>
  <c r="S403" i="1"/>
  <c r="R403" i="1"/>
  <c r="Q403" i="1"/>
  <c r="P403" i="1"/>
  <c r="S402" i="1"/>
  <c r="Q402" i="1"/>
  <c r="S401" i="1"/>
  <c r="Q401" i="1"/>
  <c r="S400" i="1"/>
  <c r="Q400" i="1"/>
  <c r="S399" i="1"/>
  <c r="R399" i="1"/>
  <c r="Q399" i="1"/>
  <c r="T398" i="1"/>
  <c r="S398" i="1"/>
  <c r="R398" i="1"/>
  <c r="Q398" i="1"/>
  <c r="P398" i="1"/>
  <c r="T397" i="1"/>
  <c r="S397" i="1"/>
  <c r="R397" i="1"/>
  <c r="Q397" i="1"/>
  <c r="P397" i="1"/>
  <c r="S396" i="1"/>
  <c r="Q396" i="1"/>
  <c r="S395" i="1"/>
  <c r="Q395" i="1"/>
  <c r="S394" i="1"/>
  <c r="Q394" i="1"/>
  <c r="S393" i="1"/>
  <c r="Q393" i="1"/>
  <c r="T392" i="1"/>
  <c r="S392" i="1"/>
  <c r="R392" i="1"/>
  <c r="Q392" i="1"/>
  <c r="P392" i="1"/>
  <c r="T391" i="1"/>
  <c r="S391" i="1"/>
  <c r="R391" i="1"/>
  <c r="Q391" i="1"/>
  <c r="P391" i="1"/>
  <c r="S390" i="1"/>
  <c r="Q390" i="1"/>
  <c r="S389" i="1"/>
  <c r="R389" i="1"/>
  <c r="Q389" i="1"/>
  <c r="S388" i="1"/>
  <c r="R388" i="1"/>
  <c r="Q388" i="1"/>
  <c r="S387" i="1"/>
  <c r="R387" i="1"/>
  <c r="Q387" i="1"/>
  <c r="S386" i="1"/>
  <c r="R386" i="1"/>
  <c r="Q386" i="1"/>
  <c r="T385" i="1"/>
  <c r="S385" i="1"/>
  <c r="R385" i="1"/>
  <c r="Q385" i="1"/>
  <c r="P385" i="1"/>
  <c r="S384" i="1"/>
  <c r="R384" i="1"/>
  <c r="Q384" i="1"/>
  <c r="S383" i="1"/>
  <c r="R383" i="1"/>
  <c r="Q383" i="1"/>
  <c r="S382" i="1"/>
  <c r="R382" i="1"/>
  <c r="Q382" i="1"/>
  <c r="S381" i="1"/>
  <c r="R381" i="1"/>
  <c r="Q381" i="1"/>
  <c r="S380" i="1"/>
  <c r="R380" i="1"/>
  <c r="Q380" i="1"/>
  <c r="S379" i="1"/>
  <c r="R379" i="1"/>
  <c r="Q379" i="1"/>
  <c r="S378" i="1"/>
  <c r="R378" i="1"/>
  <c r="Q378" i="1"/>
  <c r="S377" i="1"/>
  <c r="R377" i="1"/>
  <c r="Q377" i="1"/>
  <c r="S376" i="1"/>
  <c r="R376" i="1"/>
  <c r="Q376" i="1"/>
  <c r="T375" i="1"/>
  <c r="S375" i="1"/>
  <c r="R375" i="1"/>
  <c r="Q375" i="1"/>
  <c r="P375" i="1"/>
  <c r="T374" i="1"/>
  <c r="S374" i="1"/>
  <c r="R374" i="1"/>
  <c r="Q374" i="1"/>
  <c r="P374" i="1"/>
  <c r="S373" i="1"/>
  <c r="Q373" i="1"/>
  <c r="S372" i="1"/>
  <c r="R372" i="1"/>
  <c r="Q372" i="1"/>
  <c r="S371" i="1"/>
  <c r="R371" i="1"/>
  <c r="Q371" i="1"/>
  <c r="S370" i="1"/>
  <c r="R370" i="1"/>
  <c r="Q370" i="1"/>
  <c r="S369" i="1"/>
  <c r="R369" i="1"/>
  <c r="Q369" i="1"/>
  <c r="T368" i="1"/>
  <c r="S368" i="1"/>
  <c r="R368" i="1"/>
  <c r="Q368" i="1"/>
  <c r="P368" i="1"/>
  <c r="S367" i="1"/>
  <c r="R367" i="1"/>
  <c r="Q367" i="1"/>
  <c r="S366" i="1"/>
  <c r="R366" i="1"/>
  <c r="Q366" i="1"/>
  <c r="S365" i="1"/>
  <c r="R365" i="1"/>
  <c r="Q365" i="1"/>
  <c r="T364" i="1"/>
  <c r="S364" i="1"/>
  <c r="R364" i="1"/>
  <c r="Q364" i="1"/>
  <c r="P364" i="1"/>
  <c r="T363" i="1"/>
  <c r="S363" i="1"/>
  <c r="R363" i="1"/>
  <c r="Q363" i="1"/>
  <c r="P363" i="1"/>
  <c r="T362" i="1"/>
  <c r="S362" i="1"/>
  <c r="R362" i="1"/>
  <c r="Q362" i="1"/>
  <c r="P362" i="1"/>
  <c r="S361" i="1"/>
  <c r="Q361" i="1"/>
  <c r="S360" i="1"/>
  <c r="R360" i="1"/>
  <c r="Q360" i="1"/>
  <c r="S359" i="1"/>
  <c r="R359" i="1"/>
  <c r="Q359" i="1"/>
  <c r="T358" i="1"/>
  <c r="S358" i="1"/>
  <c r="R358" i="1"/>
  <c r="Q358" i="1"/>
  <c r="P358" i="1"/>
  <c r="T357" i="1"/>
  <c r="S357" i="1"/>
  <c r="R357" i="1"/>
  <c r="Q357" i="1"/>
  <c r="P357" i="1"/>
  <c r="S356" i="1"/>
  <c r="Q356" i="1"/>
  <c r="S355" i="1"/>
  <c r="Q355" i="1"/>
  <c r="S354" i="1"/>
  <c r="Q354" i="1"/>
  <c r="S353" i="1"/>
  <c r="Q353" i="1"/>
  <c r="S352" i="1"/>
  <c r="Q352" i="1"/>
  <c r="S351" i="1"/>
  <c r="Q351" i="1"/>
  <c r="S350" i="1"/>
  <c r="Q350" i="1"/>
  <c r="S349" i="1"/>
  <c r="Q349" i="1"/>
  <c r="S348" i="1"/>
  <c r="Q348" i="1"/>
  <c r="S347" i="1"/>
  <c r="Q347" i="1"/>
  <c r="S346" i="1"/>
  <c r="Q346" i="1"/>
  <c r="S345" i="1"/>
  <c r="Q345" i="1"/>
  <c r="T344" i="1"/>
  <c r="S344" i="1"/>
  <c r="R344" i="1"/>
  <c r="Q344" i="1"/>
  <c r="P344" i="1"/>
  <c r="T343" i="1"/>
  <c r="S343" i="1"/>
  <c r="R343" i="1"/>
  <c r="Q343" i="1"/>
  <c r="P343" i="1"/>
  <c r="S342" i="1"/>
  <c r="Q342" i="1"/>
  <c r="S341" i="1"/>
  <c r="Q341" i="1"/>
  <c r="S340" i="1"/>
  <c r="Q340" i="1"/>
  <c r="S339" i="1"/>
  <c r="Q339" i="1"/>
  <c r="S338" i="1"/>
  <c r="Q338" i="1"/>
  <c r="S337" i="1"/>
  <c r="Q337" i="1"/>
  <c r="T336" i="1"/>
  <c r="S336" i="1"/>
  <c r="R336" i="1"/>
  <c r="Q336" i="1"/>
  <c r="P336" i="1"/>
  <c r="T335" i="1"/>
  <c r="S335" i="1"/>
  <c r="R335" i="1"/>
  <c r="Q335" i="1"/>
  <c r="P335" i="1"/>
  <c r="S334" i="1"/>
  <c r="R334" i="1"/>
  <c r="Q334" i="1"/>
  <c r="S333" i="1"/>
  <c r="R333" i="1"/>
  <c r="Q333" i="1"/>
  <c r="S332" i="1"/>
  <c r="R332" i="1"/>
  <c r="Q332" i="1"/>
  <c r="S331" i="1"/>
  <c r="R331" i="1"/>
  <c r="Q331" i="1"/>
  <c r="S330" i="1"/>
  <c r="R330" i="1"/>
  <c r="Q330" i="1"/>
  <c r="S329" i="1"/>
  <c r="R329" i="1"/>
  <c r="Q329" i="1"/>
  <c r="T328" i="1"/>
  <c r="S328" i="1"/>
  <c r="R328" i="1"/>
  <c r="Q328" i="1"/>
  <c r="P328" i="1"/>
  <c r="T327" i="1"/>
  <c r="S327" i="1"/>
  <c r="R327" i="1"/>
  <c r="Q327" i="1"/>
  <c r="P327" i="1"/>
  <c r="S326" i="1"/>
  <c r="Q326" i="1"/>
  <c r="S325" i="1"/>
  <c r="Q325" i="1"/>
  <c r="S324" i="1"/>
  <c r="Q324" i="1"/>
  <c r="S323" i="1"/>
  <c r="Q323" i="1"/>
  <c r="S322" i="1"/>
  <c r="Q322" i="1"/>
  <c r="S321" i="1"/>
  <c r="Q321" i="1"/>
  <c r="S320" i="1"/>
  <c r="Q320" i="1"/>
  <c r="S319" i="1"/>
  <c r="Q319" i="1"/>
  <c r="S318" i="1"/>
  <c r="Q318" i="1"/>
  <c r="S317" i="1"/>
  <c r="Q317" i="1"/>
  <c r="S316" i="1"/>
  <c r="Q316" i="1"/>
  <c r="S315" i="1"/>
  <c r="Q315" i="1"/>
  <c r="T314" i="1"/>
  <c r="S314" i="1"/>
  <c r="R314" i="1"/>
  <c r="Q314" i="1"/>
  <c r="P314" i="1"/>
  <c r="T313" i="1"/>
  <c r="S313" i="1"/>
  <c r="R313" i="1"/>
  <c r="Q313" i="1"/>
  <c r="P313" i="1"/>
  <c r="S312" i="1"/>
  <c r="Q312" i="1"/>
  <c r="S311" i="1"/>
  <c r="Q311" i="1"/>
  <c r="S310" i="1"/>
  <c r="Q310" i="1"/>
  <c r="S309" i="1"/>
  <c r="Q309" i="1"/>
  <c r="S308" i="1"/>
  <c r="Q308" i="1"/>
  <c r="S307" i="1"/>
  <c r="Q307" i="1"/>
  <c r="T306" i="1"/>
  <c r="S306" i="1"/>
  <c r="R306" i="1"/>
  <c r="Q306" i="1"/>
  <c r="P306" i="1"/>
  <c r="T305" i="1"/>
  <c r="S305" i="1"/>
  <c r="R305" i="1"/>
  <c r="Q305" i="1"/>
  <c r="P305" i="1"/>
  <c r="S304" i="1"/>
  <c r="R304" i="1"/>
  <c r="Q304" i="1"/>
  <c r="S303" i="1"/>
  <c r="R303" i="1"/>
  <c r="Q303" i="1"/>
  <c r="S302" i="1"/>
  <c r="R302" i="1"/>
  <c r="Q302" i="1"/>
  <c r="S301" i="1"/>
  <c r="R301" i="1"/>
  <c r="Q301" i="1"/>
  <c r="S300" i="1"/>
  <c r="R300" i="1"/>
  <c r="Q300" i="1"/>
  <c r="S299" i="1"/>
  <c r="R299" i="1"/>
  <c r="Q299" i="1"/>
  <c r="T298" i="1"/>
  <c r="S298" i="1"/>
  <c r="R298" i="1"/>
  <c r="Q298" i="1"/>
  <c r="P298" i="1"/>
  <c r="T297" i="1"/>
  <c r="S297" i="1"/>
  <c r="R297" i="1"/>
  <c r="Q297" i="1"/>
  <c r="P297" i="1"/>
  <c r="T296" i="1"/>
  <c r="S296" i="1"/>
  <c r="R296" i="1"/>
  <c r="Q296" i="1"/>
  <c r="P296" i="1"/>
  <c r="S295" i="1"/>
  <c r="Q295" i="1"/>
  <c r="S294" i="1"/>
  <c r="R294" i="1"/>
  <c r="Q294" i="1"/>
  <c r="T293" i="1"/>
  <c r="S293" i="1"/>
  <c r="R293" i="1"/>
  <c r="Q293" i="1"/>
  <c r="P293" i="1"/>
  <c r="T292" i="1"/>
  <c r="S292" i="1"/>
  <c r="R292" i="1"/>
  <c r="Q292" i="1"/>
  <c r="P292" i="1"/>
  <c r="S291" i="1"/>
  <c r="Q291" i="1"/>
  <c r="S290" i="1"/>
  <c r="R290" i="1"/>
  <c r="Q290" i="1"/>
  <c r="S289" i="1"/>
  <c r="R289" i="1"/>
  <c r="Q289" i="1"/>
  <c r="S288" i="1"/>
  <c r="R288" i="1"/>
  <c r="Q288" i="1"/>
  <c r="T287" i="1"/>
  <c r="S287" i="1"/>
  <c r="R287" i="1"/>
  <c r="Q287" i="1"/>
  <c r="P287" i="1"/>
  <c r="T286" i="1"/>
  <c r="S286" i="1"/>
  <c r="R286" i="1"/>
  <c r="Q286" i="1"/>
  <c r="P286" i="1"/>
  <c r="S285" i="1"/>
  <c r="Q285" i="1"/>
  <c r="S284" i="1"/>
  <c r="Q284" i="1"/>
  <c r="T283" i="1"/>
  <c r="S283" i="1"/>
  <c r="R283" i="1"/>
  <c r="Q283" i="1"/>
  <c r="P283" i="1"/>
  <c r="T282" i="1"/>
  <c r="S282" i="1"/>
  <c r="R282" i="1"/>
  <c r="Q282" i="1"/>
  <c r="P282" i="1"/>
  <c r="S281" i="1"/>
  <c r="Q281" i="1"/>
  <c r="S280" i="1"/>
  <c r="Q280" i="1"/>
  <c r="S279" i="1"/>
  <c r="R279" i="1"/>
  <c r="Q279" i="1"/>
  <c r="S278" i="1"/>
  <c r="R278" i="1"/>
  <c r="Q278" i="1"/>
  <c r="S277" i="1"/>
  <c r="R277" i="1"/>
  <c r="Q277" i="1"/>
  <c r="S276" i="1"/>
  <c r="R276" i="1"/>
  <c r="Q276" i="1"/>
  <c r="S275" i="1"/>
  <c r="R275" i="1"/>
  <c r="Q275" i="1"/>
  <c r="S274" i="1"/>
  <c r="Q274" i="1"/>
  <c r="S273" i="1"/>
  <c r="R273" i="1"/>
  <c r="Q273" i="1"/>
  <c r="S272" i="1"/>
  <c r="R272" i="1"/>
  <c r="Q272" i="1"/>
  <c r="S271" i="1"/>
  <c r="R271" i="1"/>
  <c r="Q271" i="1"/>
  <c r="S270" i="1"/>
  <c r="R270" i="1"/>
  <c r="Q270" i="1"/>
  <c r="S269" i="1"/>
  <c r="Q269" i="1"/>
  <c r="S268" i="1"/>
  <c r="R268" i="1"/>
  <c r="Q268" i="1"/>
  <c r="T267" i="1"/>
  <c r="S267" i="1"/>
  <c r="R267" i="1"/>
  <c r="Q267" i="1"/>
  <c r="P267" i="1"/>
  <c r="T266" i="1"/>
  <c r="S266" i="1"/>
  <c r="R266" i="1"/>
  <c r="Q266" i="1"/>
  <c r="P266" i="1"/>
  <c r="S265" i="1"/>
  <c r="Q265" i="1"/>
  <c r="S264" i="1"/>
  <c r="Q264" i="1"/>
  <c r="S263" i="1"/>
  <c r="Q263" i="1"/>
  <c r="S262" i="1"/>
  <c r="Q262" i="1"/>
  <c r="S261" i="1"/>
  <c r="R261" i="1"/>
  <c r="Q261" i="1"/>
  <c r="S260" i="1"/>
  <c r="R260" i="1"/>
  <c r="Q260" i="1"/>
  <c r="S259" i="1"/>
  <c r="R259" i="1"/>
  <c r="Q259" i="1"/>
  <c r="T258" i="1"/>
  <c r="L258" i="1" s="1"/>
  <c r="K258" i="1" s="1"/>
  <c r="S258" i="1"/>
  <c r="R258" i="1"/>
  <c r="Q258" i="1"/>
  <c r="P258" i="1"/>
  <c r="T257" i="1"/>
  <c r="S257" i="1"/>
  <c r="R257" i="1"/>
  <c r="Q257" i="1"/>
  <c r="P257" i="1"/>
  <c r="S256" i="1"/>
  <c r="Q256" i="1"/>
  <c r="S255" i="1"/>
  <c r="R255" i="1"/>
  <c r="Q255" i="1"/>
  <c r="S254" i="1"/>
  <c r="R254" i="1"/>
  <c r="Q254" i="1"/>
  <c r="T253" i="1"/>
  <c r="S253" i="1"/>
  <c r="R253" i="1"/>
  <c r="Q253" i="1"/>
  <c r="P253" i="1"/>
  <c r="T252" i="1"/>
  <c r="S252" i="1"/>
  <c r="R252" i="1"/>
  <c r="Q252" i="1"/>
  <c r="P252" i="1"/>
  <c r="T251" i="1"/>
  <c r="S251" i="1"/>
  <c r="R251" i="1"/>
  <c r="Q251" i="1"/>
  <c r="P251" i="1"/>
  <c r="S250" i="1"/>
  <c r="Q250" i="1"/>
  <c r="S249" i="1"/>
  <c r="Q249" i="1"/>
  <c r="S248" i="1"/>
  <c r="R248" i="1"/>
  <c r="Q248" i="1"/>
  <c r="T247" i="1"/>
  <c r="S247" i="1"/>
  <c r="R247" i="1"/>
  <c r="Q247" i="1"/>
  <c r="P247" i="1"/>
  <c r="T246" i="1"/>
  <c r="S246" i="1"/>
  <c r="R246" i="1"/>
  <c r="Q246" i="1"/>
  <c r="P246" i="1"/>
  <c r="S245" i="1"/>
  <c r="Q245" i="1"/>
  <c r="S244" i="1"/>
  <c r="R244" i="1"/>
  <c r="Q244" i="1"/>
  <c r="S243" i="1"/>
  <c r="Q243" i="1"/>
  <c r="S242" i="1"/>
  <c r="Q242" i="1"/>
  <c r="T241" i="1"/>
  <c r="S241" i="1"/>
  <c r="R241" i="1"/>
  <c r="Q241" i="1"/>
  <c r="P241" i="1"/>
  <c r="T240" i="1"/>
  <c r="S240" i="1"/>
  <c r="R240" i="1"/>
  <c r="Q240" i="1"/>
  <c r="P240" i="1"/>
  <c r="S239" i="1"/>
  <c r="Q239" i="1"/>
  <c r="S238" i="1"/>
  <c r="R238" i="1"/>
  <c r="Q238" i="1"/>
  <c r="S237" i="1"/>
  <c r="R237" i="1"/>
  <c r="Q237" i="1"/>
  <c r="S236" i="1"/>
  <c r="R236" i="1"/>
  <c r="Q236" i="1"/>
  <c r="T235" i="1"/>
  <c r="S235" i="1"/>
  <c r="R235" i="1"/>
  <c r="Q235" i="1"/>
  <c r="P235" i="1"/>
  <c r="T234" i="1"/>
  <c r="S234" i="1"/>
  <c r="R234" i="1"/>
  <c r="Q234" i="1"/>
  <c r="P234" i="1"/>
  <c r="S233" i="1"/>
  <c r="Q233" i="1"/>
  <c r="S232" i="1"/>
  <c r="R232" i="1"/>
  <c r="Q232" i="1"/>
  <c r="S231" i="1"/>
  <c r="R231" i="1"/>
  <c r="Q231" i="1"/>
  <c r="S230" i="1"/>
  <c r="R230" i="1"/>
  <c r="Q230" i="1"/>
  <c r="S229" i="1"/>
  <c r="R229" i="1"/>
  <c r="Q229" i="1"/>
  <c r="S228" i="1"/>
  <c r="R228" i="1"/>
  <c r="Q228" i="1"/>
  <c r="S227" i="1"/>
  <c r="R227" i="1"/>
  <c r="Q227" i="1"/>
  <c r="S226" i="1"/>
  <c r="R226" i="1"/>
  <c r="Q226" i="1"/>
  <c r="S225" i="1"/>
  <c r="R225" i="1"/>
  <c r="Q225" i="1"/>
  <c r="S224" i="1"/>
  <c r="R224" i="1"/>
  <c r="Q224" i="1"/>
  <c r="S223" i="1"/>
  <c r="R223" i="1"/>
  <c r="Q223" i="1"/>
  <c r="S222" i="1"/>
  <c r="R222" i="1"/>
  <c r="Q222" i="1"/>
  <c r="S221" i="1"/>
  <c r="R221" i="1"/>
  <c r="Q221" i="1"/>
  <c r="S220" i="1"/>
  <c r="R220" i="1"/>
  <c r="Q220" i="1"/>
  <c r="S219" i="1"/>
  <c r="R219" i="1"/>
  <c r="Q219" i="1"/>
  <c r="T218" i="1"/>
  <c r="S218" i="1"/>
  <c r="R218" i="1"/>
  <c r="Q218" i="1"/>
  <c r="P218" i="1"/>
  <c r="T217" i="1"/>
  <c r="S217" i="1"/>
  <c r="R217" i="1"/>
  <c r="Q217" i="1"/>
  <c r="P217" i="1"/>
  <c r="S216" i="1"/>
  <c r="Q216" i="1"/>
  <c r="S215" i="1"/>
  <c r="R215" i="1"/>
  <c r="Q215" i="1"/>
  <c r="S214" i="1"/>
  <c r="R214" i="1"/>
  <c r="Q214" i="1"/>
  <c r="S213" i="1"/>
  <c r="Q213" i="1"/>
  <c r="S212" i="1"/>
  <c r="R212" i="1"/>
  <c r="Q212" i="1"/>
  <c r="S211" i="1"/>
  <c r="R211" i="1"/>
  <c r="Q211" i="1"/>
  <c r="S210" i="1"/>
  <c r="R210" i="1"/>
  <c r="Q210" i="1"/>
  <c r="S209" i="1"/>
  <c r="R209" i="1"/>
  <c r="Q209" i="1"/>
  <c r="S208" i="1"/>
  <c r="R208" i="1"/>
  <c r="Q208" i="1"/>
  <c r="S207" i="1"/>
  <c r="R207" i="1"/>
  <c r="Q207" i="1"/>
  <c r="S206" i="1"/>
  <c r="R206" i="1"/>
  <c r="Q206" i="1"/>
  <c r="S205" i="1"/>
  <c r="R205" i="1"/>
  <c r="Q205" i="1"/>
  <c r="S204" i="1"/>
  <c r="R204" i="1"/>
  <c r="Q204" i="1"/>
  <c r="S203" i="1"/>
  <c r="R203" i="1"/>
  <c r="Q203" i="1"/>
  <c r="T202" i="1"/>
  <c r="S202" i="1"/>
  <c r="R202" i="1"/>
  <c r="Q202" i="1"/>
  <c r="P202" i="1"/>
  <c r="T201" i="1"/>
  <c r="S201" i="1"/>
  <c r="R201" i="1"/>
  <c r="Q201" i="1"/>
  <c r="P201" i="1"/>
  <c r="S200" i="1"/>
  <c r="R200" i="1"/>
  <c r="Q200" i="1"/>
  <c r="S199" i="1"/>
  <c r="R199" i="1"/>
  <c r="Q199" i="1"/>
  <c r="S198" i="1"/>
  <c r="R198" i="1"/>
  <c r="Q198" i="1"/>
  <c r="S197" i="1"/>
  <c r="R197" i="1"/>
  <c r="Q197" i="1"/>
  <c r="S196" i="1"/>
  <c r="R196" i="1"/>
  <c r="Q196" i="1"/>
  <c r="S195" i="1"/>
  <c r="R195" i="1"/>
  <c r="Q195" i="1"/>
  <c r="T194" i="1"/>
  <c r="S194" i="1"/>
  <c r="R194" i="1"/>
  <c r="Q194" i="1"/>
  <c r="P194" i="1"/>
  <c r="T193" i="1"/>
  <c r="S193" i="1"/>
  <c r="R193" i="1"/>
  <c r="Q193" i="1"/>
  <c r="P193" i="1"/>
  <c r="S192" i="1"/>
  <c r="R192" i="1"/>
  <c r="Q192" i="1"/>
  <c r="S191" i="1"/>
  <c r="Q191" i="1"/>
  <c r="T190" i="1"/>
  <c r="S190" i="1"/>
  <c r="R190" i="1"/>
  <c r="Q190" i="1"/>
  <c r="P190" i="1"/>
  <c r="T189" i="1"/>
  <c r="S189" i="1"/>
  <c r="R189" i="1"/>
  <c r="Q189" i="1"/>
  <c r="P189" i="1"/>
  <c r="T188" i="1"/>
  <c r="S188" i="1"/>
  <c r="R188" i="1"/>
  <c r="Q188" i="1"/>
  <c r="P188" i="1"/>
  <c r="S187" i="1"/>
  <c r="Q187" i="1"/>
  <c r="S186" i="1"/>
  <c r="R186" i="1"/>
  <c r="Q186" i="1"/>
  <c r="S185" i="1"/>
  <c r="R185" i="1"/>
  <c r="Q185" i="1"/>
  <c r="S184" i="1"/>
  <c r="R184" i="1"/>
  <c r="Q184" i="1"/>
  <c r="S183" i="1"/>
  <c r="R183" i="1"/>
  <c r="Q183" i="1"/>
  <c r="T182" i="1"/>
  <c r="S182" i="1"/>
  <c r="R182" i="1"/>
  <c r="Q182" i="1"/>
  <c r="P182" i="1"/>
  <c r="T181" i="1"/>
  <c r="S181" i="1"/>
  <c r="R181" i="1"/>
  <c r="Q181" i="1"/>
  <c r="P181" i="1"/>
  <c r="S180" i="1"/>
  <c r="Q180" i="1"/>
  <c r="S179" i="1"/>
  <c r="R179" i="1"/>
  <c r="Q179" i="1"/>
  <c r="S178" i="1"/>
  <c r="R178" i="1"/>
  <c r="Q178" i="1"/>
  <c r="S177" i="1"/>
  <c r="R177" i="1"/>
  <c r="Q177" i="1"/>
  <c r="S176" i="1"/>
  <c r="R176" i="1"/>
  <c r="Q176" i="1"/>
  <c r="T175" i="1"/>
  <c r="S175" i="1"/>
  <c r="R175" i="1"/>
  <c r="Q175" i="1"/>
  <c r="P175" i="1"/>
  <c r="T174" i="1"/>
  <c r="S174" i="1"/>
  <c r="R174" i="1"/>
  <c r="Q174" i="1"/>
  <c r="P174" i="1"/>
  <c r="T173" i="1"/>
  <c r="S173" i="1"/>
  <c r="R173" i="1"/>
  <c r="Q173" i="1"/>
  <c r="P173" i="1"/>
  <c r="S172" i="1"/>
  <c r="Q172" i="1"/>
  <c r="S171" i="1"/>
  <c r="R171" i="1"/>
  <c r="Q171" i="1"/>
  <c r="S170" i="1"/>
  <c r="R170" i="1"/>
  <c r="Q170" i="1"/>
  <c r="S169" i="1"/>
  <c r="R169" i="1"/>
  <c r="Q169" i="1"/>
  <c r="S168" i="1"/>
  <c r="R168" i="1"/>
  <c r="Q168" i="1"/>
  <c r="T167" i="1"/>
  <c r="S167" i="1"/>
  <c r="R167" i="1"/>
  <c r="Q167" i="1"/>
  <c r="P167" i="1"/>
  <c r="T166" i="1"/>
  <c r="S166" i="1"/>
  <c r="R166" i="1"/>
  <c r="Q166" i="1"/>
  <c r="P166" i="1"/>
  <c r="T165" i="1"/>
  <c r="S165" i="1"/>
  <c r="R165" i="1"/>
  <c r="Q165" i="1"/>
  <c r="P165" i="1"/>
  <c r="S164" i="1"/>
  <c r="Q164" i="1"/>
  <c r="S163" i="1"/>
  <c r="Q163" i="1"/>
  <c r="T162" i="1"/>
  <c r="S162" i="1"/>
  <c r="R162" i="1"/>
  <c r="Q162" i="1"/>
  <c r="P162" i="1"/>
  <c r="T161" i="1"/>
  <c r="S161" i="1"/>
  <c r="R161" i="1"/>
  <c r="Q161" i="1"/>
  <c r="P161" i="1"/>
  <c r="S160" i="1"/>
  <c r="Q160" i="1"/>
  <c r="S159" i="1"/>
  <c r="Q159" i="1"/>
  <c r="S158" i="1"/>
  <c r="Q158" i="1"/>
  <c r="T157" i="1"/>
  <c r="S157" i="1"/>
  <c r="R157" i="1"/>
  <c r="Q157" i="1"/>
  <c r="P157" i="1"/>
  <c r="T156" i="1"/>
  <c r="S156" i="1"/>
  <c r="R156" i="1"/>
  <c r="Q156" i="1"/>
  <c r="P156" i="1"/>
  <c r="S155" i="1"/>
  <c r="Q155" i="1"/>
  <c r="S154" i="1"/>
  <c r="R154" i="1"/>
  <c r="Q154" i="1"/>
  <c r="S153" i="1"/>
  <c r="R153" i="1"/>
  <c r="Q153" i="1"/>
  <c r="S152" i="1"/>
  <c r="R152" i="1"/>
  <c r="Q152" i="1"/>
  <c r="S151" i="1"/>
  <c r="R151" i="1"/>
  <c r="Q151" i="1"/>
  <c r="S150" i="1"/>
  <c r="R150" i="1"/>
  <c r="Q150" i="1"/>
  <c r="T149" i="1"/>
  <c r="S149" i="1"/>
  <c r="R149" i="1"/>
  <c r="Q149" i="1"/>
  <c r="P149" i="1"/>
  <c r="T148" i="1"/>
  <c r="S148" i="1"/>
  <c r="R148" i="1"/>
  <c r="Q148" i="1"/>
  <c r="P148" i="1"/>
  <c r="T147" i="1"/>
  <c r="S147" i="1"/>
  <c r="R147" i="1"/>
  <c r="Q147" i="1"/>
  <c r="P147" i="1"/>
  <c r="S146" i="1"/>
  <c r="R146" i="1"/>
  <c r="Q146" i="1"/>
  <c r="S145" i="1"/>
  <c r="Q145" i="1"/>
  <c r="T144" i="1"/>
  <c r="S144" i="1"/>
  <c r="R144" i="1"/>
  <c r="Q144" i="1"/>
  <c r="P144" i="1"/>
  <c r="T143" i="1"/>
  <c r="S143" i="1"/>
  <c r="R143" i="1"/>
  <c r="Q143" i="1"/>
  <c r="P143" i="1"/>
  <c r="S142" i="1"/>
  <c r="Q142" i="1"/>
  <c r="S141" i="1"/>
  <c r="Q141" i="1"/>
  <c r="S140" i="1"/>
  <c r="Q140" i="1"/>
  <c r="S139" i="1"/>
  <c r="Q139" i="1"/>
  <c r="T138" i="1"/>
  <c r="S138" i="1"/>
  <c r="R138" i="1"/>
  <c r="Q138" i="1"/>
  <c r="P138" i="1"/>
  <c r="T137" i="1"/>
  <c r="S137" i="1"/>
  <c r="R137" i="1"/>
  <c r="Q137" i="1"/>
  <c r="P137" i="1"/>
  <c r="S136" i="1"/>
  <c r="Q136" i="1"/>
  <c r="S135" i="1"/>
  <c r="R135" i="1"/>
  <c r="Q135" i="1"/>
  <c r="S134" i="1"/>
  <c r="R134" i="1"/>
  <c r="Q134" i="1"/>
  <c r="T133" i="1"/>
  <c r="S133" i="1"/>
  <c r="R133" i="1"/>
  <c r="Q133" i="1"/>
  <c r="P133" i="1"/>
  <c r="T132" i="1"/>
  <c r="S132" i="1"/>
  <c r="R132" i="1"/>
  <c r="Q132" i="1"/>
  <c r="P132" i="1"/>
  <c r="S131" i="1"/>
  <c r="Q131" i="1"/>
  <c r="S130" i="1"/>
  <c r="Q130" i="1"/>
  <c r="S129" i="1"/>
  <c r="Q129" i="1"/>
  <c r="S128" i="1"/>
  <c r="Q128" i="1"/>
  <c r="S127" i="1"/>
  <c r="Q127" i="1"/>
  <c r="S126" i="1"/>
  <c r="Q126" i="1"/>
  <c r="S125" i="1"/>
  <c r="Q125" i="1"/>
  <c r="S124" i="1"/>
  <c r="Q124" i="1"/>
  <c r="S123" i="1"/>
  <c r="Q123" i="1"/>
  <c r="S122" i="1"/>
  <c r="Q122" i="1"/>
  <c r="S121" i="1"/>
  <c r="Q121" i="1"/>
  <c r="S120" i="1"/>
  <c r="Q120" i="1"/>
  <c r="S119" i="1"/>
  <c r="Q119" i="1"/>
  <c r="S118" i="1"/>
  <c r="Q118" i="1"/>
  <c r="S117" i="1"/>
  <c r="Q117" i="1"/>
  <c r="T116" i="1"/>
  <c r="S116" i="1"/>
  <c r="R116" i="1"/>
  <c r="Q116" i="1"/>
  <c r="P116" i="1"/>
  <c r="T115" i="1"/>
  <c r="S115" i="1"/>
  <c r="R115" i="1"/>
  <c r="Q115" i="1"/>
  <c r="P115" i="1"/>
  <c r="S114" i="1"/>
  <c r="Q114" i="1"/>
  <c r="S113" i="1"/>
  <c r="Q113" i="1"/>
  <c r="S112" i="1"/>
  <c r="Q112" i="1"/>
  <c r="S111" i="1"/>
  <c r="Q111" i="1"/>
  <c r="S110" i="1"/>
  <c r="Q110" i="1"/>
  <c r="S109" i="1"/>
  <c r="Q109" i="1"/>
  <c r="S108" i="1"/>
  <c r="Q108" i="1"/>
  <c r="S107" i="1"/>
  <c r="Q107" i="1"/>
  <c r="S106" i="1"/>
  <c r="Q106" i="1"/>
  <c r="S105" i="1"/>
  <c r="Q105" i="1"/>
  <c r="S104" i="1"/>
  <c r="Q104" i="1"/>
  <c r="S103" i="1"/>
  <c r="Q103" i="1"/>
  <c r="S102" i="1"/>
  <c r="Q102" i="1"/>
  <c r="S101" i="1"/>
  <c r="Q101" i="1"/>
  <c r="S100" i="1"/>
  <c r="Q100" i="1"/>
  <c r="T99" i="1"/>
  <c r="S99" i="1"/>
  <c r="R99" i="1"/>
  <c r="Q99" i="1"/>
  <c r="P99" i="1"/>
  <c r="T98" i="1"/>
  <c r="S98" i="1"/>
  <c r="R98" i="1"/>
  <c r="Q98" i="1"/>
  <c r="P98" i="1"/>
  <c r="S97" i="1"/>
  <c r="Q97" i="1"/>
  <c r="S96" i="1"/>
  <c r="Q96" i="1"/>
  <c r="S95" i="1"/>
  <c r="Q95" i="1"/>
  <c r="S94" i="1"/>
  <c r="Q94" i="1"/>
  <c r="S93" i="1"/>
  <c r="Q93" i="1"/>
  <c r="S92" i="1"/>
  <c r="Q92" i="1"/>
  <c r="S91" i="1"/>
  <c r="Q91" i="1"/>
  <c r="S90" i="1"/>
  <c r="Q90" i="1"/>
  <c r="S89" i="1"/>
  <c r="Q89" i="1"/>
  <c r="S88" i="1"/>
  <c r="Q88" i="1"/>
  <c r="S87" i="1"/>
  <c r="Q87" i="1"/>
  <c r="S86" i="1"/>
  <c r="Q86" i="1"/>
  <c r="S85" i="1"/>
  <c r="Q85" i="1"/>
  <c r="S84" i="1"/>
  <c r="Q84" i="1"/>
  <c r="S83" i="1"/>
  <c r="Q83" i="1"/>
  <c r="T82" i="1"/>
  <c r="S82" i="1"/>
  <c r="R82" i="1"/>
  <c r="Q82" i="1"/>
  <c r="P82" i="1"/>
  <c r="T81" i="1"/>
  <c r="S81" i="1"/>
  <c r="R81" i="1"/>
  <c r="Q81" i="1"/>
  <c r="P81" i="1"/>
  <c r="S80" i="1"/>
  <c r="R80" i="1"/>
  <c r="Q80" i="1"/>
  <c r="S79" i="1"/>
  <c r="R79" i="1"/>
  <c r="Q79" i="1"/>
  <c r="S78" i="1"/>
  <c r="Q78" i="1"/>
  <c r="S77" i="1"/>
  <c r="R77" i="1"/>
  <c r="Q77" i="1"/>
  <c r="S76" i="1"/>
  <c r="R76" i="1"/>
  <c r="Q76" i="1"/>
  <c r="S75" i="1"/>
  <c r="R75" i="1"/>
  <c r="Q75" i="1"/>
  <c r="S74" i="1"/>
  <c r="R74" i="1"/>
  <c r="Q74" i="1"/>
  <c r="S73" i="1"/>
  <c r="R73" i="1"/>
  <c r="Q73" i="1"/>
  <c r="T72" i="1"/>
  <c r="S72" i="1"/>
  <c r="R72" i="1"/>
  <c r="Q72" i="1"/>
  <c r="P72" i="1"/>
  <c r="T71" i="1"/>
  <c r="S71" i="1"/>
  <c r="R71" i="1"/>
  <c r="Q71" i="1"/>
  <c r="P71" i="1"/>
  <c r="T70" i="1"/>
  <c r="S70" i="1"/>
  <c r="R70" i="1"/>
  <c r="Q70" i="1"/>
  <c r="P70" i="1"/>
  <c r="S69" i="1"/>
  <c r="Q69" i="1"/>
  <c r="S68" i="1"/>
  <c r="Q68" i="1"/>
  <c r="T67" i="1"/>
  <c r="S67" i="1"/>
  <c r="R67" i="1"/>
  <c r="Q67" i="1"/>
  <c r="P67" i="1"/>
  <c r="T66" i="1"/>
  <c r="S66" i="1"/>
  <c r="R66" i="1"/>
  <c r="Q66" i="1"/>
  <c r="P66" i="1"/>
  <c r="S65" i="1"/>
  <c r="Q65" i="1"/>
  <c r="S64" i="1"/>
  <c r="Q64" i="1"/>
  <c r="S63" i="1"/>
  <c r="Q63" i="1"/>
  <c r="S62" i="1"/>
  <c r="Q62" i="1"/>
  <c r="S61" i="1"/>
  <c r="R61" i="1"/>
  <c r="Q61" i="1"/>
  <c r="S60" i="1"/>
  <c r="R60" i="1"/>
  <c r="Q60" i="1"/>
  <c r="T59" i="1"/>
  <c r="S59" i="1"/>
  <c r="R59" i="1"/>
  <c r="Q59" i="1"/>
  <c r="P59" i="1"/>
  <c r="T58" i="1"/>
  <c r="S58" i="1"/>
  <c r="R58" i="1"/>
  <c r="Q58" i="1"/>
  <c r="P58" i="1"/>
  <c r="S57" i="1"/>
  <c r="Q57" i="1"/>
  <c r="S56" i="1"/>
  <c r="R56" i="1"/>
  <c r="Q56" i="1"/>
  <c r="S55" i="1"/>
  <c r="R55" i="1"/>
  <c r="Q55" i="1"/>
  <c r="S54" i="1"/>
  <c r="R54" i="1"/>
  <c r="Q54" i="1"/>
  <c r="S53" i="1"/>
  <c r="R53" i="1"/>
  <c r="Q53" i="1"/>
  <c r="S52" i="1"/>
  <c r="R52" i="1"/>
  <c r="Q52" i="1"/>
  <c r="S51" i="1"/>
  <c r="R51" i="1"/>
  <c r="Q51" i="1"/>
  <c r="S50" i="1"/>
  <c r="R50" i="1"/>
  <c r="Q50" i="1"/>
  <c r="S49" i="1"/>
  <c r="R49" i="1"/>
  <c r="Q49" i="1"/>
  <c r="S48" i="1"/>
  <c r="R48" i="1"/>
  <c r="Q48" i="1"/>
  <c r="S47" i="1"/>
  <c r="R47" i="1"/>
  <c r="Q47" i="1"/>
  <c r="S46" i="1"/>
  <c r="R46" i="1"/>
  <c r="Q46" i="1"/>
  <c r="S45" i="1"/>
  <c r="R45" i="1"/>
  <c r="Q45" i="1"/>
  <c r="S44" i="1"/>
  <c r="R44" i="1"/>
  <c r="Q44" i="1"/>
  <c r="S43" i="1"/>
  <c r="R43" i="1"/>
  <c r="Q43" i="1"/>
  <c r="T42" i="1"/>
  <c r="S42" i="1"/>
  <c r="R42" i="1"/>
  <c r="Q42" i="1"/>
  <c r="P42" i="1"/>
  <c r="T41" i="1"/>
  <c r="S41" i="1"/>
  <c r="R41" i="1"/>
  <c r="Q41" i="1"/>
  <c r="P41" i="1"/>
  <c r="S40" i="1"/>
  <c r="Q40" i="1"/>
  <c r="S39" i="1"/>
  <c r="R39" i="1"/>
  <c r="Q39" i="1"/>
  <c r="S38" i="1"/>
  <c r="R38" i="1"/>
  <c r="Q38" i="1"/>
  <c r="S37" i="1"/>
  <c r="R37" i="1"/>
  <c r="Q37" i="1"/>
  <c r="S36" i="1"/>
  <c r="R36" i="1"/>
  <c r="Q36" i="1"/>
  <c r="S35" i="1"/>
  <c r="R35" i="1"/>
  <c r="Q35" i="1"/>
  <c r="S34" i="1"/>
  <c r="R34" i="1"/>
  <c r="Q34" i="1"/>
  <c r="S33" i="1"/>
  <c r="R33" i="1"/>
  <c r="Q33" i="1"/>
  <c r="S32" i="1"/>
  <c r="R32" i="1"/>
  <c r="Q32" i="1"/>
  <c r="S31" i="1"/>
  <c r="R31" i="1"/>
  <c r="Q31" i="1"/>
  <c r="S30" i="1"/>
  <c r="R30" i="1"/>
  <c r="Q30" i="1"/>
  <c r="S29" i="1"/>
  <c r="R29" i="1"/>
  <c r="Q29" i="1"/>
  <c r="S28" i="1"/>
  <c r="R28" i="1"/>
  <c r="Q28" i="1"/>
  <c r="S27" i="1"/>
  <c r="R27" i="1"/>
  <c r="Q27" i="1"/>
  <c r="S26" i="1"/>
  <c r="R26" i="1"/>
  <c r="Q26" i="1"/>
  <c r="T25" i="1"/>
  <c r="S25" i="1"/>
  <c r="R25" i="1"/>
  <c r="Q25" i="1"/>
  <c r="P25" i="1"/>
  <c r="T24" i="1"/>
  <c r="S24" i="1"/>
  <c r="R24" i="1"/>
  <c r="Q24" i="1"/>
  <c r="P24" i="1"/>
  <c r="S23" i="1"/>
  <c r="Q23" i="1"/>
  <c r="S22" i="1"/>
  <c r="R22" i="1"/>
  <c r="Q22" i="1"/>
  <c r="S21" i="1"/>
  <c r="R21" i="1"/>
  <c r="Q21" i="1"/>
  <c r="S20" i="1"/>
  <c r="R20" i="1"/>
  <c r="Q20" i="1"/>
  <c r="S19" i="1"/>
  <c r="R19" i="1"/>
  <c r="Q19" i="1"/>
  <c r="S18" i="1"/>
  <c r="R18" i="1"/>
  <c r="Q18" i="1"/>
  <c r="S17" i="1"/>
  <c r="R17" i="1"/>
  <c r="Q17" i="1"/>
  <c r="S16" i="1"/>
  <c r="R16" i="1"/>
  <c r="Q16" i="1"/>
  <c r="S15" i="1"/>
  <c r="R15" i="1"/>
  <c r="Q15" i="1"/>
  <c r="S14" i="1"/>
  <c r="R14" i="1"/>
  <c r="Q14" i="1"/>
  <c r="S13" i="1"/>
  <c r="R13" i="1"/>
  <c r="Q13" i="1"/>
  <c r="S12" i="1"/>
  <c r="R12" i="1"/>
  <c r="Q12" i="1"/>
  <c r="S11" i="1"/>
  <c r="R11" i="1"/>
  <c r="Q11" i="1"/>
  <c r="S10" i="1"/>
  <c r="R10" i="1"/>
  <c r="Q10" i="1"/>
  <c r="N845" i="1"/>
  <c r="N844" i="1"/>
  <c r="N843" i="1"/>
  <c r="N842" i="1"/>
  <c r="N841" i="1"/>
  <c r="N840" i="1"/>
  <c r="N839" i="1"/>
  <c r="N838" i="1"/>
  <c r="N837" i="1"/>
  <c r="N836" i="1"/>
  <c r="N835" i="1"/>
  <c r="L835" i="1"/>
  <c r="J835" i="1"/>
  <c r="N834" i="1"/>
  <c r="L834" i="1"/>
  <c r="J834" i="1"/>
  <c r="I834" i="1"/>
  <c r="N833" i="1"/>
  <c r="N832" i="1"/>
  <c r="N831" i="1"/>
  <c r="N830" i="1"/>
  <c r="N829" i="1"/>
  <c r="N828" i="1"/>
  <c r="N827" i="1"/>
  <c r="N826" i="1"/>
  <c r="N825" i="1"/>
  <c r="N824" i="1"/>
  <c r="N823" i="1"/>
  <c r="N822" i="1"/>
  <c r="N821" i="1"/>
  <c r="N820" i="1"/>
  <c r="N819" i="1"/>
  <c r="N818" i="1"/>
  <c r="N817" i="1"/>
  <c r="N816" i="1"/>
  <c r="N815" i="1"/>
  <c r="N814" i="1"/>
  <c r="L814" i="1"/>
  <c r="N813" i="1"/>
  <c r="N812" i="1"/>
  <c r="N811" i="1"/>
  <c r="N810" i="1"/>
  <c r="N809" i="1"/>
  <c r="N808" i="1"/>
  <c r="L808" i="1"/>
  <c r="N807" i="1"/>
  <c r="N806" i="1"/>
  <c r="N805" i="1"/>
  <c r="N804" i="1"/>
  <c r="N803" i="1"/>
  <c r="L803" i="1"/>
  <c r="N802" i="1"/>
  <c r="N799" i="1"/>
  <c r="N798" i="1"/>
  <c r="N797" i="1"/>
  <c r="N796" i="1"/>
  <c r="N795" i="1"/>
  <c r="N794" i="1"/>
  <c r="N791" i="1"/>
  <c r="N790" i="1"/>
  <c r="L790" i="1"/>
  <c r="N789" i="1"/>
  <c r="N788" i="1"/>
  <c r="N787" i="1"/>
  <c r="N786" i="1"/>
  <c r="N785" i="1"/>
  <c r="N784" i="1"/>
  <c r="N783" i="1"/>
  <c r="N782" i="1"/>
  <c r="N781" i="1"/>
  <c r="N780" i="1"/>
  <c r="N779" i="1"/>
  <c r="N778" i="1"/>
  <c r="I778" i="1"/>
  <c r="N777" i="1"/>
  <c r="N776" i="1"/>
  <c r="I776" i="1"/>
  <c r="N775" i="1"/>
  <c r="L775" i="1" s="1"/>
  <c r="K775" i="1" s="1"/>
  <c r="N772" i="1"/>
  <c r="N771" i="1"/>
  <c r="N768" i="1"/>
  <c r="N767" i="1"/>
  <c r="N766" i="1"/>
  <c r="L766" i="1" s="1"/>
  <c r="K766" i="1" s="1"/>
  <c r="N765" i="1"/>
  <c r="N757" i="1"/>
  <c r="N754" i="1"/>
  <c r="N751" i="1"/>
  <c r="N744" i="1"/>
  <c r="N743" i="1"/>
  <c r="N738" i="1"/>
  <c r="N737" i="1"/>
  <c r="N735" i="1"/>
  <c r="N734" i="1"/>
  <c r="L734" i="1" s="1"/>
  <c r="K734" i="1" s="1"/>
  <c r="N733" i="1"/>
  <c r="L733" i="1" s="1"/>
  <c r="N725" i="1"/>
  <c r="N722" i="1"/>
  <c r="N719" i="1"/>
  <c r="N712" i="1"/>
  <c r="N711" i="1"/>
  <c r="N706" i="1"/>
  <c r="N705" i="1"/>
  <c r="N703" i="1"/>
  <c r="N702" i="1"/>
  <c r="L702" i="1"/>
  <c r="K702" i="1" s="1"/>
  <c r="N701" i="1"/>
  <c r="L701" i="1" s="1"/>
  <c r="N693" i="1"/>
  <c r="N690" i="1"/>
  <c r="N687" i="1"/>
  <c r="N680" i="1"/>
  <c r="N679" i="1"/>
  <c r="N674" i="1"/>
  <c r="N673" i="1"/>
  <c r="N671" i="1"/>
  <c r="N670" i="1"/>
  <c r="L670" i="1" s="1"/>
  <c r="K670" i="1" s="1"/>
  <c r="N669" i="1"/>
  <c r="I669" i="1"/>
  <c r="N668" i="1"/>
  <c r="L668" i="1" s="1"/>
  <c r="K668" i="1" s="1"/>
  <c r="N667" i="1"/>
  <c r="N662" i="1"/>
  <c r="N655" i="1"/>
  <c r="N654" i="1"/>
  <c r="N646" i="1"/>
  <c r="N645" i="1"/>
  <c r="N638" i="1"/>
  <c r="N637" i="1"/>
  <c r="N636" i="1"/>
  <c r="N635" i="1"/>
  <c r="N632" i="1"/>
  <c r="N631" i="1"/>
  <c r="N630" i="1"/>
  <c r="L630" i="1" s="1"/>
  <c r="N629" i="1"/>
  <c r="N624" i="1"/>
  <c r="N617" i="1"/>
  <c r="N616" i="1"/>
  <c r="N608" i="1"/>
  <c r="N607" i="1"/>
  <c r="N600" i="1"/>
  <c r="N599" i="1"/>
  <c r="N598" i="1"/>
  <c r="N597" i="1"/>
  <c r="N594" i="1"/>
  <c r="N593" i="1"/>
  <c r="N592" i="1"/>
  <c r="L592" i="1"/>
  <c r="N591" i="1"/>
  <c r="N586" i="1"/>
  <c r="N579" i="1"/>
  <c r="N578" i="1"/>
  <c r="N570" i="1"/>
  <c r="N569" i="1"/>
  <c r="N562" i="1"/>
  <c r="N561" i="1"/>
  <c r="N560" i="1"/>
  <c r="N559" i="1"/>
  <c r="N556" i="1"/>
  <c r="N555" i="1"/>
  <c r="N554" i="1"/>
  <c r="L554" i="1"/>
  <c r="L520" i="1"/>
  <c r="K520" i="1" s="1"/>
  <c r="N519" i="1"/>
  <c r="I519" i="1"/>
  <c r="N518" i="1"/>
  <c r="L518" i="1" s="1"/>
  <c r="K518" i="1" s="1"/>
  <c r="N517" i="1"/>
  <c r="N516" i="1"/>
  <c r="I516" i="1"/>
  <c r="N515" i="1"/>
  <c r="L515" i="1" s="1"/>
  <c r="K515" i="1" s="1"/>
  <c r="N514" i="1"/>
  <c r="N512" i="1"/>
  <c r="N509" i="1"/>
  <c r="N508" i="1"/>
  <c r="N507" i="1"/>
  <c r="L507" i="1" s="1"/>
  <c r="K507" i="1" s="1"/>
  <c r="N505" i="1"/>
  <c r="N503" i="1"/>
  <c r="N502" i="1"/>
  <c r="N501" i="1"/>
  <c r="N500" i="1"/>
  <c r="N499" i="1"/>
  <c r="N498" i="1"/>
  <c r="L498" i="1" s="1"/>
  <c r="K498" i="1" s="1"/>
  <c r="N495" i="1"/>
  <c r="N494" i="1"/>
  <c r="N493" i="1"/>
  <c r="L493" i="1"/>
  <c r="K493" i="1" s="1"/>
  <c r="N492" i="1"/>
  <c r="N491" i="1"/>
  <c r="N486" i="1"/>
  <c r="N485" i="1"/>
  <c r="N484" i="1"/>
  <c r="N482" i="1"/>
  <c r="N481" i="1"/>
  <c r="N480" i="1"/>
  <c r="L480" i="1" s="1"/>
  <c r="K480" i="1" s="1"/>
  <c r="N479" i="1"/>
  <c r="N477" i="1"/>
  <c r="N476" i="1"/>
  <c r="N475" i="1"/>
  <c r="L475" i="1" s="1"/>
  <c r="K475" i="1" s="1"/>
  <c r="N473" i="1"/>
  <c r="N472" i="1"/>
  <c r="N471" i="1"/>
  <c r="N470" i="1"/>
  <c r="N469" i="1"/>
  <c r="I469" i="1"/>
  <c r="N468" i="1"/>
  <c r="L468" i="1" s="1"/>
  <c r="K468" i="1" s="1"/>
  <c r="N467" i="1"/>
  <c r="N466" i="1"/>
  <c r="N465" i="1"/>
  <c r="N464" i="1"/>
  <c r="L464" i="1"/>
  <c r="K464" i="1" s="1"/>
  <c r="N463" i="1"/>
  <c r="L463" i="1" s="1"/>
  <c r="K463" i="1" s="1"/>
  <c r="N462" i="1"/>
  <c r="N461" i="1"/>
  <c r="N460" i="1"/>
  <c r="N458" i="1"/>
  <c r="L458" i="1" s="1"/>
  <c r="K458" i="1" s="1"/>
  <c r="N457" i="1"/>
  <c r="L457" i="1" s="1"/>
  <c r="K457" i="1" s="1"/>
  <c r="N456" i="1"/>
  <c r="N455" i="1"/>
  <c r="N454" i="1"/>
  <c r="N453" i="1"/>
  <c r="N452" i="1"/>
  <c r="N451" i="1"/>
  <c r="L451" i="1" s="1"/>
  <c r="K451" i="1" s="1"/>
  <c r="N450" i="1"/>
  <c r="L450" i="1" s="1"/>
  <c r="K450" i="1" s="1"/>
  <c r="N449" i="1"/>
  <c r="N448" i="1"/>
  <c r="N447" i="1"/>
  <c r="L447" i="1" s="1"/>
  <c r="K447" i="1" s="1"/>
  <c r="N446" i="1"/>
  <c r="I446" i="1"/>
  <c r="N445" i="1"/>
  <c r="L445" i="1" s="1"/>
  <c r="K445" i="1" s="1"/>
  <c r="N444" i="1"/>
  <c r="N443" i="1"/>
  <c r="N442" i="1"/>
  <c r="N441" i="1"/>
  <c r="N440" i="1"/>
  <c r="L440" i="1"/>
  <c r="K440" i="1" s="1"/>
  <c r="N439" i="1"/>
  <c r="N438" i="1"/>
  <c r="N437" i="1"/>
  <c r="N436" i="1"/>
  <c r="N435" i="1"/>
  <c r="L435" i="1" s="1"/>
  <c r="K435" i="1" s="1"/>
  <c r="N434" i="1"/>
  <c r="L434" i="1" s="1"/>
  <c r="K434" i="1" s="1"/>
  <c r="N433" i="1"/>
  <c r="N432" i="1"/>
  <c r="N431" i="1"/>
  <c r="N430" i="1"/>
  <c r="N429" i="1"/>
  <c r="N428" i="1"/>
  <c r="L428" i="1" s="1"/>
  <c r="K428" i="1" s="1"/>
  <c r="N427" i="1"/>
  <c r="L427" i="1" s="1"/>
  <c r="K427" i="1" s="1"/>
  <c r="N426" i="1"/>
  <c r="N425" i="1"/>
  <c r="N424" i="1"/>
  <c r="L424" i="1" s="1"/>
  <c r="K424" i="1" s="1"/>
  <c r="N423" i="1"/>
  <c r="I423" i="1"/>
  <c r="N422" i="1"/>
  <c r="L422" i="1" s="1"/>
  <c r="K422" i="1" s="1"/>
  <c r="N420" i="1"/>
  <c r="N419" i="1"/>
  <c r="N418" i="1"/>
  <c r="N408" i="1"/>
  <c r="L408" i="1" s="1"/>
  <c r="K408" i="1" s="1"/>
  <c r="I408" i="1"/>
  <c r="N407" i="1"/>
  <c r="L407" i="1" s="1"/>
  <c r="K407" i="1" s="1"/>
  <c r="I407" i="1"/>
  <c r="N406" i="1"/>
  <c r="N405" i="1"/>
  <c r="N404" i="1"/>
  <c r="L404" i="1" s="1"/>
  <c r="K404" i="1" s="1"/>
  <c r="I404" i="1"/>
  <c r="N403" i="1"/>
  <c r="L403" i="1" s="1"/>
  <c r="K403" i="1" s="1"/>
  <c r="I403" i="1"/>
  <c r="N402" i="1"/>
  <c r="N401" i="1"/>
  <c r="N399" i="1"/>
  <c r="N398" i="1"/>
  <c r="L398" i="1" s="1"/>
  <c r="K398" i="1" s="1"/>
  <c r="I398" i="1"/>
  <c r="N397" i="1"/>
  <c r="L397" i="1"/>
  <c r="K397" i="1" s="1"/>
  <c r="I397" i="1"/>
  <c r="N394" i="1"/>
  <c r="N393" i="1"/>
  <c r="N392" i="1"/>
  <c r="L392" i="1"/>
  <c r="K392" i="1" s="1"/>
  <c r="I392" i="1"/>
  <c r="N391" i="1"/>
  <c r="L391" i="1" s="1"/>
  <c r="K391" i="1" s="1"/>
  <c r="I391" i="1"/>
  <c r="N390" i="1"/>
  <c r="N388" i="1"/>
  <c r="N387" i="1"/>
  <c r="L385" i="1"/>
  <c r="K385" i="1" s="1"/>
  <c r="J385" i="1"/>
  <c r="I385" i="1"/>
  <c r="N380" i="1"/>
  <c r="N379" i="1"/>
  <c r="N378" i="1"/>
  <c r="N377" i="1"/>
  <c r="N376" i="1"/>
  <c r="N375" i="1"/>
  <c r="N374" i="1"/>
  <c r="N373" i="1"/>
  <c r="N371" i="1"/>
  <c r="N370" i="1"/>
  <c r="L368" i="1"/>
  <c r="K368" i="1" s="1"/>
  <c r="J368" i="1"/>
  <c r="I368" i="1"/>
  <c r="N365" i="1"/>
  <c r="N364" i="1"/>
  <c r="L364" i="1" s="1"/>
  <c r="K364" i="1" s="1"/>
  <c r="N363" i="1"/>
  <c r="I363" i="1"/>
  <c r="N362" i="1"/>
  <c r="L362" i="1" s="1"/>
  <c r="K362" i="1" s="1"/>
  <c r="N361" i="1"/>
  <c r="N360" i="1"/>
  <c r="N359" i="1"/>
  <c r="N358" i="1"/>
  <c r="N357" i="1"/>
  <c r="N356" i="1"/>
  <c r="N355" i="1"/>
  <c r="N354" i="1"/>
  <c r="N353" i="1"/>
  <c r="N352" i="1"/>
  <c r="N351" i="1"/>
  <c r="N346" i="1"/>
  <c r="N345" i="1"/>
  <c r="N344" i="1"/>
  <c r="L344" i="1" s="1"/>
  <c r="K344" i="1" s="1"/>
  <c r="N343" i="1"/>
  <c r="L343" i="1" s="1"/>
  <c r="K343" i="1" s="1"/>
  <c r="N338" i="1"/>
  <c r="N337" i="1"/>
  <c r="N336" i="1"/>
  <c r="L336" i="1" s="1"/>
  <c r="K336" i="1"/>
  <c r="N335" i="1"/>
  <c r="L335" i="1" s="1"/>
  <c r="K335" i="1" s="1"/>
  <c r="N330" i="1"/>
  <c r="N329" i="1"/>
  <c r="N328" i="1"/>
  <c r="L328" i="1"/>
  <c r="K328" i="1" s="1"/>
  <c r="N327" i="1"/>
  <c r="L327" i="1" s="1"/>
  <c r="K327" i="1" s="1"/>
  <c r="N326" i="1"/>
  <c r="N325" i="1"/>
  <c r="N324" i="1"/>
  <c r="N323" i="1"/>
  <c r="N322" i="1"/>
  <c r="N321" i="1"/>
  <c r="N318" i="1"/>
  <c r="N317" i="1"/>
  <c r="N314" i="1"/>
  <c r="N313" i="1"/>
  <c r="L313" i="1" s="1"/>
  <c r="K313" i="1" s="1"/>
  <c r="N310" i="1"/>
  <c r="N309" i="1"/>
  <c r="N306" i="1"/>
  <c r="L306" i="1"/>
  <c r="K306" i="1" s="1"/>
  <c r="N305" i="1"/>
  <c r="N302" i="1"/>
  <c r="N301" i="1"/>
  <c r="N298" i="1"/>
  <c r="L298" i="1" s="1"/>
  <c r="K298" i="1" s="1"/>
  <c r="N297" i="1"/>
  <c r="I297" i="1"/>
  <c r="L296" i="1"/>
  <c r="K296" i="1" s="1"/>
  <c r="L292" i="1"/>
  <c r="K292" i="1" s="1"/>
  <c r="L287" i="1"/>
  <c r="K287" i="1" s="1"/>
  <c r="L286" i="1"/>
  <c r="K286" i="1" s="1"/>
  <c r="L283" i="1"/>
  <c r="K283" i="1"/>
  <c r="L282" i="1"/>
  <c r="K282" i="1" s="1"/>
  <c r="L267" i="1"/>
  <c r="K267" i="1" s="1"/>
  <c r="L266" i="1"/>
  <c r="K266" i="1"/>
  <c r="L253" i="1"/>
  <c r="K253" i="1" s="1"/>
  <c r="I252" i="1"/>
  <c r="N251" i="1"/>
  <c r="L251" i="1"/>
  <c r="K251" i="1" s="1"/>
  <c r="N250" i="1"/>
  <c r="N249" i="1"/>
  <c r="N247" i="1"/>
  <c r="L247" i="1" s="1"/>
  <c r="K247" i="1" s="1"/>
  <c r="N246" i="1"/>
  <c r="L246" i="1" s="1"/>
  <c r="K246" i="1" s="1"/>
  <c r="N245" i="1"/>
  <c r="N243" i="1"/>
  <c r="N242" i="1"/>
  <c r="N241" i="1"/>
  <c r="L241" i="1"/>
  <c r="K241" i="1" s="1"/>
  <c r="N240" i="1"/>
  <c r="L240" i="1" s="1"/>
  <c r="K240" i="1" s="1"/>
  <c r="N239" i="1"/>
  <c r="N237" i="1"/>
  <c r="N236" i="1"/>
  <c r="N235" i="1"/>
  <c r="L235" i="1" s="1"/>
  <c r="K235" i="1" s="1"/>
  <c r="N234" i="1"/>
  <c r="L234" i="1"/>
  <c r="K234" i="1" s="1"/>
  <c r="N233" i="1"/>
  <c r="N232" i="1"/>
  <c r="N230" i="1"/>
  <c r="N229" i="1"/>
  <c r="N228" i="1"/>
  <c r="N227" i="1"/>
  <c r="N226" i="1"/>
  <c r="N223" i="1"/>
  <c r="N222" i="1"/>
  <c r="N221" i="1"/>
  <c r="N220" i="1"/>
  <c r="N219" i="1"/>
  <c r="N218" i="1"/>
  <c r="L218" i="1" s="1"/>
  <c r="K218" i="1"/>
  <c r="N217" i="1"/>
  <c r="L217" i="1" s="1"/>
  <c r="K217" i="1" s="1"/>
  <c r="N216" i="1"/>
  <c r="N215" i="1"/>
  <c r="N214" i="1"/>
  <c r="N213" i="1"/>
  <c r="N209" i="1"/>
  <c r="N205" i="1"/>
  <c r="N204" i="1"/>
  <c r="N203" i="1"/>
  <c r="N202" i="1"/>
  <c r="L202" i="1" s="1"/>
  <c r="K202" i="1" s="1"/>
  <c r="L194" i="1"/>
  <c r="K194" i="1" s="1"/>
  <c r="N193" i="1"/>
  <c r="L193" i="1" s="1"/>
  <c r="K193" i="1" s="1"/>
  <c r="N192" i="1"/>
  <c r="N191" i="1"/>
  <c r="N190" i="1"/>
  <c r="L190" i="1" s="1"/>
  <c r="K190" i="1" s="1"/>
  <c r="N189" i="1"/>
  <c r="I189" i="1"/>
  <c r="N188" i="1"/>
  <c r="L188" i="1" s="1"/>
  <c r="K188" i="1" s="1"/>
  <c r="N187" i="1"/>
  <c r="N183" i="1"/>
  <c r="N182" i="1"/>
  <c r="L182" i="1"/>
  <c r="K182" i="1" s="1"/>
  <c r="N181" i="1"/>
  <c r="L181" i="1"/>
  <c r="K181" i="1" s="1"/>
  <c r="N180" i="1"/>
  <c r="N176" i="1"/>
  <c r="N175" i="1"/>
  <c r="L175" i="1" s="1"/>
  <c r="K175" i="1" s="1"/>
  <c r="N174" i="1"/>
  <c r="I174" i="1"/>
  <c r="N173" i="1"/>
  <c r="N172" i="1"/>
  <c r="N168" i="1"/>
  <c r="N167" i="1"/>
  <c r="N166" i="1"/>
  <c r="I166" i="1"/>
  <c r="N165" i="1"/>
  <c r="N164" i="1"/>
  <c r="N163" i="1"/>
  <c r="N162" i="1"/>
  <c r="L162" i="1" s="1"/>
  <c r="K162" i="1" s="1"/>
  <c r="N161" i="1"/>
  <c r="N159" i="1"/>
  <c r="N157" i="1"/>
  <c r="N156" i="1"/>
  <c r="L156" i="1" s="1"/>
  <c r="K156" i="1" s="1"/>
  <c r="N155" i="1"/>
  <c r="N151" i="1"/>
  <c r="N150" i="1"/>
  <c r="N149" i="1"/>
  <c r="N148" i="1"/>
  <c r="I148" i="1"/>
  <c r="N147" i="1"/>
  <c r="L147" i="1"/>
  <c r="K147" i="1" s="1"/>
  <c r="N146" i="1"/>
  <c r="N145" i="1"/>
  <c r="N144" i="1"/>
  <c r="N143" i="1"/>
  <c r="L143" i="1" s="1"/>
  <c r="K143" i="1" s="1"/>
  <c r="N142" i="1"/>
  <c r="N141" i="1"/>
  <c r="N140" i="1"/>
  <c r="N139" i="1"/>
  <c r="N138" i="1"/>
  <c r="L138" i="1"/>
  <c r="K138" i="1" s="1"/>
  <c r="N137" i="1"/>
  <c r="N136" i="1"/>
  <c r="N135" i="1"/>
  <c r="N134" i="1"/>
  <c r="N133" i="1"/>
  <c r="L133" i="1" s="1"/>
  <c r="K133" i="1" s="1"/>
  <c r="N132" i="1"/>
  <c r="L132" i="1" s="1"/>
  <c r="K132" i="1" s="1"/>
  <c r="N131" i="1"/>
  <c r="N125" i="1"/>
  <c r="N118" i="1"/>
  <c r="N117" i="1"/>
  <c r="N116" i="1"/>
  <c r="N115" i="1"/>
  <c r="L115" i="1" s="1"/>
  <c r="K115" i="1" s="1"/>
  <c r="N114" i="1"/>
  <c r="N108" i="1"/>
  <c r="N101" i="1"/>
  <c r="N100" i="1"/>
  <c r="N99" i="1"/>
  <c r="N98" i="1"/>
  <c r="L98" i="1" s="1"/>
  <c r="K98" i="1"/>
  <c r="N97" i="1"/>
  <c r="N91" i="1"/>
  <c r="N84" i="1"/>
  <c r="N83" i="1"/>
  <c r="N82" i="1"/>
  <c r="N81" i="1"/>
  <c r="N80" i="1"/>
  <c r="N79" i="1"/>
  <c r="N78" i="1"/>
  <c r="N75" i="1"/>
  <c r="N74" i="1"/>
  <c r="N73" i="1"/>
  <c r="N72" i="1"/>
  <c r="N71" i="1"/>
  <c r="I71" i="1"/>
  <c r="N70" i="1"/>
  <c r="L70" i="1" s="1"/>
  <c r="K70" i="1" s="1"/>
  <c r="N69" i="1"/>
  <c r="N68" i="1"/>
  <c r="N67" i="1"/>
  <c r="L67" i="1" s="1"/>
  <c r="K67" i="1" s="1"/>
  <c r="N66" i="1"/>
  <c r="L66" i="1" s="1"/>
  <c r="K66" i="1" s="1"/>
  <c r="N65" i="1"/>
  <c r="N64" i="1"/>
  <c r="N63" i="1"/>
  <c r="N62" i="1"/>
  <c r="N61" i="1"/>
  <c r="N60" i="1"/>
  <c r="N59" i="1"/>
  <c r="L59" i="1"/>
  <c r="K59" i="1" s="1"/>
  <c r="N58" i="1"/>
  <c r="L58" i="1"/>
  <c r="K58" i="1" s="1"/>
  <c r="N57" i="1"/>
  <c r="N52" i="1"/>
  <c r="N51" i="1"/>
  <c r="N44" i="1"/>
  <c r="N42" i="1"/>
  <c r="L42" i="1" s="1"/>
  <c r="K42" i="1" s="1"/>
  <c r="N41" i="1"/>
  <c r="N40" i="1"/>
  <c r="N35" i="1"/>
  <c r="N34" i="1"/>
  <c r="N25" i="1"/>
  <c r="L25" i="1"/>
  <c r="K25" i="1" s="1"/>
  <c r="N24" i="1"/>
  <c r="L24" i="1"/>
  <c r="K24" i="1" s="1"/>
  <c r="N23" i="1"/>
  <c r="N18" i="1"/>
  <c r="N17" i="1"/>
  <c r="N10" i="1"/>
  <c r="P9" i="1"/>
  <c r="N8" i="1"/>
  <c r="N7" i="1"/>
  <c r="I7" i="1"/>
  <c r="N5" i="1"/>
  <c r="N6" i="1" s="1"/>
  <c r="N3" i="1"/>
  <c r="N4" i="1" s="1"/>
  <c r="F46" i="12"/>
  <c r="E46" i="12"/>
  <c r="B46" i="12"/>
  <c r="F44" i="12"/>
  <c r="E44" i="12"/>
  <c r="B44" i="12"/>
  <c r="F39" i="12"/>
  <c r="E39" i="12"/>
  <c r="B39" i="12"/>
  <c r="F38" i="12"/>
  <c r="E38" i="12"/>
  <c r="B38" i="12"/>
  <c r="F37" i="12"/>
  <c r="E37" i="12"/>
  <c r="B37" i="12"/>
  <c r="F33" i="12"/>
  <c r="E33" i="12"/>
  <c r="B33" i="12"/>
  <c r="F32" i="12"/>
  <c r="E32" i="12"/>
  <c r="B32" i="12"/>
  <c r="F28" i="12"/>
  <c r="E28" i="12"/>
  <c r="D28" i="12"/>
  <c r="B28" i="12"/>
  <c r="F27" i="12"/>
  <c r="E27" i="12"/>
  <c r="D27" i="12"/>
  <c r="B27" i="12"/>
  <c r="F26" i="12"/>
  <c r="E26" i="12"/>
  <c r="D26" i="12"/>
  <c r="B26" i="12"/>
  <c r="F25" i="12"/>
  <c r="E25" i="12"/>
  <c r="D25" i="12"/>
  <c r="B25" i="12"/>
  <c r="F24" i="12"/>
  <c r="E24" i="12"/>
  <c r="D24" i="12"/>
  <c r="B24" i="12"/>
  <c r="F23" i="12"/>
  <c r="E23" i="12"/>
  <c r="D23" i="12"/>
  <c r="B23" i="12"/>
  <c r="F22" i="12"/>
  <c r="E22" i="12"/>
  <c r="D22" i="12"/>
  <c r="B22" i="12"/>
  <c r="F21" i="12"/>
  <c r="E21" i="12"/>
  <c r="B21" i="12"/>
  <c r="F20" i="12"/>
  <c r="E20" i="12"/>
  <c r="B20" i="12"/>
  <c r="F16" i="12"/>
  <c r="E16" i="12"/>
  <c r="B16" i="12"/>
  <c r="B9" i="12"/>
  <c r="B7" i="12"/>
  <c r="B6" i="12"/>
  <c r="H9" i="12"/>
  <c r="F7" i="12"/>
  <c r="H6" i="12"/>
  <c r="H5" i="12"/>
  <c r="F5" i="12"/>
  <c r="C3" i="12"/>
  <c r="C22" i="5"/>
  <c r="C21" i="5"/>
  <c r="C20" i="5"/>
  <c r="E60" i="4"/>
  <c r="E59" i="4"/>
  <c r="E49" i="4"/>
  <c r="B49" i="4"/>
  <c r="E48" i="4"/>
  <c r="B48" i="4"/>
  <c r="E47" i="4"/>
  <c r="B47" i="4"/>
  <c r="E46" i="4"/>
  <c r="B46" i="4"/>
  <c r="E45" i="4"/>
  <c r="B45" i="4"/>
  <c r="E44" i="4"/>
  <c r="B44" i="4"/>
  <c r="E40" i="4"/>
  <c r="B40" i="4"/>
  <c r="E39" i="4"/>
  <c r="B39" i="4"/>
  <c r="E38" i="4"/>
  <c r="B38" i="4"/>
  <c r="C34" i="4"/>
  <c r="B34" i="4"/>
  <c r="C33" i="4"/>
  <c r="B33" i="4"/>
  <c r="C32" i="4"/>
  <c r="B32" i="4"/>
  <c r="C31" i="4"/>
  <c r="B31" i="4"/>
  <c r="C30" i="4"/>
  <c r="B30" i="4"/>
  <c r="C29" i="4"/>
  <c r="B29" i="4"/>
  <c r="C28" i="4"/>
  <c r="B28" i="4"/>
  <c r="C27" i="4"/>
  <c r="B27" i="4"/>
  <c r="C26" i="4"/>
  <c r="B26" i="4"/>
  <c r="C25" i="4"/>
  <c r="B25" i="4"/>
  <c r="C24" i="4"/>
  <c r="B24" i="4"/>
  <c r="C23" i="4"/>
  <c r="B23" i="4"/>
  <c r="C22" i="4"/>
  <c r="B22" i="4"/>
  <c r="C21" i="4"/>
  <c r="B21" i="4"/>
  <c r="G16" i="4"/>
  <c r="D16" i="4"/>
  <c r="G15" i="4"/>
  <c r="D15" i="4"/>
  <c r="B14" i="4"/>
  <c r="C11" i="4"/>
  <c r="B11" i="4"/>
  <c r="I9" i="4"/>
  <c r="H9" i="4"/>
  <c r="D9" i="4"/>
  <c r="C9" i="4"/>
  <c r="B9" i="4"/>
  <c r="I8" i="4"/>
  <c r="H8" i="4"/>
  <c r="G8" i="4"/>
  <c r="F8" i="4"/>
  <c r="D8" i="4"/>
  <c r="C8" i="4"/>
  <c r="B8" i="4"/>
  <c r="I7" i="4"/>
  <c r="H7" i="4"/>
  <c r="G7" i="4"/>
  <c r="F7" i="4"/>
  <c r="D7" i="4"/>
  <c r="C7" i="4"/>
  <c r="B7" i="4"/>
  <c r="I6" i="4"/>
  <c r="H6" i="4"/>
  <c r="G6" i="4"/>
  <c r="F6" i="4"/>
  <c r="D6" i="4"/>
  <c r="C6" i="4"/>
  <c r="B6" i="4"/>
  <c r="I5" i="4"/>
  <c r="H5" i="4"/>
  <c r="G5" i="4"/>
  <c r="F5" i="4"/>
  <c r="D5" i="4"/>
  <c r="C5" i="4"/>
  <c r="B5" i="4"/>
  <c r="D65" i="9"/>
  <c r="E60" i="9"/>
  <c r="B60" i="9"/>
  <c r="E59" i="9"/>
  <c r="B59" i="9"/>
  <c r="E58" i="9"/>
  <c r="B58" i="9"/>
  <c r="D55" i="9"/>
  <c r="C55" i="9"/>
  <c r="D54" i="9"/>
  <c r="C54" i="9"/>
  <c r="B54" i="9"/>
  <c r="D53" i="9"/>
  <c r="C53" i="9"/>
  <c r="B53" i="9"/>
  <c r="D52" i="9"/>
  <c r="C52" i="9"/>
  <c r="B52" i="9"/>
  <c r="D51" i="9"/>
  <c r="C51" i="9"/>
  <c r="D48" i="9"/>
  <c r="C48" i="9"/>
  <c r="B48" i="9"/>
  <c r="D47" i="9"/>
  <c r="C47" i="9"/>
  <c r="B47" i="9"/>
  <c r="D44" i="9"/>
  <c r="C41" i="9"/>
  <c r="C40" i="9"/>
  <c r="C37" i="9"/>
  <c r="H34" i="9"/>
  <c r="B34" i="9"/>
  <c r="F26" i="9"/>
  <c r="E26" i="9"/>
  <c r="D26" i="9"/>
  <c r="C26" i="9"/>
  <c r="B26" i="9"/>
  <c r="F25" i="9"/>
  <c r="E25" i="9"/>
  <c r="D25" i="9"/>
  <c r="C25" i="9"/>
  <c r="B25" i="9"/>
  <c r="F24" i="9"/>
  <c r="E24" i="9"/>
  <c r="D24" i="9"/>
  <c r="C24" i="9"/>
  <c r="B24" i="9"/>
  <c r="F23" i="9"/>
  <c r="E23" i="9"/>
  <c r="D23" i="9"/>
  <c r="C23" i="9"/>
  <c r="B23" i="9"/>
  <c r="F22" i="9"/>
  <c r="D22" i="9"/>
  <c r="C22" i="9"/>
  <c r="E22" i="9" s="1"/>
  <c r="B22" i="9"/>
  <c r="F21" i="9"/>
  <c r="D21" i="9"/>
  <c r="C21" i="9"/>
  <c r="E21" i="9" s="1"/>
  <c r="B21" i="9"/>
  <c r="F20" i="9"/>
  <c r="E20" i="9"/>
  <c r="C20" i="9"/>
  <c r="D20" i="9" s="1"/>
  <c r="B20" i="9"/>
  <c r="F19" i="9"/>
  <c r="E19" i="9"/>
  <c r="C19" i="9"/>
  <c r="D19" i="9" s="1"/>
  <c r="B19" i="9"/>
  <c r="F18" i="9"/>
  <c r="E18" i="9"/>
  <c r="D18" i="9"/>
  <c r="C18" i="9"/>
  <c r="B18" i="9"/>
  <c r="H17" i="9"/>
  <c r="C17" i="9"/>
  <c r="F15" i="9"/>
  <c r="E15" i="9"/>
  <c r="D15" i="9"/>
  <c r="C15" i="9"/>
  <c r="B15" i="9"/>
  <c r="F14" i="9"/>
  <c r="E14" i="9"/>
  <c r="D14" i="9"/>
  <c r="C14" i="9"/>
  <c r="B14" i="9"/>
  <c r="F13" i="9"/>
  <c r="E13" i="9"/>
  <c r="C13" i="9"/>
  <c r="D13" i="9" s="1"/>
  <c r="B13" i="9"/>
  <c r="F12" i="9"/>
  <c r="E12" i="9"/>
  <c r="D12" i="9"/>
  <c r="B12" i="9"/>
  <c r="F11" i="9"/>
  <c r="E11" i="9"/>
  <c r="D11" i="9"/>
  <c r="B11" i="9"/>
  <c r="C4" i="9"/>
  <c r="B2" i="9"/>
  <c r="E49" i="8"/>
  <c r="D49" i="8"/>
  <c r="C49" i="8"/>
  <c r="B49" i="8"/>
  <c r="H45" i="8"/>
  <c r="H44" i="8"/>
  <c r="C42" i="8"/>
  <c r="E41" i="8"/>
  <c r="C41" i="8"/>
  <c r="C39" i="8"/>
  <c r="E38" i="8"/>
  <c r="C38" i="8"/>
  <c r="C36" i="8"/>
  <c r="E35" i="8"/>
  <c r="C35" i="8"/>
  <c r="C30" i="8"/>
  <c r="E24" i="8"/>
  <c r="D24" i="8"/>
  <c r="C24" i="8"/>
  <c r="B24" i="8"/>
  <c r="H20" i="8"/>
  <c r="H19" i="8"/>
  <c r="C17" i="8"/>
  <c r="E16" i="8"/>
  <c r="C16" i="8"/>
  <c r="C14" i="8"/>
  <c r="E13" i="8"/>
  <c r="C13" i="8"/>
  <c r="C11" i="8"/>
  <c r="E10" i="8"/>
  <c r="C10" i="8"/>
  <c r="C5" i="8"/>
  <c r="B2" i="8"/>
  <c r="F40" i="15"/>
  <c r="D40" i="15"/>
  <c r="C40" i="15"/>
  <c r="B40" i="15"/>
  <c r="F39" i="15"/>
  <c r="C39" i="15"/>
  <c r="B39" i="15"/>
  <c r="F38" i="15"/>
  <c r="C38" i="15"/>
  <c r="B38" i="15"/>
  <c r="F37" i="15"/>
  <c r="C37" i="15"/>
  <c r="B37" i="15"/>
  <c r="F36" i="15"/>
  <c r="C36" i="15"/>
  <c r="B36" i="15"/>
  <c r="F35" i="15"/>
  <c r="C35" i="15"/>
  <c r="B35" i="15"/>
  <c r="F34" i="15"/>
  <c r="C34" i="15"/>
  <c r="B34" i="15"/>
  <c r="F33" i="15"/>
  <c r="C33" i="15"/>
  <c r="B33" i="15"/>
  <c r="F32" i="15"/>
  <c r="C32" i="15"/>
  <c r="B32" i="15"/>
  <c r="F31" i="15"/>
  <c r="C31" i="15"/>
  <c r="B31" i="15"/>
  <c r="F30" i="15"/>
  <c r="C30" i="15"/>
  <c r="B30" i="15"/>
  <c r="F29" i="15"/>
  <c r="C29" i="15"/>
  <c r="B29" i="15"/>
  <c r="F28" i="15"/>
  <c r="C28" i="15"/>
  <c r="B28" i="15"/>
  <c r="F27" i="15"/>
  <c r="C27" i="15"/>
  <c r="B27" i="15"/>
  <c r="F26" i="15"/>
  <c r="C26" i="15"/>
  <c r="B26" i="15"/>
  <c r="F25" i="15"/>
  <c r="C25" i="15"/>
  <c r="B25" i="15"/>
  <c r="C24" i="15"/>
  <c r="B24" i="15"/>
  <c r="F23" i="15"/>
  <c r="D23" i="15"/>
  <c r="C23" i="15"/>
  <c r="B23" i="15"/>
  <c r="F22" i="15"/>
  <c r="C22" i="15"/>
  <c r="B22" i="15"/>
  <c r="C21" i="15"/>
  <c r="B21" i="15"/>
  <c r="B20" i="15"/>
  <c r="F18" i="15"/>
  <c r="D18" i="15"/>
  <c r="C18" i="15"/>
  <c r="B18" i="15"/>
  <c r="F17" i="15"/>
  <c r="D17" i="15"/>
  <c r="C17" i="15"/>
  <c r="B17" i="15"/>
  <c r="F16" i="15"/>
  <c r="D16" i="15"/>
  <c r="C16" i="15"/>
  <c r="B16" i="15"/>
  <c r="F15" i="15"/>
  <c r="C15" i="15"/>
  <c r="B15" i="15"/>
  <c r="F14" i="15"/>
  <c r="C14" i="15"/>
  <c r="B14" i="15"/>
  <c r="F13" i="15"/>
  <c r="C13" i="15"/>
  <c r="B13" i="15"/>
  <c r="B12" i="15"/>
  <c r="B11" i="15"/>
  <c r="B10" i="15"/>
  <c r="F8" i="15"/>
  <c r="D8" i="15"/>
  <c r="C8" i="15"/>
  <c r="B8" i="15"/>
  <c r="F7" i="15"/>
  <c r="C7" i="15"/>
  <c r="B7" i="15"/>
  <c r="B6" i="15"/>
  <c r="F59" i="14"/>
  <c r="F58" i="14"/>
  <c r="F57" i="14"/>
  <c r="F56" i="14"/>
  <c r="F55" i="14"/>
  <c r="F54" i="14"/>
  <c r="F53" i="14"/>
  <c r="B59" i="14"/>
  <c r="B58" i="14"/>
  <c r="B57" i="14"/>
  <c r="B56" i="14"/>
  <c r="B55" i="14"/>
  <c r="B54" i="14"/>
  <c r="B53" i="14"/>
  <c r="H49" i="14"/>
  <c r="G49" i="14"/>
  <c r="E49" i="14"/>
  <c r="D49" i="14"/>
  <c r="B49" i="14"/>
  <c r="H48" i="14"/>
  <c r="G48" i="14"/>
  <c r="E48" i="14"/>
  <c r="D48" i="14"/>
  <c r="B48" i="14"/>
  <c r="H47" i="14"/>
  <c r="G47" i="14"/>
  <c r="E47" i="14"/>
  <c r="D47" i="14"/>
  <c r="B47" i="14"/>
  <c r="H46" i="14"/>
  <c r="G46" i="14"/>
  <c r="E46" i="14"/>
  <c r="D46" i="14"/>
  <c r="B46" i="14"/>
  <c r="H45" i="14"/>
  <c r="G45" i="14"/>
  <c r="E45" i="14"/>
  <c r="D45" i="14"/>
  <c r="B45" i="14"/>
  <c r="H35" i="14"/>
  <c r="G35" i="14"/>
  <c r="E35" i="14"/>
  <c r="D35" i="14"/>
  <c r="B35" i="14"/>
  <c r="H34" i="14"/>
  <c r="G34" i="14"/>
  <c r="E34" i="14"/>
  <c r="D34" i="14"/>
  <c r="B34" i="14"/>
  <c r="H33" i="14"/>
  <c r="G33" i="14"/>
  <c r="E33" i="14"/>
  <c r="D33" i="14"/>
  <c r="B33" i="14"/>
  <c r="H32" i="14"/>
  <c r="G32" i="14"/>
  <c r="E32" i="14"/>
  <c r="D32" i="14"/>
  <c r="B32" i="14"/>
  <c r="H31" i="14"/>
  <c r="G31" i="14"/>
  <c r="E31" i="14"/>
  <c r="D31" i="14"/>
  <c r="B31" i="14"/>
  <c r="H26" i="14"/>
  <c r="G26" i="14"/>
  <c r="E26" i="14"/>
  <c r="D26" i="14"/>
  <c r="B26" i="14"/>
  <c r="H25" i="14"/>
  <c r="G25" i="14"/>
  <c r="E25" i="14"/>
  <c r="D25" i="14"/>
  <c r="B25" i="14"/>
  <c r="H24" i="14"/>
  <c r="G24" i="14"/>
  <c r="E24" i="14"/>
  <c r="D24" i="14"/>
  <c r="B24" i="14"/>
  <c r="H23" i="14"/>
  <c r="G23" i="14"/>
  <c r="E23" i="14"/>
  <c r="D23" i="14"/>
  <c r="B23" i="14"/>
  <c r="H22" i="14"/>
  <c r="G22" i="14"/>
  <c r="E22" i="14"/>
  <c r="D22" i="14"/>
  <c r="B22" i="14"/>
  <c r="B21" i="14"/>
  <c r="H12" i="14"/>
  <c r="G12" i="14"/>
  <c r="E12" i="14"/>
  <c r="D12" i="14"/>
  <c r="B12" i="14"/>
  <c r="H11" i="14"/>
  <c r="G11" i="14"/>
  <c r="E11" i="14"/>
  <c r="D11" i="14"/>
  <c r="B11" i="14"/>
  <c r="H10" i="14"/>
  <c r="G10" i="14"/>
  <c r="E10" i="14"/>
  <c r="D10" i="14"/>
  <c r="B10" i="14"/>
  <c r="H9" i="14"/>
  <c r="G9" i="14"/>
  <c r="E9" i="14"/>
  <c r="D9" i="14"/>
  <c r="B9" i="14"/>
  <c r="H8" i="14"/>
  <c r="G8" i="14"/>
  <c r="E8" i="14"/>
  <c r="D8" i="14"/>
  <c r="B8" i="14"/>
  <c r="H7" i="14"/>
  <c r="G7" i="14"/>
  <c r="E7" i="14"/>
  <c r="D7" i="14"/>
  <c r="B7" i="14"/>
  <c r="H6" i="14"/>
  <c r="G6" i="14"/>
  <c r="E6" i="14"/>
  <c r="D6" i="14"/>
  <c r="B6" i="14"/>
  <c r="B5" i="14"/>
  <c r="C17" i="13"/>
  <c r="C16" i="13"/>
  <c r="D15" i="13"/>
  <c r="C15" i="13"/>
  <c r="C14" i="13"/>
  <c r="D13" i="13"/>
  <c r="C13" i="13"/>
  <c r="C12" i="13"/>
  <c r="D11" i="13"/>
  <c r="C11" i="13"/>
  <c r="C10" i="13"/>
  <c r="C9" i="13"/>
  <c r="C8" i="13"/>
  <c r="C7" i="13"/>
  <c r="C6" i="13"/>
  <c r="D5" i="13"/>
  <c r="C5" i="13"/>
  <c r="D4" i="13"/>
  <c r="C4" i="13"/>
  <c r="B87" i="6"/>
  <c r="B86" i="6"/>
  <c r="B85" i="6"/>
  <c r="B82" i="6"/>
  <c r="B81" i="6"/>
  <c r="B80" i="6"/>
  <c r="E72" i="6"/>
  <c r="B72" i="6"/>
  <c r="E71" i="6"/>
  <c r="B71" i="6"/>
  <c r="B70" i="6"/>
  <c r="G69" i="6"/>
  <c r="B69" i="6"/>
  <c r="B68" i="6"/>
  <c r="E67" i="6"/>
  <c r="B67" i="6"/>
  <c r="E66" i="6"/>
  <c r="B66" i="6"/>
  <c r="E65" i="6"/>
  <c r="B65" i="6"/>
  <c r="E64" i="6"/>
  <c r="B64" i="6"/>
  <c r="E63" i="6"/>
  <c r="B63" i="6"/>
  <c r="E62" i="6"/>
  <c r="B62" i="6"/>
  <c r="B61" i="6"/>
  <c r="B60" i="6"/>
  <c r="B59" i="6"/>
  <c r="B51" i="6"/>
  <c r="B50" i="6"/>
  <c r="B49" i="6"/>
  <c r="B48" i="6"/>
  <c r="B47" i="6"/>
  <c r="B46" i="6"/>
  <c r="B45" i="6"/>
  <c r="B44" i="6"/>
  <c r="B43" i="6"/>
  <c r="B42" i="6"/>
  <c r="B39" i="6"/>
  <c r="B38" i="6"/>
  <c r="F37" i="6"/>
  <c r="E37" i="6"/>
  <c r="B37" i="6"/>
  <c r="B36" i="6"/>
  <c r="G30" i="6"/>
  <c r="B30" i="6"/>
  <c r="D30" i="6" s="1"/>
  <c r="G29" i="6"/>
  <c r="B29" i="6"/>
  <c r="G28" i="6"/>
  <c r="B28" i="6"/>
  <c r="G27" i="6"/>
  <c r="B27" i="6"/>
  <c r="G26" i="6"/>
  <c r="B26" i="6"/>
  <c r="G25" i="6"/>
  <c r="B25" i="6"/>
  <c r="B21" i="6"/>
  <c r="B20" i="6"/>
  <c r="B16" i="6"/>
  <c r="E15" i="6"/>
  <c r="B15" i="6"/>
  <c r="B11" i="6"/>
  <c r="H10" i="6"/>
  <c r="G10" i="6"/>
  <c r="B10" i="6"/>
  <c r="E9" i="6"/>
  <c r="B9" i="6"/>
  <c r="B7" i="6"/>
  <c r="B6" i="6"/>
  <c r="B5" i="6"/>
  <c r="B4" i="6"/>
  <c r="C20" i="11"/>
  <c r="B14" i="11"/>
  <c r="B13" i="11"/>
  <c r="D1" i="11"/>
  <c r="C20" i="10"/>
  <c r="B14" i="10"/>
  <c r="B13" i="10"/>
  <c r="D1" i="10"/>
  <c r="E42" i="3"/>
  <c r="E41" i="3"/>
  <c r="I33" i="3"/>
  <c r="I31" i="3"/>
  <c r="U11" i="17" s="1"/>
  <c r="I30" i="3"/>
  <c r="E34" i="3"/>
  <c r="B34" i="3"/>
  <c r="E33" i="3"/>
  <c r="B33" i="3"/>
  <c r="E32" i="3"/>
  <c r="B32" i="3"/>
  <c r="E31" i="3"/>
  <c r="B31" i="3"/>
  <c r="E30" i="3"/>
  <c r="B30" i="3"/>
  <c r="E29" i="3"/>
  <c r="B29" i="3"/>
  <c r="E25" i="3"/>
  <c r="B25" i="3"/>
  <c r="E24" i="3"/>
  <c r="B24" i="3"/>
  <c r="E23" i="3"/>
  <c r="B23" i="3"/>
  <c r="H19" i="3"/>
  <c r="F19" i="3"/>
  <c r="D19" i="3"/>
  <c r="C19" i="3"/>
  <c r="B19" i="3"/>
  <c r="C18" i="3"/>
  <c r="B18" i="3"/>
  <c r="C17" i="3"/>
  <c r="B17" i="3"/>
  <c r="C16" i="3"/>
  <c r="B16" i="3"/>
  <c r="C15" i="3"/>
  <c r="B15" i="3"/>
  <c r="C14" i="3"/>
  <c r="B14" i="3"/>
  <c r="C13" i="3"/>
  <c r="B13" i="3"/>
  <c r="C12" i="3"/>
  <c r="B12" i="3"/>
  <c r="C11" i="3"/>
  <c r="B11" i="3"/>
  <c r="C10" i="3"/>
  <c r="B10" i="3"/>
  <c r="C9" i="3"/>
  <c r="B9" i="3"/>
  <c r="C8" i="3"/>
  <c r="B8" i="3"/>
  <c r="C7" i="3"/>
  <c r="B7" i="3"/>
  <c r="C6" i="3"/>
  <c r="B6" i="3"/>
  <c r="A4" i="16"/>
  <c r="R103" i="16"/>
  <c r="R97" i="16"/>
  <c r="C103" i="16"/>
  <c r="C100" i="16"/>
  <c r="C97" i="16"/>
  <c r="C94" i="16"/>
  <c r="R89" i="16"/>
  <c r="C89" i="16"/>
  <c r="R81" i="16"/>
  <c r="C84" i="16"/>
  <c r="C81" i="16"/>
  <c r="C78" i="16"/>
  <c r="R69" i="16"/>
  <c r="R67" i="16"/>
  <c r="R65" i="16"/>
  <c r="R61" i="16"/>
  <c r="N54" i="16"/>
  <c r="C51" i="16"/>
  <c r="C48" i="16"/>
  <c r="C45" i="16"/>
  <c r="C44" i="16"/>
  <c r="C37" i="16"/>
  <c r="C34" i="16"/>
  <c r="C24" i="16"/>
  <c r="C21" i="16"/>
  <c r="C17" i="16"/>
  <c r="C14" i="16"/>
  <c r="U4" i="16"/>
  <c r="B5" i="16"/>
  <c r="A1" i="16"/>
  <c r="I3" i="14"/>
  <c r="F3" i="14"/>
  <c r="B1" i="13"/>
  <c r="F286" i="17"/>
  <c r="F284" i="17"/>
  <c r="F282" i="17"/>
  <c r="F280" i="17"/>
  <c r="F199" i="17"/>
  <c r="F197" i="17"/>
  <c r="F195" i="17"/>
  <c r="F193" i="17"/>
  <c r="F191" i="17"/>
  <c r="O138" i="17"/>
  <c r="O135" i="17"/>
  <c r="M134" i="17"/>
  <c r="M133" i="17"/>
  <c r="O128" i="17"/>
  <c r="O125" i="17"/>
  <c r="M124" i="17"/>
  <c r="M123" i="17"/>
  <c r="D295" i="1"/>
  <c r="P295" i="1" s="1"/>
  <c r="D294" i="1"/>
  <c r="P294" i="1" s="1"/>
  <c r="D291" i="1"/>
  <c r="P291" i="1" s="1"/>
  <c r="D290" i="1"/>
  <c r="P290" i="1" s="1"/>
  <c r="D289" i="1"/>
  <c r="P289" i="1" s="1"/>
  <c r="D288" i="1"/>
  <c r="P288" i="1" s="1"/>
  <c r="D285" i="1"/>
  <c r="P285" i="1" s="1"/>
  <c r="D284" i="1"/>
  <c r="P284" i="1" s="1"/>
  <c r="D281" i="1"/>
  <c r="P281" i="1" s="1"/>
  <c r="D280" i="1"/>
  <c r="P280" i="1" s="1"/>
  <c r="D279" i="1"/>
  <c r="P279" i="1" s="1"/>
  <c r="D278" i="1"/>
  <c r="P278" i="1" s="1"/>
  <c r="D277" i="1"/>
  <c r="P277" i="1" s="1"/>
  <c r="D276" i="1"/>
  <c r="P276" i="1" s="1"/>
  <c r="D275" i="1"/>
  <c r="P275" i="1" s="1"/>
  <c r="D274" i="1"/>
  <c r="P274" i="1" s="1"/>
  <c r="D273" i="1"/>
  <c r="P273" i="1" s="1"/>
  <c r="D272" i="1"/>
  <c r="P272" i="1" s="1"/>
  <c r="D271" i="1"/>
  <c r="P271" i="1" s="1"/>
  <c r="D270" i="1"/>
  <c r="P270" i="1" s="1"/>
  <c r="D269" i="1"/>
  <c r="P269" i="1" s="1"/>
  <c r="D268" i="1"/>
  <c r="P268" i="1" s="1"/>
  <c r="D265" i="1"/>
  <c r="P265" i="1" s="1"/>
  <c r="D264" i="1"/>
  <c r="P264" i="1" s="1"/>
  <c r="D263" i="1"/>
  <c r="P263" i="1" s="1"/>
  <c r="D262" i="1"/>
  <c r="P262" i="1" s="1"/>
  <c r="D261" i="1"/>
  <c r="P261" i="1" s="1"/>
  <c r="D260" i="1"/>
  <c r="P260" i="1" s="1"/>
  <c r="D259" i="1"/>
  <c r="P259" i="1" s="1"/>
  <c r="D256" i="1"/>
  <c r="P256" i="1" s="1"/>
  <c r="D255" i="1"/>
  <c r="P255" i="1" s="1"/>
  <c r="D254" i="1"/>
  <c r="P254" i="1" s="1"/>
  <c r="E56" i="7"/>
  <c r="B56" i="7"/>
  <c r="E55" i="7"/>
  <c r="B55" i="7"/>
  <c r="E54" i="7"/>
  <c r="B54" i="7"/>
  <c r="E50" i="7"/>
  <c r="B50" i="7"/>
  <c r="E49" i="7"/>
  <c r="B49" i="7"/>
  <c r="E48" i="7"/>
  <c r="B48" i="7"/>
  <c r="E44" i="7"/>
  <c r="B44" i="7"/>
  <c r="E39" i="7"/>
  <c r="B39" i="7"/>
  <c r="E38" i="7"/>
  <c r="B38" i="7"/>
  <c r="E37" i="7"/>
  <c r="B37" i="7"/>
  <c r="E36" i="7"/>
  <c r="B36" i="7"/>
  <c r="E35" i="7"/>
  <c r="B35" i="7"/>
  <c r="B34" i="7"/>
  <c r="E33" i="7"/>
  <c r="B33" i="7"/>
  <c r="E32" i="7"/>
  <c r="B32" i="7"/>
  <c r="E31" i="7"/>
  <c r="D31" i="7"/>
  <c r="B31" i="7"/>
  <c r="E30" i="7"/>
  <c r="D30" i="7"/>
  <c r="B30" i="7"/>
  <c r="H19" i="7"/>
  <c r="E19" i="7"/>
  <c r="D19" i="7"/>
  <c r="C19" i="7"/>
  <c r="B19" i="7"/>
  <c r="H18" i="7"/>
  <c r="E18" i="7"/>
  <c r="D18" i="7"/>
  <c r="C18" i="7"/>
  <c r="B18" i="7"/>
  <c r="H15" i="7"/>
  <c r="E14" i="7"/>
  <c r="D14" i="7"/>
  <c r="C14" i="7"/>
  <c r="E13" i="7"/>
  <c r="D13" i="7"/>
  <c r="C13" i="7"/>
  <c r="B13" i="7"/>
  <c r="E12" i="7"/>
  <c r="D12" i="7"/>
  <c r="B12" i="7"/>
  <c r="I11" i="7"/>
  <c r="H11" i="7"/>
  <c r="F11" i="7"/>
  <c r="H10" i="7"/>
  <c r="F10" i="7"/>
  <c r="H9" i="7"/>
  <c r="F9" i="7"/>
  <c r="D9" i="7"/>
  <c r="B9" i="7"/>
  <c r="J8" i="7"/>
  <c r="I8" i="7"/>
  <c r="H8" i="7"/>
  <c r="D5" i="7" s="1"/>
  <c r="F8" i="7"/>
  <c r="J7" i="7"/>
  <c r="I7" i="7"/>
  <c r="H7" i="7"/>
  <c r="F7" i="7"/>
  <c r="J6" i="7"/>
  <c r="I6" i="7"/>
  <c r="H6" i="7"/>
  <c r="F6" i="7"/>
  <c r="B6" i="7"/>
  <c r="J5" i="7"/>
  <c r="I5" i="7"/>
  <c r="H5" i="7"/>
  <c r="D6" i="7" s="1"/>
  <c r="F5" i="7"/>
  <c r="B5" i="7"/>
  <c r="D514" i="1"/>
  <c r="P514" i="1" s="1"/>
  <c r="D513" i="1"/>
  <c r="P513" i="1" s="1"/>
  <c r="D512" i="1"/>
  <c r="P512" i="1" s="1"/>
  <c r="D511" i="1"/>
  <c r="P511" i="1" s="1"/>
  <c r="D510" i="1"/>
  <c r="P510" i="1" s="1"/>
  <c r="D509" i="1"/>
  <c r="P509" i="1" s="1"/>
  <c r="D506" i="1"/>
  <c r="P506" i="1" s="1"/>
  <c r="D505" i="1"/>
  <c r="P505" i="1" s="1"/>
  <c r="D504" i="1"/>
  <c r="P504" i="1" s="1"/>
  <c r="D503" i="1"/>
  <c r="P503" i="1" s="1"/>
  <c r="D502" i="1"/>
  <c r="P502" i="1" s="1"/>
  <c r="D501" i="1"/>
  <c r="P501" i="1" s="1"/>
  <c r="D500" i="1"/>
  <c r="P500" i="1" s="1"/>
  <c r="D497" i="1"/>
  <c r="P497" i="1" s="1"/>
  <c r="D496" i="1"/>
  <c r="P496" i="1" s="1"/>
  <c r="D495" i="1"/>
  <c r="P495" i="1" s="1"/>
  <c r="D492" i="1"/>
  <c r="P492" i="1" s="1"/>
  <c r="D491" i="1"/>
  <c r="P491" i="1" s="1"/>
  <c r="D490" i="1"/>
  <c r="P490" i="1" s="1"/>
  <c r="D489" i="1"/>
  <c r="P489" i="1" s="1"/>
  <c r="D488" i="1"/>
  <c r="P488" i="1" s="1"/>
  <c r="D487" i="1"/>
  <c r="P487" i="1" s="1"/>
  <c r="D486" i="1"/>
  <c r="P486" i="1" s="1"/>
  <c r="D485" i="1"/>
  <c r="P485" i="1" s="1"/>
  <c r="D484" i="1"/>
  <c r="P484" i="1" s="1"/>
  <c r="D483" i="1"/>
  <c r="P483" i="1" s="1"/>
  <c r="D482" i="1"/>
  <c r="P482" i="1" s="1"/>
  <c r="D479" i="1"/>
  <c r="P479" i="1" s="1"/>
  <c r="D478" i="1"/>
  <c r="P478" i="1" s="1"/>
  <c r="D477" i="1"/>
  <c r="P477" i="1" s="1"/>
  <c r="D474" i="1"/>
  <c r="P474" i="1" s="1"/>
  <c r="D473" i="1"/>
  <c r="P473" i="1" s="1"/>
  <c r="D472" i="1"/>
  <c r="P472" i="1" s="1"/>
  <c r="D471" i="1"/>
  <c r="P471" i="1" s="1"/>
  <c r="D187" i="1"/>
  <c r="P187" i="1" s="1"/>
  <c r="D186" i="1"/>
  <c r="P186" i="1" s="1"/>
  <c r="D185" i="1"/>
  <c r="P185" i="1" s="1"/>
  <c r="D184" i="1"/>
  <c r="P184" i="1" s="1"/>
  <c r="D183" i="1"/>
  <c r="P183" i="1" s="1"/>
  <c r="D180" i="1"/>
  <c r="P180" i="1" s="1"/>
  <c r="D179" i="1"/>
  <c r="P179" i="1" s="1"/>
  <c r="D178" i="1"/>
  <c r="P178" i="1" s="1"/>
  <c r="D177" i="1"/>
  <c r="P177" i="1" s="1"/>
  <c r="D176" i="1"/>
  <c r="P176" i="1" s="1"/>
  <c r="D172" i="1"/>
  <c r="P172" i="1" s="1"/>
  <c r="D171" i="1"/>
  <c r="P171" i="1" s="1"/>
  <c r="D170" i="1"/>
  <c r="P170" i="1" s="1"/>
  <c r="D169" i="1"/>
  <c r="P169" i="1" s="1"/>
  <c r="D155" i="1"/>
  <c r="D154" i="1"/>
  <c r="P154" i="1" s="1"/>
  <c r="D153" i="1"/>
  <c r="P153" i="1" s="1"/>
  <c r="D152" i="1"/>
  <c r="P152" i="1" s="1"/>
  <c r="D146" i="1"/>
  <c r="P146" i="1" s="1"/>
  <c r="D135" i="1"/>
  <c r="P135" i="1" s="1"/>
  <c r="D134" i="1"/>
  <c r="P134" i="1" s="1"/>
  <c r="D123" i="1"/>
  <c r="P123" i="1" s="1"/>
  <c r="D106" i="1"/>
  <c r="P106" i="1" s="1"/>
  <c r="D105" i="1"/>
  <c r="P105" i="1" s="1"/>
  <c r="D89" i="1"/>
  <c r="P89" i="1" s="1"/>
  <c r="D80" i="1"/>
  <c r="P80" i="1" s="1"/>
  <c r="D79" i="1"/>
  <c r="P79" i="1" s="1"/>
  <c r="D78" i="1"/>
  <c r="P78" i="1" s="1"/>
  <c r="D77" i="1"/>
  <c r="P77" i="1" s="1"/>
  <c r="D76" i="1"/>
  <c r="P76" i="1" s="1"/>
  <c r="D75" i="1"/>
  <c r="P75" i="1" s="1"/>
  <c r="D74" i="1"/>
  <c r="P74" i="1" s="1"/>
  <c r="D73" i="1"/>
  <c r="P73" i="1" s="1"/>
  <c r="D417" i="1"/>
  <c r="P417" i="1" s="1"/>
  <c r="D416" i="1"/>
  <c r="P416" i="1" s="1"/>
  <c r="D415" i="1"/>
  <c r="P415" i="1" s="1"/>
  <c r="D414" i="1"/>
  <c r="P414" i="1" s="1"/>
  <c r="D413" i="1"/>
  <c r="P413" i="1" s="1"/>
  <c r="D412" i="1"/>
  <c r="P412" i="1" s="1"/>
  <c r="D411" i="1"/>
  <c r="P411" i="1" s="1"/>
  <c r="D410" i="1"/>
  <c r="P410" i="1" s="1"/>
  <c r="D400" i="1"/>
  <c r="P400" i="1" s="1"/>
  <c r="D399" i="1"/>
  <c r="P399" i="1" s="1"/>
  <c r="D386" i="1"/>
  <c r="P386" i="1" s="1"/>
  <c r="D333" i="1"/>
  <c r="P333" i="1" s="1"/>
  <c r="D331" i="1"/>
  <c r="P331" i="1" s="1"/>
  <c r="D329" i="1"/>
  <c r="P329" i="1" s="1"/>
  <c r="D303" i="1"/>
  <c r="P303" i="1" s="1"/>
  <c r="D301" i="1"/>
  <c r="P301" i="1" s="1"/>
  <c r="D299" i="1"/>
  <c r="P299" i="1" s="1"/>
  <c r="D774" i="1"/>
  <c r="P774" i="1" s="1"/>
  <c r="D773" i="1"/>
  <c r="P773" i="1" s="1"/>
  <c r="D772" i="1"/>
  <c r="P772" i="1" s="1"/>
  <c r="D770" i="1"/>
  <c r="P770" i="1" s="1"/>
  <c r="D769" i="1"/>
  <c r="P769" i="1" s="1"/>
  <c r="D768" i="1"/>
  <c r="P768" i="1" s="1"/>
  <c r="D764" i="1"/>
  <c r="P764" i="1" s="1"/>
  <c r="D763" i="1"/>
  <c r="P763" i="1" s="1"/>
  <c r="D762" i="1"/>
  <c r="P762" i="1" s="1"/>
  <c r="D761" i="1"/>
  <c r="P761" i="1" s="1"/>
  <c r="D760" i="1"/>
  <c r="P760" i="1" s="1"/>
  <c r="D759" i="1"/>
  <c r="P759" i="1" s="1"/>
  <c r="D758" i="1"/>
  <c r="P758" i="1" s="1"/>
  <c r="D757" i="1"/>
  <c r="P757" i="1" s="1"/>
  <c r="D756" i="1"/>
  <c r="P756" i="1" s="1"/>
  <c r="D755" i="1"/>
  <c r="P755" i="1" s="1"/>
  <c r="D754" i="1"/>
  <c r="P754" i="1" s="1"/>
  <c r="D753" i="1"/>
  <c r="P753" i="1" s="1"/>
  <c r="D752" i="1"/>
  <c r="P752" i="1" s="1"/>
  <c r="D751" i="1"/>
  <c r="P751" i="1" s="1"/>
  <c r="D750" i="1"/>
  <c r="P750" i="1" s="1"/>
  <c r="D749" i="1"/>
  <c r="P749" i="1" s="1"/>
  <c r="D748" i="1"/>
  <c r="P748" i="1" s="1"/>
  <c r="D747" i="1"/>
  <c r="P747" i="1" s="1"/>
  <c r="D746" i="1"/>
  <c r="P746" i="1" s="1"/>
  <c r="D745" i="1"/>
  <c r="P745" i="1" s="1"/>
  <c r="D744" i="1"/>
  <c r="P744" i="1" s="1"/>
  <c r="D743" i="1"/>
  <c r="P743" i="1" s="1"/>
  <c r="D742" i="1"/>
  <c r="P742" i="1" s="1"/>
  <c r="D741" i="1"/>
  <c r="P741" i="1" s="1"/>
  <c r="D740" i="1"/>
  <c r="P740" i="1" s="1"/>
  <c r="D739" i="1"/>
  <c r="P739" i="1" s="1"/>
  <c r="D738" i="1"/>
  <c r="P738" i="1" s="1"/>
  <c r="D737" i="1"/>
  <c r="P737" i="1" s="1"/>
  <c r="D736" i="1"/>
  <c r="P736" i="1" s="1"/>
  <c r="D732" i="1"/>
  <c r="P732" i="1" s="1"/>
  <c r="D731" i="1"/>
  <c r="P731" i="1" s="1"/>
  <c r="D730" i="1"/>
  <c r="P730" i="1" s="1"/>
  <c r="D729" i="1"/>
  <c r="P729" i="1" s="1"/>
  <c r="D728" i="1"/>
  <c r="P728" i="1" s="1"/>
  <c r="D727" i="1"/>
  <c r="P727" i="1" s="1"/>
  <c r="D726" i="1"/>
  <c r="P726" i="1" s="1"/>
  <c r="D725" i="1"/>
  <c r="P725" i="1" s="1"/>
  <c r="D724" i="1"/>
  <c r="P724" i="1" s="1"/>
  <c r="D723" i="1"/>
  <c r="P723" i="1" s="1"/>
  <c r="D722" i="1"/>
  <c r="P722" i="1" s="1"/>
  <c r="D721" i="1"/>
  <c r="P721" i="1" s="1"/>
  <c r="D720" i="1"/>
  <c r="P720" i="1" s="1"/>
  <c r="D719" i="1"/>
  <c r="P719" i="1" s="1"/>
  <c r="D718" i="1"/>
  <c r="P718" i="1" s="1"/>
  <c r="D717" i="1"/>
  <c r="P717" i="1" s="1"/>
  <c r="D716" i="1"/>
  <c r="P716" i="1" s="1"/>
  <c r="D715" i="1"/>
  <c r="P715" i="1" s="1"/>
  <c r="D714" i="1"/>
  <c r="P714" i="1" s="1"/>
  <c r="D713" i="1"/>
  <c r="P713" i="1" s="1"/>
  <c r="D712" i="1"/>
  <c r="P712" i="1" s="1"/>
  <c r="D711" i="1"/>
  <c r="P711" i="1" s="1"/>
  <c r="D710" i="1"/>
  <c r="P710" i="1" s="1"/>
  <c r="D709" i="1"/>
  <c r="P709" i="1" s="1"/>
  <c r="D708" i="1"/>
  <c r="P708" i="1" s="1"/>
  <c r="D707" i="1"/>
  <c r="P707" i="1" s="1"/>
  <c r="D706" i="1"/>
  <c r="P706" i="1" s="1"/>
  <c r="D705" i="1"/>
  <c r="P705" i="1" s="1"/>
  <c r="D704" i="1"/>
  <c r="P704" i="1" s="1"/>
  <c r="D700" i="1"/>
  <c r="P700" i="1" s="1"/>
  <c r="D699" i="1"/>
  <c r="P699" i="1" s="1"/>
  <c r="D698" i="1"/>
  <c r="P698" i="1" s="1"/>
  <c r="D697" i="1"/>
  <c r="P697" i="1" s="1"/>
  <c r="D696" i="1"/>
  <c r="P696" i="1" s="1"/>
  <c r="D695" i="1"/>
  <c r="P695" i="1" s="1"/>
  <c r="D694" i="1"/>
  <c r="P694" i="1" s="1"/>
  <c r="D693" i="1"/>
  <c r="P693" i="1" s="1"/>
  <c r="D692" i="1"/>
  <c r="P692" i="1" s="1"/>
  <c r="D691" i="1"/>
  <c r="P691" i="1" s="1"/>
  <c r="D690" i="1"/>
  <c r="P690" i="1" s="1"/>
  <c r="D689" i="1"/>
  <c r="P689" i="1" s="1"/>
  <c r="D688" i="1"/>
  <c r="P688" i="1" s="1"/>
  <c r="D687" i="1"/>
  <c r="P687" i="1" s="1"/>
  <c r="D686" i="1"/>
  <c r="P686" i="1" s="1"/>
  <c r="D685" i="1"/>
  <c r="P685" i="1" s="1"/>
  <c r="D684" i="1"/>
  <c r="P684" i="1" s="1"/>
  <c r="D683" i="1"/>
  <c r="P683" i="1" s="1"/>
  <c r="D682" i="1"/>
  <c r="P682" i="1" s="1"/>
  <c r="D681" i="1"/>
  <c r="P681" i="1" s="1"/>
  <c r="D680" i="1"/>
  <c r="P680" i="1" s="1"/>
  <c r="D679" i="1"/>
  <c r="P679" i="1" s="1"/>
  <c r="D678" i="1"/>
  <c r="P678" i="1" s="1"/>
  <c r="D677" i="1"/>
  <c r="P677" i="1" s="1"/>
  <c r="D676" i="1"/>
  <c r="P676" i="1" s="1"/>
  <c r="D675" i="1"/>
  <c r="P675" i="1" s="1"/>
  <c r="D674" i="1"/>
  <c r="P674" i="1" s="1"/>
  <c r="D673" i="1"/>
  <c r="P673" i="1" s="1"/>
  <c r="D672" i="1"/>
  <c r="P672" i="1" s="1"/>
  <c r="B667" i="1"/>
  <c r="B666" i="1"/>
  <c r="B665" i="1"/>
  <c r="B664" i="1"/>
  <c r="B663" i="1"/>
  <c r="B662" i="1"/>
  <c r="B661" i="1"/>
  <c r="B660" i="1"/>
  <c r="B659" i="1"/>
  <c r="B658" i="1"/>
  <c r="B657" i="1"/>
  <c r="B656" i="1"/>
  <c r="B655" i="1"/>
  <c r="B654" i="1"/>
  <c r="B653" i="1"/>
  <c r="B652" i="1"/>
  <c r="B651" i="1"/>
  <c r="B650" i="1"/>
  <c r="B649" i="1"/>
  <c r="B648" i="1"/>
  <c r="B647" i="1"/>
  <c r="B646" i="1"/>
  <c r="L646" i="1" s="1"/>
  <c r="K646" i="1" s="1"/>
  <c r="B645" i="1"/>
  <c r="B644" i="1"/>
  <c r="B643" i="1"/>
  <c r="B642" i="1"/>
  <c r="B641" i="1"/>
  <c r="B640" i="1"/>
  <c r="B639" i="1"/>
  <c r="B638" i="1"/>
  <c r="B637" i="1"/>
  <c r="B636" i="1"/>
  <c r="B635" i="1"/>
  <c r="B634" i="1"/>
  <c r="B633" i="1"/>
  <c r="B632" i="1"/>
  <c r="L632" i="1" s="1"/>
  <c r="K632" i="1" s="1"/>
  <c r="D631" i="1"/>
  <c r="P631" i="1" s="1"/>
  <c r="B629" i="1"/>
  <c r="B628" i="1"/>
  <c r="B627" i="1"/>
  <c r="B626" i="1"/>
  <c r="B625" i="1"/>
  <c r="B624" i="1"/>
  <c r="B623" i="1"/>
  <c r="B622" i="1"/>
  <c r="B621" i="1"/>
  <c r="B620" i="1"/>
  <c r="B619" i="1"/>
  <c r="B618" i="1"/>
  <c r="B617" i="1"/>
  <c r="B616" i="1"/>
  <c r="B615" i="1"/>
  <c r="B614" i="1"/>
  <c r="B613" i="1"/>
  <c r="B612" i="1"/>
  <c r="B611" i="1"/>
  <c r="B610" i="1"/>
  <c r="B609" i="1"/>
  <c r="B608" i="1"/>
  <c r="L608" i="1" s="1"/>
  <c r="K608" i="1" s="1"/>
  <c r="B607" i="1"/>
  <c r="B606" i="1"/>
  <c r="B605" i="1"/>
  <c r="B604" i="1"/>
  <c r="B603" i="1"/>
  <c r="B602" i="1"/>
  <c r="B601" i="1"/>
  <c r="B600" i="1"/>
  <c r="B599" i="1"/>
  <c r="B598" i="1"/>
  <c r="B597" i="1"/>
  <c r="B596" i="1"/>
  <c r="B595" i="1"/>
  <c r="B594" i="1"/>
  <c r="D593" i="1"/>
  <c r="P593" i="1" s="1"/>
  <c r="B591" i="1"/>
  <c r="B590" i="1"/>
  <c r="B589" i="1"/>
  <c r="B588" i="1"/>
  <c r="B587" i="1"/>
  <c r="B586" i="1"/>
  <c r="B585" i="1"/>
  <c r="B584" i="1"/>
  <c r="B583" i="1"/>
  <c r="B582" i="1"/>
  <c r="B581" i="1"/>
  <c r="B580" i="1"/>
  <c r="B579" i="1"/>
  <c r="B578" i="1"/>
  <c r="B577" i="1"/>
  <c r="B576" i="1"/>
  <c r="B575" i="1"/>
  <c r="B574" i="1"/>
  <c r="B573" i="1"/>
  <c r="B572" i="1"/>
  <c r="B571" i="1"/>
  <c r="B570" i="1"/>
  <c r="L570" i="1" s="1"/>
  <c r="K570" i="1" s="1"/>
  <c r="B569" i="1"/>
  <c r="B568" i="1"/>
  <c r="B567" i="1"/>
  <c r="B566" i="1"/>
  <c r="B565" i="1"/>
  <c r="B564" i="1"/>
  <c r="B563" i="1"/>
  <c r="B562" i="1"/>
  <c r="B561" i="1"/>
  <c r="B560" i="1"/>
  <c r="B559" i="1"/>
  <c r="B558" i="1"/>
  <c r="B557" i="1"/>
  <c r="B556" i="1"/>
  <c r="L556" i="1" s="1"/>
  <c r="K556" i="1" s="1"/>
  <c r="D555" i="1"/>
  <c r="P555" i="1" s="1"/>
  <c r="B553" i="1"/>
  <c r="B552" i="1"/>
  <c r="B551" i="1"/>
  <c r="B550" i="1"/>
  <c r="B549" i="1"/>
  <c r="B548" i="1"/>
  <c r="B547" i="1"/>
  <c r="B546" i="1"/>
  <c r="B545" i="1"/>
  <c r="B544" i="1"/>
  <c r="B543" i="1"/>
  <c r="B542" i="1"/>
  <c r="B541" i="1"/>
  <c r="B540" i="1"/>
  <c r="B539" i="1"/>
  <c r="B538" i="1"/>
  <c r="B537" i="1"/>
  <c r="B536" i="1"/>
  <c r="B535" i="1"/>
  <c r="B534" i="1"/>
  <c r="D533" i="1"/>
  <c r="P533" i="1" s="1"/>
  <c r="B533" i="1"/>
  <c r="B532" i="1"/>
  <c r="B531" i="1"/>
  <c r="B530" i="1"/>
  <c r="B529" i="1"/>
  <c r="B528" i="1"/>
  <c r="B527" i="1"/>
  <c r="B526" i="1"/>
  <c r="B525" i="1"/>
  <c r="B524" i="1"/>
  <c r="L524" i="1" s="1"/>
  <c r="K524" i="1" s="1"/>
  <c r="B523" i="1"/>
  <c r="B522" i="1"/>
  <c r="B521" i="1"/>
  <c r="C839" i="1"/>
  <c r="B839" i="1"/>
  <c r="C838" i="1"/>
  <c r="B838" i="1"/>
  <c r="C837" i="1"/>
  <c r="B837" i="1"/>
  <c r="C836" i="1"/>
  <c r="B836" i="1"/>
  <c r="B835" i="1"/>
  <c r="I835" i="1" s="1"/>
  <c r="C833" i="1"/>
  <c r="B833" i="1"/>
  <c r="D832" i="1"/>
  <c r="P832" i="1" s="1"/>
  <c r="C832" i="1"/>
  <c r="D831" i="1"/>
  <c r="P831" i="1" s="1"/>
  <c r="C831" i="1"/>
  <c r="D830" i="1"/>
  <c r="P830" i="1" s="1"/>
  <c r="C830" i="1"/>
  <c r="B829" i="1"/>
  <c r="C828" i="1"/>
  <c r="B828" i="1"/>
  <c r="D827" i="1"/>
  <c r="P827" i="1" s="1"/>
  <c r="C827" i="1"/>
  <c r="D826" i="1"/>
  <c r="P826" i="1" s="1"/>
  <c r="C826" i="1"/>
  <c r="D825" i="1"/>
  <c r="P825" i="1" s="1"/>
  <c r="C825" i="1"/>
  <c r="B824" i="1"/>
  <c r="C823" i="1"/>
  <c r="B823" i="1"/>
  <c r="D822" i="1"/>
  <c r="P822" i="1" s="1"/>
  <c r="C822" i="1"/>
  <c r="D821" i="1"/>
  <c r="P821" i="1" s="1"/>
  <c r="C821" i="1"/>
  <c r="D820" i="1"/>
  <c r="P820" i="1" s="1"/>
  <c r="C820" i="1"/>
  <c r="B819" i="1"/>
  <c r="C818" i="1"/>
  <c r="B818" i="1"/>
  <c r="D817" i="1"/>
  <c r="P817" i="1" s="1"/>
  <c r="C817" i="1"/>
  <c r="D816" i="1"/>
  <c r="P816" i="1" s="1"/>
  <c r="C816" i="1"/>
  <c r="B815" i="1"/>
  <c r="B814" i="1"/>
  <c r="I814" i="1" s="1"/>
  <c r="J814" i="1" s="1"/>
  <c r="C812" i="1"/>
  <c r="B812" i="1"/>
  <c r="C811" i="1"/>
  <c r="D810" i="1"/>
  <c r="P810" i="1" s="1"/>
  <c r="C810" i="1"/>
  <c r="B810" i="1"/>
  <c r="B809" i="1"/>
  <c r="C807" i="1"/>
  <c r="B807" i="1"/>
  <c r="D806" i="1"/>
  <c r="P806" i="1" s="1"/>
  <c r="C806" i="1"/>
  <c r="D805" i="1"/>
  <c r="P805" i="1" s="1"/>
  <c r="C805" i="1"/>
  <c r="D804" i="1"/>
  <c r="P804" i="1" s="1"/>
  <c r="C804" i="1"/>
  <c r="B803" i="1"/>
  <c r="C802" i="1"/>
  <c r="C801" i="1"/>
  <c r="B801" i="1"/>
  <c r="C800" i="1"/>
  <c r="B800" i="1"/>
  <c r="C799" i="1"/>
  <c r="B799" i="1"/>
  <c r="B798" i="1"/>
  <c r="C797" i="1"/>
  <c r="B797" i="1"/>
  <c r="C796" i="1"/>
  <c r="B796" i="1"/>
  <c r="B795" i="1"/>
  <c r="C793" i="1"/>
  <c r="B793" i="1"/>
  <c r="C792" i="1"/>
  <c r="B792" i="1"/>
  <c r="C791" i="1"/>
  <c r="B791" i="1"/>
  <c r="B790" i="1"/>
  <c r="C789" i="1"/>
  <c r="B789" i="1"/>
  <c r="D788" i="1"/>
  <c r="P788" i="1" s="1"/>
  <c r="C788" i="1"/>
  <c r="D787" i="1"/>
  <c r="P787" i="1" s="1"/>
  <c r="C787" i="1"/>
  <c r="D786" i="1"/>
  <c r="P786" i="1" s="1"/>
  <c r="C786" i="1"/>
  <c r="B785" i="1"/>
  <c r="C784" i="1"/>
  <c r="B784" i="1"/>
  <c r="D783" i="1"/>
  <c r="P783" i="1" s="1"/>
  <c r="C783" i="1"/>
  <c r="D782" i="1"/>
  <c r="P782" i="1" s="1"/>
  <c r="C782" i="1"/>
  <c r="D781" i="1"/>
  <c r="P781" i="1" s="1"/>
  <c r="C781" i="1"/>
  <c r="D780" i="1"/>
  <c r="P780" i="1" s="1"/>
  <c r="C780" i="1"/>
  <c r="D779" i="1"/>
  <c r="P779" i="1" s="1"/>
  <c r="C779" i="1"/>
  <c r="B778" i="1"/>
  <c r="L778" i="1" s="1"/>
  <c r="K778" i="1" s="1"/>
  <c r="B777" i="1"/>
  <c r="D735" i="1"/>
  <c r="P735" i="1" s="1"/>
  <c r="D703" i="1"/>
  <c r="P703" i="1" s="1"/>
  <c r="D671" i="1"/>
  <c r="P671" i="1" s="1"/>
  <c r="D521" i="1"/>
  <c r="P521" i="1" s="1"/>
  <c r="B250" i="1"/>
  <c r="B249" i="1"/>
  <c r="B248" i="1"/>
  <c r="B245" i="1"/>
  <c r="B244" i="1"/>
  <c r="B243" i="1"/>
  <c r="B242" i="1"/>
  <c r="B239" i="1"/>
  <c r="B238" i="1"/>
  <c r="B237" i="1"/>
  <c r="B236" i="1"/>
  <c r="B233" i="1"/>
  <c r="B232" i="1"/>
  <c r="B231" i="1"/>
  <c r="B230" i="1"/>
  <c r="B229" i="1"/>
  <c r="B228" i="1"/>
  <c r="B227" i="1"/>
  <c r="B226" i="1"/>
  <c r="B225" i="1"/>
  <c r="B224" i="1"/>
  <c r="B223" i="1"/>
  <c r="B222" i="1"/>
  <c r="B221" i="1"/>
  <c r="B220" i="1"/>
  <c r="B219" i="1"/>
  <c r="B216" i="1"/>
  <c r="B215" i="1"/>
  <c r="B214" i="1"/>
  <c r="B213" i="1"/>
  <c r="B212" i="1"/>
  <c r="B211" i="1"/>
  <c r="B210" i="1"/>
  <c r="B209" i="1"/>
  <c r="B208" i="1"/>
  <c r="B207" i="1"/>
  <c r="B206" i="1"/>
  <c r="B205" i="1"/>
  <c r="B204" i="1"/>
  <c r="B203" i="1"/>
  <c r="B200" i="1"/>
  <c r="B199" i="1"/>
  <c r="B198" i="1"/>
  <c r="B197" i="1"/>
  <c r="B196" i="1"/>
  <c r="B195" i="1"/>
  <c r="F466" i="1"/>
  <c r="R466" i="1" s="1"/>
  <c r="F465" i="1"/>
  <c r="R465" i="1" s="1"/>
  <c r="F461" i="1"/>
  <c r="R461" i="1" s="1"/>
  <c r="F443" i="1"/>
  <c r="R443" i="1" s="1"/>
  <c r="F442" i="1"/>
  <c r="R442" i="1" s="1"/>
  <c r="F438" i="1"/>
  <c r="R438" i="1" s="1"/>
  <c r="D61" i="1"/>
  <c r="P61" i="1" s="1"/>
  <c r="D60" i="1"/>
  <c r="P60" i="1" s="1"/>
  <c r="U7" i="17" l="1"/>
  <c r="P155" i="1"/>
  <c r="U44" i="17"/>
  <c r="I803" i="1"/>
  <c r="J803" i="1" s="1"/>
  <c r="L594" i="1"/>
  <c r="K594" i="1" s="1"/>
  <c r="L314" i="1"/>
  <c r="K314" i="1" s="1"/>
  <c r="I77" i="1"/>
  <c r="L560" i="1"/>
  <c r="K560" i="1" s="1"/>
  <c r="L636" i="1"/>
  <c r="K636" i="1" s="1"/>
  <c r="L598" i="1"/>
  <c r="K598" i="1" s="1"/>
  <c r="L81" i="1"/>
  <c r="K81" i="1" s="1"/>
  <c r="L137" i="1"/>
  <c r="K137" i="1" s="1"/>
  <c r="L161" i="1"/>
  <c r="K161" i="1" s="1"/>
  <c r="L201" i="1"/>
  <c r="K201" i="1" s="1"/>
  <c r="L257" i="1"/>
  <c r="K257" i="1" s="1"/>
  <c r="L293" i="1"/>
  <c r="K293" i="1" s="1"/>
  <c r="L305" i="1"/>
  <c r="K305" i="1" s="1"/>
  <c r="L785" i="1"/>
  <c r="L441" i="1"/>
  <c r="K441" i="1" s="1"/>
  <c r="L165" i="1"/>
  <c r="K165" i="1" s="1"/>
  <c r="L173" i="1"/>
  <c r="K173" i="1" s="1"/>
  <c r="L777" i="1"/>
  <c r="K777" i="1" s="1"/>
  <c r="L357" i="1"/>
  <c r="K357" i="1" s="1"/>
  <c r="L765" i="1"/>
  <c r="I813" i="1"/>
  <c r="J813" i="1" s="1"/>
  <c r="I785" i="1"/>
  <c r="L41" i="1"/>
  <c r="K41" i="1" s="1"/>
  <c r="N2" i="1"/>
  <c r="I80" i="1"/>
  <c r="I154" i="1"/>
  <c r="J504" i="1"/>
  <c r="I821" i="1"/>
  <c r="J821" i="1" s="1"/>
  <c r="H27" i="4"/>
  <c r="F123" i="1" s="1"/>
  <c r="R123" i="1" s="1"/>
  <c r="F27" i="4"/>
  <c r="F106" i="1" s="1"/>
  <c r="R106" i="1" s="1"/>
  <c r="D27" i="4"/>
  <c r="F26" i="4"/>
  <c r="H10" i="8"/>
  <c r="H11" i="8"/>
  <c r="H14" i="9"/>
  <c r="G65" i="9"/>
  <c r="D59" i="6"/>
  <c r="D19" i="11"/>
  <c r="D21" i="1"/>
  <c r="P21" i="1" s="1"/>
  <c r="I21" i="1" s="1"/>
  <c r="H154" i="1"/>
  <c r="T154" i="1" s="1"/>
  <c r="H151" i="1"/>
  <c r="T151" i="1" s="1"/>
  <c r="H172" i="1"/>
  <c r="T172" i="1" s="1"/>
  <c r="H171" i="1"/>
  <c r="T171" i="1" s="1"/>
  <c r="I171" i="1" s="1"/>
  <c r="I22" i="14"/>
  <c r="H713" i="1" s="1"/>
  <c r="T713" i="1" s="1"/>
  <c r="B27" i="14"/>
  <c r="I23" i="14"/>
  <c r="H714" i="1" s="1"/>
  <c r="T714" i="1" s="1"/>
  <c r="H49" i="7"/>
  <c r="H289" i="1" s="1"/>
  <c r="H48" i="7"/>
  <c r="H288" i="1" s="1"/>
  <c r="T288" i="1" s="1"/>
  <c r="I288" i="1" s="1"/>
  <c r="H38" i="7"/>
  <c r="H278" i="1" s="1"/>
  <c r="T278" i="1" s="1"/>
  <c r="H36" i="7"/>
  <c r="H276" i="1" s="1"/>
  <c r="T276" i="1" s="1"/>
  <c r="B276" i="1"/>
  <c r="I276" i="1" s="1"/>
  <c r="B271" i="1"/>
  <c r="D23" i="7"/>
  <c r="B502" i="1"/>
  <c r="B488" i="1"/>
  <c r="G25" i="12"/>
  <c r="B485" i="1"/>
  <c r="B472" i="1"/>
  <c r="L472" i="1" s="1"/>
  <c r="K472" i="1" s="1"/>
  <c r="F9" i="4"/>
  <c r="B75" i="1"/>
  <c r="L75" i="1" s="1"/>
  <c r="K75" i="1" s="1"/>
  <c r="B31" i="5"/>
  <c r="B6" i="5"/>
  <c r="B150" i="1" s="1"/>
  <c r="B366" i="1"/>
  <c r="A363" i="1"/>
  <c r="B339" i="1"/>
  <c r="E36" i="8"/>
  <c r="B308" i="1"/>
  <c r="B299" i="1"/>
  <c r="B762" i="1"/>
  <c r="I47" i="14"/>
  <c r="H729" i="1" s="1"/>
  <c r="F46" i="14"/>
  <c r="H696" i="1" s="1"/>
  <c r="T696" i="1" s="1"/>
  <c r="I45" i="14"/>
  <c r="H727" i="1" s="1"/>
  <c r="T727" i="1" s="1"/>
  <c r="F45" i="14"/>
  <c r="B754" i="1"/>
  <c r="I32" i="14"/>
  <c r="F32" i="14"/>
  <c r="I31" i="14"/>
  <c r="H720" i="1" s="1"/>
  <c r="B741" i="1"/>
  <c r="I10" i="14"/>
  <c r="H708" i="1" s="1"/>
  <c r="T708" i="1" s="1"/>
  <c r="F10" i="14"/>
  <c r="H676" i="1" s="1"/>
  <c r="T676" i="1" s="1"/>
  <c r="F9" i="14"/>
  <c r="I6" i="14"/>
  <c r="H704" i="1" s="1"/>
  <c r="T704" i="1" s="1"/>
  <c r="B54" i="1"/>
  <c r="B19" i="1"/>
  <c r="B29" i="1"/>
  <c r="B45" i="1"/>
  <c r="F10" i="8"/>
  <c r="F57" i="17"/>
  <c r="F51" i="17"/>
  <c r="H326" i="1"/>
  <c r="H822" i="1"/>
  <c r="T822" i="1" s="1"/>
  <c r="I822" i="1" s="1"/>
  <c r="H821" i="1"/>
  <c r="T821" i="1" s="1"/>
  <c r="L821" i="1" s="1"/>
  <c r="H820" i="1"/>
  <c r="T820" i="1" s="1"/>
  <c r="H806" i="1"/>
  <c r="T806" i="1" s="1"/>
  <c r="L806" i="1" s="1"/>
  <c r="H805" i="1"/>
  <c r="T805" i="1" s="1"/>
  <c r="H804" i="1"/>
  <c r="T804" i="1" s="1"/>
  <c r="I804" i="1" s="1"/>
  <c r="J804" i="1" s="1"/>
  <c r="I45" i="4"/>
  <c r="H192" i="1"/>
  <c r="T192" i="1" s="1"/>
  <c r="H356" i="1"/>
  <c r="T356" i="1" s="1"/>
  <c r="F38" i="8"/>
  <c r="H331" i="1" s="1"/>
  <c r="T331" i="1" s="1"/>
  <c r="I331" i="1" s="1"/>
  <c r="F41" i="8"/>
  <c r="H333" i="1" s="1"/>
  <c r="T333" i="1" s="1"/>
  <c r="I333" i="1" s="1"/>
  <c r="H337" i="1"/>
  <c r="T337" i="1" s="1"/>
  <c r="H329" i="1"/>
  <c r="T329" i="1" s="1"/>
  <c r="I329" i="1" s="1"/>
  <c r="E11" i="8"/>
  <c r="F11" i="8" s="1"/>
  <c r="E39" i="8"/>
  <c r="F39" i="8" s="1"/>
  <c r="H332" i="1" s="1"/>
  <c r="T332" i="1" s="1"/>
  <c r="F433" i="1"/>
  <c r="R433" i="1" s="1"/>
  <c r="H444" i="1"/>
  <c r="T444" i="1" s="1"/>
  <c r="H443" i="1"/>
  <c r="T443" i="1" s="1"/>
  <c r="H442" i="1"/>
  <c r="T442" i="1" s="1"/>
  <c r="H439" i="1"/>
  <c r="T439" i="1" s="1"/>
  <c r="H438" i="1"/>
  <c r="T438" i="1" s="1"/>
  <c r="H437" i="1"/>
  <c r="T437" i="1" s="1"/>
  <c r="H436" i="1"/>
  <c r="T436" i="1" s="1"/>
  <c r="H433" i="1"/>
  <c r="T433" i="1" s="1"/>
  <c r="H432" i="1"/>
  <c r="T432" i="1" s="1"/>
  <c r="H431" i="1"/>
  <c r="T431" i="1" s="1"/>
  <c r="H430" i="1"/>
  <c r="T430" i="1" s="1"/>
  <c r="H429" i="1"/>
  <c r="T429" i="1" s="1"/>
  <c r="H426" i="1"/>
  <c r="T426" i="1" s="1"/>
  <c r="H425" i="1"/>
  <c r="T425" i="1" s="1"/>
  <c r="H10" i="1"/>
  <c r="T10" i="1" s="1"/>
  <c r="H18" i="1"/>
  <c r="T18" i="1" s="1"/>
  <c r="H14" i="1"/>
  <c r="T14" i="1" s="1"/>
  <c r="H15" i="1"/>
  <c r="T15" i="1" s="1"/>
  <c r="H17" i="1"/>
  <c r="T17" i="1" s="1"/>
  <c r="H19" i="1"/>
  <c r="T19" i="1" s="1"/>
  <c r="H20" i="1"/>
  <c r="T20" i="1" s="1"/>
  <c r="H21" i="1"/>
  <c r="T21" i="1" s="1"/>
  <c r="H22" i="1"/>
  <c r="T22" i="1" s="1"/>
  <c r="H35" i="1"/>
  <c r="T35" i="1" s="1"/>
  <c r="H44" i="1"/>
  <c r="T44" i="1" s="1"/>
  <c r="H52" i="1"/>
  <c r="T52" i="1" s="1"/>
  <c r="H51" i="1"/>
  <c r="T51" i="1" s="1"/>
  <c r="H48" i="1"/>
  <c r="T48" i="1" s="1"/>
  <c r="H49" i="1"/>
  <c r="T49" i="1" s="1"/>
  <c r="H53" i="1"/>
  <c r="T53" i="1" s="1"/>
  <c r="H54" i="1"/>
  <c r="T54" i="1" s="1"/>
  <c r="H55" i="1"/>
  <c r="T55" i="1" s="1"/>
  <c r="H56" i="1"/>
  <c r="T56" i="1" s="1"/>
  <c r="H57" i="1"/>
  <c r="T57" i="1" s="1"/>
  <c r="H60" i="1"/>
  <c r="T60" i="1" s="1"/>
  <c r="I60" i="1" s="1"/>
  <c r="B60" i="1"/>
  <c r="H61" i="1"/>
  <c r="T61" i="1" s="1"/>
  <c r="I61" i="1" s="1"/>
  <c r="B61" i="1"/>
  <c r="H63" i="1"/>
  <c r="H65" i="1"/>
  <c r="H68" i="1"/>
  <c r="B73" i="1"/>
  <c r="H73" i="1"/>
  <c r="T73" i="1" s="1"/>
  <c r="I73" i="1" s="1"/>
  <c r="B74" i="1"/>
  <c r="H74" i="1"/>
  <c r="H75" i="1"/>
  <c r="T75" i="1" s="1"/>
  <c r="I75" i="1" s="1"/>
  <c r="B78" i="1"/>
  <c r="H78" i="1"/>
  <c r="T78" i="1" s="1"/>
  <c r="H76" i="1"/>
  <c r="T76" i="1" s="1"/>
  <c r="I76" i="1" s="1"/>
  <c r="H77" i="1"/>
  <c r="T77" i="1" s="1"/>
  <c r="H79" i="1"/>
  <c r="T79" i="1" s="1"/>
  <c r="I79" i="1" s="1"/>
  <c r="B79" i="1"/>
  <c r="H80" i="1"/>
  <c r="T80" i="1" s="1"/>
  <c r="B80" i="1"/>
  <c r="L80" i="1" s="1"/>
  <c r="K80" i="1" s="1"/>
  <c r="B83" i="1"/>
  <c r="H83" i="1"/>
  <c r="T83" i="1" s="1"/>
  <c r="H84" i="1"/>
  <c r="T84" i="1" s="1"/>
  <c r="H89" i="1"/>
  <c r="T89" i="1" s="1"/>
  <c r="H91" i="1"/>
  <c r="T91" i="1" s="1"/>
  <c r="H100" i="1"/>
  <c r="T100" i="1" s="1"/>
  <c r="H101" i="1"/>
  <c r="T101" i="1" s="1"/>
  <c r="H105" i="1"/>
  <c r="T105" i="1" s="1"/>
  <c r="H106" i="1"/>
  <c r="T106" i="1" s="1"/>
  <c r="H108" i="1"/>
  <c r="T108" i="1" s="1"/>
  <c r="B117" i="1"/>
  <c r="H117" i="1"/>
  <c r="T117" i="1" s="1"/>
  <c r="H125" i="1"/>
  <c r="T125" i="1" s="1"/>
  <c r="H118" i="1"/>
  <c r="T118" i="1" s="1"/>
  <c r="H123" i="1"/>
  <c r="T123" i="1" s="1"/>
  <c r="B131" i="1"/>
  <c r="H131" i="1"/>
  <c r="T131" i="1" s="1"/>
  <c r="H134" i="1"/>
  <c r="T134" i="1" s="1"/>
  <c r="I134" i="1" s="1"/>
  <c r="B134" i="1"/>
  <c r="H135" i="1"/>
  <c r="T135" i="1" s="1"/>
  <c r="I135" i="1" s="1"/>
  <c r="J135" i="1" s="1"/>
  <c r="B135" i="1"/>
  <c r="H140" i="1"/>
  <c r="H146" i="1"/>
  <c r="T146" i="1" s="1"/>
  <c r="I146" i="1" s="1"/>
  <c r="B146" i="1"/>
  <c r="B7" i="5"/>
  <c r="B151" i="1" s="1"/>
  <c r="B155" i="1"/>
  <c r="H152" i="1"/>
  <c r="T152" i="1" s="1"/>
  <c r="I152" i="1" s="1"/>
  <c r="H153" i="1"/>
  <c r="T153" i="1" s="1"/>
  <c r="H168" i="1"/>
  <c r="T168" i="1" s="1"/>
  <c r="B172" i="1"/>
  <c r="H169" i="1"/>
  <c r="T169" i="1" s="1"/>
  <c r="I169" i="1" s="1"/>
  <c r="H170" i="1"/>
  <c r="T170" i="1" s="1"/>
  <c r="I170" i="1" s="1"/>
  <c r="H176" i="1"/>
  <c r="B180" i="1"/>
  <c r="L180" i="1" s="1"/>
  <c r="K180" i="1" s="1"/>
  <c r="H180" i="1"/>
  <c r="T180" i="1" s="1"/>
  <c r="H177" i="1"/>
  <c r="T177" i="1" s="1"/>
  <c r="H178" i="1"/>
  <c r="T178" i="1" s="1"/>
  <c r="I178" i="1" s="1"/>
  <c r="H179" i="1"/>
  <c r="T179" i="1" s="1"/>
  <c r="I179" i="1" s="1"/>
  <c r="H183" i="1"/>
  <c r="B187" i="1"/>
  <c r="H187" i="1"/>
  <c r="T187" i="1" s="1"/>
  <c r="H184" i="1"/>
  <c r="T184" i="1" s="1"/>
  <c r="I184" i="1" s="1"/>
  <c r="H185" i="1"/>
  <c r="T185" i="1" s="1"/>
  <c r="I185" i="1" s="1"/>
  <c r="H186" i="1"/>
  <c r="T186" i="1" s="1"/>
  <c r="I186" i="1" s="1"/>
  <c r="H191" i="1"/>
  <c r="T191" i="1" s="1"/>
  <c r="H203" i="1"/>
  <c r="T203" i="1" s="1"/>
  <c r="H204" i="1"/>
  <c r="T204" i="1" s="1"/>
  <c r="H205" i="1"/>
  <c r="T205" i="1" s="1"/>
  <c r="H209" i="1"/>
  <c r="T209" i="1" s="1"/>
  <c r="H208" i="1"/>
  <c r="T208" i="1" s="1"/>
  <c r="H210" i="1"/>
  <c r="T210" i="1" s="1"/>
  <c r="H211" i="1"/>
  <c r="T211" i="1" s="1"/>
  <c r="H213" i="1"/>
  <c r="T213" i="1" s="1"/>
  <c r="H214" i="1"/>
  <c r="T214" i="1" s="1"/>
  <c r="H215" i="1"/>
  <c r="T215" i="1" s="1"/>
  <c r="H216" i="1"/>
  <c r="T216" i="1" s="1"/>
  <c r="H219" i="1"/>
  <c r="T219" i="1" s="1"/>
  <c r="H220" i="1"/>
  <c r="T220" i="1" s="1"/>
  <c r="H221" i="1"/>
  <c r="T221" i="1" s="1"/>
  <c r="H222" i="1"/>
  <c r="T222" i="1" s="1"/>
  <c r="H223" i="1"/>
  <c r="T223" i="1" s="1"/>
  <c r="H226" i="1"/>
  <c r="T226" i="1" s="1"/>
  <c r="H227" i="1"/>
  <c r="T227" i="1" s="1"/>
  <c r="H228" i="1"/>
  <c r="T228" i="1" s="1"/>
  <c r="H229" i="1"/>
  <c r="T229" i="1" s="1"/>
  <c r="H230" i="1"/>
  <c r="T230" i="1" s="1"/>
  <c r="H232" i="1"/>
  <c r="T232" i="1" s="1"/>
  <c r="H233" i="1"/>
  <c r="T233" i="1" s="1"/>
  <c r="H236" i="1"/>
  <c r="T236" i="1" s="1"/>
  <c r="H237" i="1"/>
  <c r="T237" i="1" s="1"/>
  <c r="H239" i="1"/>
  <c r="T239" i="1" s="1"/>
  <c r="H242" i="1"/>
  <c r="T242" i="1" s="1"/>
  <c r="H243" i="1"/>
  <c r="T243" i="1" s="1"/>
  <c r="H245" i="1"/>
  <c r="T245" i="1" s="1"/>
  <c r="H249" i="1"/>
  <c r="T249" i="1" s="1"/>
  <c r="H250" i="1"/>
  <c r="T250" i="1" s="1"/>
  <c r="B256" i="1"/>
  <c r="H256" i="1"/>
  <c r="T256" i="1" s="1"/>
  <c r="H261" i="1"/>
  <c r="T261" i="1" s="1"/>
  <c r="I261" i="1" s="1"/>
  <c r="B261" i="1"/>
  <c r="D29" i="7"/>
  <c r="D24" i="7"/>
  <c r="B265" i="1"/>
  <c r="H265" i="1"/>
  <c r="T265" i="1" s="1"/>
  <c r="B270" i="1"/>
  <c r="I270" i="1" s="1"/>
  <c r="H270" i="1"/>
  <c r="T270" i="1" s="1"/>
  <c r="H271" i="1"/>
  <c r="T271" i="1" s="1"/>
  <c r="H32" i="7"/>
  <c r="H272" i="1" s="1"/>
  <c r="T272" i="1" s="1"/>
  <c r="H33" i="7"/>
  <c r="H273" i="1" s="1"/>
  <c r="T273" i="1" s="1"/>
  <c r="H35" i="7"/>
  <c r="H275" i="1" s="1"/>
  <c r="T275" i="1" s="1"/>
  <c r="H37" i="7"/>
  <c r="H277" i="1" s="1"/>
  <c r="T277" i="1" s="1"/>
  <c r="H39" i="7"/>
  <c r="H279" i="1" s="1"/>
  <c r="T279" i="1" s="1"/>
  <c r="B280" i="1"/>
  <c r="H280" i="1"/>
  <c r="T280" i="1" s="1"/>
  <c r="B281" i="1"/>
  <c r="H281" i="1"/>
  <c r="T281" i="1" s="1"/>
  <c r="J281" i="1" s="1"/>
  <c r="D44" i="7"/>
  <c r="H44" i="7" s="1"/>
  <c r="H284" i="1" s="1"/>
  <c r="B285" i="1"/>
  <c r="H285" i="1"/>
  <c r="T285" i="1" s="1"/>
  <c r="L285" i="1" s="1"/>
  <c r="K285" i="1" s="1"/>
  <c r="H50" i="7"/>
  <c r="H290" i="1" s="1"/>
  <c r="T290" i="1" s="1"/>
  <c r="I290" i="1" s="1"/>
  <c r="B291" i="1"/>
  <c r="H291" i="1"/>
  <c r="T291" i="1" s="1"/>
  <c r="H294" i="1"/>
  <c r="T294" i="1" s="1"/>
  <c r="I294" i="1" s="1"/>
  <c r="B294" i="1"/>
  <c r="H295" i="1"/>
  <c r="T295" i="1" s="1"/>
  <c r="J295" i="1" s="1"/>
  <c r="H302" i="1"/>
  <c r="T302" i="1" s="1"/>
  <c r="H310" i="1"/>
  <c r="T310" i="1" s="1"/>
  <c r="H318" i="1"/>
  <c r="T318" i="1" s="1"/>
  <c r="H317" i="1"/>
  <c r="T317" i="1" s="1"/>
  <c r="H321" i="1"/>
  <c r="B322" i="1"/>
  <c r="H322" i="1"/>
  <c r="T322" i="1" s="1"/>
  <c r="B323" i="1"/>
  <c r="H323" i="1"/>
  <c r="T323" i="1" s="1"/>
  <c r="H324" i="1"/>
  <c r="T324" i="1" s="1"/>
  <c r="H325" i="1"/>
  <c r="T325" i="1" s="1"/>
  <c r="H309" i="1"/>
  <c r="T309" i="1" s="1"/>
  <c r="B326" i="1"/>
  <c r="B329" i="1"/>
  <c r="L329" i="1" s="1"/>
  <c r="K329" i="1" s="1"/>
  <c r="B337" i="1"/>
  <c r="B345" i="1"/>
  <c r="H345" i="1"/>
  <c r="T345" i="1" s="1"/>
  <c r="H346" i="1"/>
  <c r="T346" i="1" s="1"/>
  <c r="H351" i="1"/>
  <c r="T351" i="1" s="1"/>
  <c r="F352" i="1"/>
  <c r="R352" i="1" s="1"/>
  <c r="B352" i="1"/>
  <c r="H352" i="1"/>
  <c r="T352" i="1" s="1"/>
  <c r="B353" i="1"/>
  <c r="H353" i="1"/>
  <c r="T353" i="1" s="1"/>
  <c r="H354" i="1"/>
  <c r="T354" i="1" s="1"/>
  <c r="H355" i="1"/>
  <c r="T355" i="1" s="1"/>
  <c r="B356" i="1"/>
  <c r="H359" i="1"/>
  <c r="T359" i="1" s="1"/>
  <c r="B58" i="8"/>
  <c r="B360" i="1" s="1"/>
  <c r="H360" i="1"/>
  <c r="T360" i="1" s="1"/>
  <c r="H361" i="1"/>
  <c r="T361" i="1" s="1"/>
  <c r="B365" i="1"/>
  <c r="H365" i="1"/>
  <c r="T365" i="1" s="1"/>
  <c r="G24" i="8"/>
  <c r="I11" i="9" s="1"/>
  <c r="G49" i="8"/>
  <c r="I12" i="9" s="1"/>
  <c r="B373" i="1"/>
  <c r="H373" i="1"/>
  <c r="T373" i="1" s="1"/>
  <c r="B379" i="1"/>
  <c r="H379" i="1"/>
  <c r="T379" i="1" s="1"/>
  <c r="F390" i="1"/>
  <c r="R390" i="1" s="1"/>
  <c r="B390" i="1"/>
  <c r="H390" i="1"/>
  <c r="T390" i="1" s="1"/>
  <c r="H393" i="1"/>
  <c r="T393" i="1" s="1"/>
  <c r="B399" i="1"/>
  <c r="B402" i="1"/>
  <c r="F402" i="1"/>
  <c r="R402" i="1" s="1"/>
  <c r="H405" i="1"/>
  <c r="T405" i="1" s="1"/>
  <c r="E44" i="9"/>
  <c r="F418" i="1" s="1"/>
  <c r="R418" i="1" s="1"/>
  <c r="B419" i="1"/>
  <c r="H419" i="1"/>
  <c r="T419" i="1" s="1"/>
  <c r="F439" i="1"/>
  <c r="R439" i="1" s="1"/>
  <c r="F444" i="1"/>
  <c r="R444" i="1" s="1"/>
  <c r="H448" i="1"/>
  <c r="T448" i="1" s="1"/>
  <c r="H449" i="1"/>
  <c r="T449" i="1" s="1"/>
  <c r="H452" i="1"/>
  <c r="T452" i="1" s="1"/>
  <c r="H453" i="1"/>
  <c r="T453" i="1" s="1"/>
  <c r="H454" i="1"/>
  <c r="T454" i="1" s="1"/>
  <c r="H455" i="1"/>
  <c r="T455" i="1" s="1"/>
  <c r="H456" i="1"/>
  <c r="T456" i="1" s="1"/>
  <c r="F456" i="1"/>
  <c r="R456" i="1" s="1"/>
  <c r="H459" i="1"/>
  <c r="T459" i="1" s="1"/>
  <c r="H460" i="1"/>
  <c r="T460" i="1" s="1"/>
  <c r="H461" i="1"/>
  <c r="T461" i="1" s="1"/>
  <c r="H462" i="1"/>
  <c r="T462" i="1" s="1"/>
  <c r="F462" i="1"/>
  <c r="R462" i="1" s="1"/>
  <c r="H465" i="1"/>
  <c r="T465" i="1" s="1"/>
  <c r="H466" i="1"/>
  <c r="T466" i="1" s="1"/>
  <c r="H467" i="1"/>
  <c r="T467" i="1" s="1"/>
  <c r="F467" i="1"/>
  <c r="R467" i="1" s="1"/>
  <c r="B471" i="1"/>
  <c r="H471" i="1"/>
  <c r="T471" i="1" s="1"/>
  <c r="I471" i="1" s="1"/>
  <c r="H472" i="1"/>
  <c r="T472" i="1" s="1"/>
  <c r="I472" i="1" s="1"/>
  <c r="B10" i="12"/>
  <c r="B473" i="1" s="1"/>
  <c r="H473" i="1"/>
  <c r="T473" i="1" s="1"/>
  <c r="B477" i="1"/>
  <c r="L477" i="1" s="1"/>
  <c r="K477" i="1" s="1"/>
  <c r="H477" i="1"/>
  <c r="T477" i="1" s="1"/>
  <c r="B479" i="1"/>
  <c r="H479" i="1"/>
  <c r="T479" i="1" s="1"/>
  <c r="B482" i="1"/>
  <c r="I482" i="1" s="1"/>
  <c r="H482" i="1"/>
  <c r="T482" i="1" s="1"/>
  <c r="B484" i="1"/>
  <c r="H484" i="1"/>
  <c r="T484" i="1" s="1"/>
  <c r="H485" i="1"/>
  <c r="T485" i="1" s="1"/>
  <c r="B486" i="1"/>
  <c r="H486" i="1"/>
  <c r="T486" i="1" s="1"/>
  <c r="B491" i="1"/>
  <c r="D21" i="12"/>
  <c r="G21" i="12" s="1"/>
  <c r="H483" i="1" s="1"/>
  <c r="H487" i="1"/>
  <c r="T487" i="1" s="1"/>
  <c r="G26" i="12"/>
  <c r="H488" i="1" s="1"/>
  <c r="T488" i="1" s="1"/>
  <c r="H489" i="1"/>
  <c r="T489" i="1" s="1"/>
  <c r="H490" i="1"/>
  <c r="T490" i="1" s="1"/>
  <c r="H491" i="1"/>
  <c r="T491" i="1" s="1"/>
  <c r="B492" i="1"/>
  <c r="H492" i="1"/>
  <c r="T492" i="1" s="1"/>
  <c r="B495" i="1"/>
  <c r="H495" i="1"/>
  <c r="T495" i="1" s="1"/>
  <c r="B500" i="1"/>
  <c r="H500" i="1"/>
  <c r="T500" i="1" s="1"/>
  <c r="B501" i="1"/>
  <c r="H501" i="1"/>
  <c r="T501" i="1" s="1"/>
  <c r="H502" i="1"/>
  <c r="T502" i="1" s="1"/>
  <c r="B503" i="1"/>
  <c r="H503" i="1"/>
  <c r="T503" i="1" s="1"/>
  <c r="B505" i="1"/>
  <c r="H505" i="1"/>
  <c r="T505" i="1" s="1"/>
  <c r="B509" i="1"/>
  <c r="L509" i="1" s="1"/>
  <c r="K509" i="1" s="1"/>
  <c r="H509" i="1"/>
  <c r="T509" i="1" s="1"/>
  <c r="B512" i="1"/>
  <c r="L512" i="1" s="1"/>
  <c r="K512" i="1" s="1"/>
  <c r="H512" i="1"/>
  <c r="T512" i="1" s="1"/>
  <c r="B514" i="1"/>
  <c r="H514" i="1"/>
  <c r="T514" i="1" s="1"/>
  <c r="D7" i="13"/>
  <c r="D9" i="13"/>
  <c r="D10" i="13"/>
  <c r="B517" i="1"/>
  <c r="H517" i="1"/>
  <c r="T517" i="1" s="1"/>
  <c r="H558" i="1"/>
  <c r="T558" i="1" s="1"/>
  <c r="H559" i="1"/>
  <c r="T559" i="1" s="1"/>
  <c r="P113" i="16"/>
  <c r="H11" i="15" s="1"/>
  <c r="H561" i="1" s="1"/>
  <c r="T561" i="1" s="1"/>
  <c r="P115" i="16"/>
  <c r="I11" i="15" s="1"/>
  <c r="F113" i="16"/>
  <c r="H12" i="15" s="1"/>
  <c r="H562" i="1" s="1"/>
  <c r="F115" i="16"/>
  <c r="I12" i="15" s="1"/>
  <c r="H600" i="1" s="1"/>
  <c r="T600" i="1" s="1"/>
  <c r="H566" i="1"/>
  <c r="T566" i="1" s="1"/>
  <c r="H567" i="1"/>
  <c r="T567" i="1" s="1"/>
  <c r="H568" i="1"/>
  <c r="T568" i="1" s="1"/>
  <c r="H569" i="1"/>
  <c r="T569" i="1" s="1"/>
  <c r="H578" i="1"/>
  <c r="T578" i="1" s="1"/>
  <c r="H579" i="1"/>
  <c r="T579" i="1" s="1"/>
  <c r="H586" i="1"/>
  <c r="T586" i="1" s="1"/>
  <c r="H573" i="1"/>
  <c r="T573" i="1" s="1"/>
  <c r="H590" i="1"/>
  <c r="T590" i="1" s="1"/>
  <c r="H591" i="1"/>
  <c r="T591" i="1" s="1"/>
  <c r="H596" i="1"/>
  <c r="T596" i="1" s="1"/>
  <c r="H597" i="1"/>
  <c r="T597" i="1" s="1"/>
  <c r="H604" i="1"/>
  <c r="T604" i="1" s="1"/>
  <c r="H605" i="1"/>
  <c r="T605" i="1" s="1"/>
  <c r="H606" i="1"/>
  <c r="T606" i="1" s="1"/>
  <c r="H607" i="1"/>
  <c r="T607" i="1" s="1"/>
  <c r="H616" i="1"/>
  <c r="T616" i="1" s="1"/>
  <c r="H617" i="1"/>
  <c r="T617" i="1" s="1"/>
  <c r="H624" i="1"/>
  <c r="T624" i="1" s="1"/>
  <c r="H611" i="1"/>
  <c r="T611" i="1" s="1"/>
  <c r="H628" i="1"/>
  <c r="T628" i="1" s="1"/>
  <c r="H629" i="1"/>
  <c r="T629" i="1" s="1"/>
  <c r="H634" i="1"/>
  <c r="T634" i="1" s="1"/>
  <c r="H635" i="1"/>
  <c r="T635" i="1" s="1"/>
  <c r="P117" i="16"/>
  <c r="J11" i="15"/>
  <c r="H637" i="1" s="1"/>
  <c r="T637" i="1" s="1"/>
  <c r="F117" i="16"/>
  <c r="J12" i="15" s="1"/>
  <c r="H638" i="1" s="1"/>
  <c r="T638" i="1" s="1"/>
  <c r="H642" i="1"/>
  <c r="T642" i="1" s="1"/>
  <c r="H643" i="1"/>
  <c r="T643" i="1" s="1"/>
  <c r="H644" i="1"/>
  <c r="T644" i="1" s="1"/>
  <c r="H645" i="1"/>
  <c r="T645" i="1" s="1"/>
  <c r="H654" i="1"/>
  <c r="T654" i="1" s="1"/>
  <c r="H655" i="1"/>
  <c r="T655" i="1" s="1"/>
  <c r="H662" i="1"/>
  <c r="T662" i="1" s="1"/>
  <c r="H649" i="1"/>
  <c r="T649" i="1" s="1"/>
  <c r="H666" i="1"/>
  <c r="T666" i="1" s="1"/>
  <c r="H667" i="1"/>
  <c r="T667" i="1" s="1"/>
  <c r="H673" i="1"/>
  <c r="T673" i="1" s="1"/>
  <c r="H674" i="1"/>
  <c r="T674" i="1" s="1"/>
  <c r="H677" i="1"/>
  <c r="T677" i="1" s="1"/>
  <c r="H678" i="1"/>
  <c r="T678" i="1" s="1"/>
  <c r="H679" i="1"/>
  <c r="T679" i="1" s="1"/>
  <c r="B690" i="1"/>
  <c r="I690" i="1" s="1"/>
  <c r="H690" i="1"/>
  <c r="T690" i="1" s="1"/>
  <c r="F31" i="14"/>
  <c r="H688" i="1" s="1"/>
  <c r="T688" i="1" s="1"/>
  <c r="H691" i="1"/>
  <c r="T691" i="1" s="1"/>
  <c r="H692" i="1"/>
  <c r="T692" i="1" s="1"/>
  <c r="B693" i="1"/>
  <c r="H693" i="1"/>
  <c r="T693" i="1" s="1"/>
  <c r="H705" i="1"/>
  <c r="H706" i="1"/>
  <c r="H709" i="1"/>
  <c r="T709" i="1" s="1"/>
  <c r="H710" i="1"/>
  <c r="T710" i="1" s="1"/>
  <c r="H711" i="1"/>
  <c r="T711" i="1" s="1"/>
  <c r="B722" i="1"/>
  <c r="L722" i="1" s="1"/>
  <c r="K722" i="1" s="1"/>
  <c r="H722" i="1"/>
  <c r="T722" i="1" s="1"/>
  <c r="H721" i="1"/>
  <c r="T721" i="1" s="1"/>
  <c r="H723" i="1"/>
  <c r="T723" i="1" s="1"/>
  <c r="H724" i="1"/>
  <c r="T724" i="1" s="1"/>
  <c r="B725" i="1"/>
  <c r="H725" i="1"/>
  <c r="T725" i="1" s="1"/>
  <c r="H737" i="1"/>
  <c r="T737" i="1" s="1"/>
  <c r="H738" i="1"/>
  <c r="T738" i="1" s="1"/>
  <c r="H741" i="1"/>
  <c r="T741" i="1" s="1"/>
  <c r="H742" i="1"/>
  <c r="T742" i="1" s="1"/>
  <c r="H743" i="1"/>
  <c r="T743" i="1" s="1"/>
  <c r="H754" i="1"/>
  <c r="T754" i="1" s="1"/>
  <c r="H755" i="1"/>
  <c r="T755" i="1" s="1"/>
  <c r="H756" i="1"/>
  <c r="T756" i="1" s="1"/>
  <c r="B757" i="1"/>
  <c r="H757" i="1"/>
  <c r="T757" i="1" s="1"/>
  <c r="B768" i="1"/>
  <c r="L768" i="1" s="1"/>
  <c r="B769" i="1"/>
  <c r="B770" i="1"/>
  <c r="H768" i="1"/>
  <c r="T768" i="1" s="1"/>
  <c r="H769" i="1"/>
  <c r="T769" i="1" s="1"/>
  <c r="H770" i="1"/>
  <c r="T770" i="1" s="1"/>
  <c r="B772" i="1"/>
  <c r="L772" i="1" s="1"/>
  <c r="B773" i="1"/>
  <c r="B774" i="1"/>
  <c r="H772" i="1"/>
  <c r="T772" i="1" s="1"/>
  <c r="H773" i="1"/>
  <c r="T773" i="1" s="1"/>
  <c r="H774" i="1"/>
  <c r="T774" i="1" s="1"/>
  <c r="H779" i="1"/>
  <c r="T779" i="1" s="1"/>
  <c r="H780" i="1"/>
  <c r="T780" i="1" s="1"/>
  <c r="H781" i="1"/>
  <c r="T781" i="1" s="1"/>
  <c r="I781" i="1" s="1"/>
  <c r="H782" i="1"/>
  <c r="T782" i="1" s="1"/>
  <c r="H783" i="1"/>
  <c r="T783" i="1" s="1"/>
  <c r="H784" i="1"/>
  <c r="T784" i="1" s="1"/>
  <c r="H786" i="1"/>
  <c r="T786" i="1" s="1"/>
  <c r="H787" i="1"/>
  <c r="T787" i="1" s="1"/>
  <c r="L787" i="1" s="1"/>
  <c r="H788" i="1"/>
  <c r="T788" i="1" s="1"/>
  <c r="H789" i="1"/>
  <c r="T789" i="1" s="1"/>
  <c r="H791" i="1"/>
  <c r="T791" i="1" s="1"/>
  <c r="H792" i="1"/>
  <c r="T792" i="1" s="1"/>
  <c r="H793" i="1"/>
  <c r="T793" i="1" s="1"/>
  <c r="H796" i="1"/>
  <c r="T796" i="1" s="1"/>
  <c r="H797" i="1"/>
  <c r="T797" i="1" s="1"/>
  <c r="H799" i="1"/>
  <c r="T799" i="1" s="1"/>
  <c r="H800" i="1"/>
  <c r="T800" i="1" s="1"/>
  <c r="H801" i="1"/>
  <c r="T801" i="1" s="1"/>
  <c r="H802" i="1"/>
  <c r="T802" i="1" s="1"/>
  <c r="H807" i="1"/>
  <c r="T807" i="1" s="1"/>
  <c r="H810" i="1"/>
  <c r="T810" i="1" s="1"/>
  <c r="I810" i="1" s="1"/>
  <c r="H811" i="1"/>
  <c r="T811" i="1" s="1"/>
  <c r="H812" i="1"/>
  <c r="T812" i="1" s="1"/>
  <c r="H816" i="1"/>
  <c r="T816" i="1" s="1"/>
  <c r="H817" i="1"/>
  <c r="T817" i="1" s="1"/>
  <c r="H818" i="1"/>
  <c r="T818" i="1" s="1"/>
  <c r="H823" i="1"/>
  <c r="T823" i="1" s="1"/>
  <c r="H825" i="1"/>
  <c r="T825" i="1" s="1"/>
  <c r="H826" i="1"/>
  <c r="T826" i="1" s="1"/>
  <c r="H827" i="1"/>
  <c r="T827" i="1" s="1"/>
  <c r="I827" i="1" s="1"/>
  <c r="J827" i="1" s="1"/>
  <c r="H828" i="1"/>
  <c r="T828" i="1" s="1"/>
  <c r="H830" i="1"/>
  <c r="T830" i="1" s="1"/>
  <c r="H831" i="1"/>
  <c r="T831" i="1" s="1"/>
  <c r="H832" i="1"/>
  <c r="T832" i="1" s="1"/>
  <c r="H833" i="1"/>
  <c r="T833" i="1" s="1"/>
  <c r="H836" i="1"/>
  <c r="T836" i="1" s="1"/>
  <c r="H837" i="1"/>
  <c r="T837" i="1" s="1"/>
  <c r="H838" i="1"/>
  <c r="T838" i="1" s="1"/>
  <c r="H839" i="1"/>
  <c r="T839" i="1" s="1"/>
  <c r="B478" i="1"/>
  <c r="B483" i="1"/>
  <c r="B487" i="1"/>
  <c r="B489" i="1"/>
  <c r="B490" i="1"/>
  <c r="B496" i="1"/>
  <c r="B497" i="1"/>
  <c r="B504" i="1"/>
  <c r="I504" i="1" s="1"/>
  <c r="B506" i="1"/>
  <c r="B510" i="1"/>
  <c r="B511" i="1"/>
  <c r="B513" i="1"/>
  <c r="B12" i="1"/>
  <c r="B14" i="1"/>
  <c r="B16" i="1"/>
  <c r="B20" i="1"/>
  <c r="H27" i="1"/>
  <c r="T27" i="1" s="1"/>
  <c r="B28" i="1"/>
  <c r="B31" i="1"/>
  <c r="H31" i="1"/>
  <c r="T31" i="1" s="1"/>
  <c r="H32" i="1"/>
  <c r="T32" i="1" s="1"/>
  <c r="B33" i="1"/>
  <c r="B36" i="1"/>
  <c r="H36" i="1"/>
  <c r="T36" i="1" s="1"/>
  <c r="B37" i="1"/>
  <c r="H37" i="1"/>
  <c r="T37" i="1" s="1"/>
  <c r="H38" i="1"/>
  <c r="T38" i="1" s="1"/>
  <c r="H39" i="1"/>
  <c r="T39" i="1" s="1"/>
  <c r="B46" i="1"/>
  <c r="B48" i="1"/>
  <c r="B50" i="1"/>
  <c r="B84" i="1"/>
  <c r="B85" i="1"/>
  <c r="B86" i="1"/>
  <c r="B87" i="1"/>
  <c r="B88" i="1"/>
  <c r="B89" i="1"/>
  <c r="B90" i="1"/>
  <c r="B92" i="1"/>
  <c r="B93" i="1"/>
  <c r="I93" i="1" s="1"/>
  <c r="B94" i="1"/>
  <c r="B95" i="1"/>
  <c r="B96" i="1"/>
  <c r="B100" i="1"/>
  <c r="B101" i="1"/>
  <c r="B102" i="1"/>
  <c r="B103" i="1"/>
  <c r="B104" i="1"/>
  <c r="B105" i="1"/>
  <c r="B106" i="1"/>
  <c r="B107" i="1"/>
  <c r="B109" i="1"/>
  <c r="B110" i="1"/>
  <c r="B111" i="1"/>
  <c r="B112" i="1"/>
  <c r="B113" i="1"/>
  <c r="I113" i="1" s="1"/>
  <c r="B118" i="1"/>
  <c r="B119" i="1"/>
  <c r="B120" i="1"/>
  <c r="B121" i="1"/>
  <c r="B122" i="1"/>
  <c r="B123" i="1"/>
  <c r="B124" i="1"/>
  <c r="B126" i="1"/>
  <c r="B127" i="1"/>
  <c r="B128" i="1"/>
  <c r="B129" i="1"/>
  <c r="B130" i="1"/>
  <c r="E13" i="5"/>
  <c r="B159" i="1" s="1"/>
  <c r="H299" i="1"/>
  <c r="T299" i="1" s="1"/>
  <c r="I299" i="1" s="1"/>
  <c r="B300" i="1"/>
  <c r="B301" i="1"/>
  <c r="H301" i="1"/>
  <c r="T301" i="1" s="1"/>
  <c r="I301" i="1" s="1"/>
  <c r="B303" i="1"/>
  <c r="B304" i="1"/>
  <c r="B307" i="1"/>
  <c r="B309" i="1"/>
  <c r="B311" i="1"/>
  <c r="B312" i="1"/>
  <c r="B316" i="1"/>
  <c r="B317" i="1"/>
  <c r="B319" i="1"/>
  <c r="B320" i="1"/>
  <c r="B330" i="1"/>
  <c r="H330" i="1"/>
  <c r="T330" i="1" s="1"/>
  <c r="B332" i="1"/>
  <c r="B333" i="1"/>
  <c r="B338" i="1"/>
  <c r="H338" i="1"/>
  <c r="T338" i="1" s="1"/>
  <c r="B340" i="1"/>
  <c r="B341" i="1"/>
  <c r="B346" i="1"/>
  <c r="B348" i="1"/>
  <c r="B349" i="1"/>
  <c r="H366" i="1"/>
  <c r="T366" i="1" s="1"/>
  <c r="B367" i="1"/>
  <c r="H367" i="1"/>
  <c r="T367" i="1" s="1"/>
  <c r="B369" i="1"/>
  <c r="H370" i="1"/>
  <c r="T370" i="1" s="1"/>
  <c r="H371" i="1"/>
  <c r="T371" i="1" s="1"/>
  <c r="H372" i="1"/>
  <c r="T372" i="1" s="1"/>
  <c r="H376" i="1"/>
  <c r="T376" i="1" s="1"/>
  <c r="B376" i="1"/>
  <c r="H377" i="1"/>
  <c r="T377" i="1" s="1"/>
  <c r="B377" i="1"/>
  <c r="H378" i="1"/>
  <c r="T378" i="1" s="1"/>
  <c r="B378" i="1"/>
  <c r="H380" i="1"/>
  <c r="T380" i="1" s="1"/>
  <c r="B380" i="1"/>
  <c r="B381" i="1"/>
  <c r="H381" i="1"/>
  <c r="T381" i="1" s="1"/>
  <c r="B382" i="1"/>
  <c r="H382" i="1"/>
  <c r="T382" i="1" s="1"/>
  <c r="B383" i="1"/>
  <c r="H383" i="1"/>
  <c r="T383" i="1" s="1"/>
  <c r="B384" i="1"/>
  <c r="H384" i="1"/>
  <c r="T384" i="1" s="1"/>
  <c r="H387" i="1"/>
  <c r="T387" i="1" s="1"/>
  <c r="H388" i="1"/>
  <c r="T388" i="1" s="1"/>
  <c r="H389" i="1"/>
  <c r="T389" i="1" s="1"/>
  <c r="H394" i="1"/>
  <c r="T394" i="1" s="1"/>
  <c r="H395" i="1"/>
  <c r="T395" i="1" s="1"/>
  <c r="H523" i="1"/>
  <c r="T523" i="1" s="1"/>
  <c r="H530" i="1"/>
  <c r="T530" i="1" s="1"/>
  <c r="H531" i="1"/>
  <c r="T531" i="1" s="1"/>
  <c r="H532" i="1"/>
  <c r="T532" i="1" s="1"/>
  <c r="H536" i="1"/>
  <c r="T536" i="1" s="1"/>
  <c r="H553" i="1"/>
  <c r="T553" i="1" s="1"/>
  <c r="B76" i="1"/>
  <c r="B77" i="1"/>
  <c r="J77" i="1" s="1"/>
  <c r="B8" i="5"/>
  <c r="B152" i="1" s="1"/>
  <c r="B9" i="5"/>
  <c r="B153" i="1" s="1"/>
  <c r="J153" i="1" s="1"/>
  <c r="B32" i="5"/>
  <c r="B169" i="1" s="1"/>
  <c r="B33" i="5"/>
  <c r="B170" i="1" s="1"/>
  <c r="J170" i="1" s="1"/>
  <c r="B254" i="1"/>
  <c r="B255" i="1"/>
  <c r="B259" i="1"/>
  <c r="B260" i="1"/>
  <c r="B262" i="1"/>
  <c r="B263" i="1"/>
  <c r="B264" i="1"/>
  <c r="H268" i="1"/>
  <c r="T268" i="1" s="1"/>
  <c r="B268" i="1"/>
  <c r="B269" i="1"/>
  <c r="B272" i="1"/>
  <c r="B273" i="1"/>
  <c r="B274" i="1"/>
  <c r="I274" i="1" s="1"/>
  <c r="B275" i="1"/>
  <c r="B277" i="1"/>
  <c r="B278" i="1"/>
  <c r="I278" i="1" s="1"/>
  <c r="B279" i="1"/>
  <c r="B284" i="1"/>
  <c r="B288" i="1"/>
  <c r="B289" i="1"/>
  <c r="B290" i="1"/>
  <c r="B386" i="1"/>
  <c r="B410" i="1"/>
  <c r="H410" i="1"/>
  <c r="T410" i="1" s="1"/>
  <c r="B411" i="1"/>
  <c r="I411" i="1" s="1"/>
  <c r="H411" i="1"/>
  <c r="T411" i="1" s="1"/>
  <c r="B412" i="1"/>
  <c r="I412" i="1" s="1"/>
  <c r="H412" i="1"/>
  <c r="T412" i="1" s="1"/>
  <c r="B413" i="1"/>
  <c r="H413" i="1"/>
  <c r="T413" i="1" s="1"/>
  <c r="B414" i="1"/>
  <c r="H414" i="1"/>
  <c r="T414" i="1" s="1"/>
  <c r="B415" i="1"/>
  <c r="H415" i="1"/>
  <c r="T415" i="1" s="1"/>
  <c r="B416" i="1"/>
  <c r="H416" i="1"/>
  <c r="T416" i="1" s="1"/>
  <c r="B417" i="1"/>
  <c r="H417" i="1"/>
  <c r="T417" i="1" s="1"/>
  <c r="J417" i="1" s="1"/>
  <c r="B672" i="1"/>
  <c r="B674" i="1"/>
  <c r="B676" i="1"/>
  <c r="B677" i="1"/>
  <c r="L677" i="1" s="1"/>
  <c r="K677" i="1" s="1"/>
  <c r="B678" i="1"/>
  <c r="B681" i="1"/>
  <c r="B682" i="1"/>
  <c r="B683" i="1"/>
  <c r="H683" i="1"/>
  <c r="T683" i="1" s="1"/>
  <c r="B684" i="1"/>
  <c r="L684" i="1" s="1"/>
  <c r="K684" i="1" s="1"/>
  <c r="H684" i="1"/>
  <c r="T684" i="1" s="1"/>
  <c r="B685" i="1"/>
  <c r="J685" i="1" s="1"/>
  <c r="H685" i="1"/>
  <c r="T685" i="1" s="1"/>
  <c r="B689" i="1"/>
  <c r="B691" i="1"/>
  <c r="L691" i="1" s="1"/>
  <c r="K691" i="1" s="1"/>
  <c r="B692" i="1"/>
  <c r="B695" i="1"/>
  <c r="B696" i="1"/>
  <c r="L696" i="1" s="1"/>
  <c r="K696" i="1" s="1"/>
  <c r="B697" i="1"/>
  <c r="F47" i="14"/>
  <c r="H697" i="1" s="1"/>
  <c r="T697" i="1" s="1"/>
  <c r="B698" i="1"/>
  <c r="H698" i="1"/>
  <c r="T698" i="1" s="1"/>
  <c r="B699" i="1"/>
  <c r="L699" i="1" s="1"/>
  <c r="K699" i="1" s="1"/>
  <c r="H699" i="1"/>
  <c r="T699" i="1" s="1"/>
  <c r="B700" i="1"/>
  <c r="B704" i="1"/>
  <c r="B706" i="1"/>
  <c r="B708" i="1"/>
  <c r="B709" i="1"/>
  <c r="L709" i="1" s="1"/>
  <c r="K709" i="1" s="1"/>
  <c r="B710" i="1"/>
  <c r="I710" i="1" s="1"/>
  <c r="B713" i="1"/>
  <c r="B714" i="1"/>
  <c r="L714" i="1" s="1"/>
  <c r="K714" i="1" s="1"/>
  <c r="H715" i="1"/>
  <c r="T715" i="1" s="1"/>
  <c r="B716" i="1"/>
  <c r="L716" i="1" s="1"/>
  <c r="K716" i="1" s="1"/>
  <c r="H716" i="1"/>
  <c r="T716" i="1" s="1"/>
  <c r="B717" i="1"/>
  <c r="H717" i="1"/>
  <c r="T717" i="1" s="1"/>
  <c r="B720" i="1"/>
  <c r="B721" i="1"/>
  <c r="B723" i="1"/>
  <c r="B724" i="1"/>
  <c r="J724" i="1" s="1"/>
  <c r="B727" i="1"/>
  <c r="B728" i="1"/>
  <c r="I46" i="14"/>
  <c r="H728" i="1" s="1"/>
  <c r="T728" i="1" s="1"/>
  <c r="B729" i="1"/>
  <c r="B730" i="1"/>
  <c r="H730" i="1"/>
  <c r="T730" i="1" s="1"/>
  <c r="B731" i="1"/>
  <c r="I731" i="1" s="1"/>
  <c r="H731" i="1"/>
  <c r="T731" i="1" s="1"/>
  <c r="B732" i="1"/>
  <c r="B736" i="1"/>
  <c r="B738" i="1"/>
  <c r="B739" i="1"/>
  <c r="B740" i="1"/>
  <c r="B742" i="1"/>
  <c r="B745" i="1"/>
  <c r="B746" i="1"/>
  <c r="H747" i="1"/>
  <c r="T747" i="1" s="1"/>
  <c r="B748" i="1"/>
  <c r="H748" i="1"/>
  <c r="T748" i="1" s="1"/>
  <c r="B749" i="1"/>
  <c r="H749" i="1"/>
  <c r="T749" i="1" s="1"/>
  <c r="B753" i="1"/>
  <c r="B755" i="1"/>
  <c r="B756" i="1"/>
  <c r="B759" i="1"/>
  <c r="B760" i="1"/>
  <c r="B761" i="1"/>
  <c r="H762" i="1"/>
  <c r="T762" i="1" s="1"/>
  <c r="B763" i="1"/>
  <c r="H763" i="1"/>
  <c r="T763" i="1" s="1"/>
  <c r="B764" i="1"/>
  <c r="B23" i="1"/>
  <c r="H23" i="1"/>
  <c r="H34" i="1"/>
  <c r="T34" i="1" s="1"/>
  <c r="B40" i="1"/>
  <c r="H40" i="1"/>
  <c r="T40" i="1" s="1"/>
  <c r="B62" i="1"/>
  <c r="H62" i="1"/>
  <c r="T62" i="1" s="1"/>
  <c r="B63" i="1"/>
  <c r="B64" i="1"/>
  <c r="H64" i="1"/>
  <c r="T64" i="1" s="1"/>
  <c r="F64" i="1"/>
  <c r="R64" i="1" s="1"/>
  <c r="B65" i="1"/>
  <c r="B68" i="1"/>
  <c r="B69" i="1"/>
  <c r="H69" i="1"/>
  <c r="T69" i="1" s="1"/>
  <c r="B97" i="1"/>
  <c r="H97" i="1"/>
  <c r="B114" i="1"/>
  <c r="H114" i="1"/>
  <c r="T114" i="1" s="1"/>
  <c r="B136" i="1"/>
  <c r="H136" i="1"/>
  <c r="T136" i="1" s="1"/>
  <c r="B139" i="1"/>
  <c r="H139" i="1"/>
  <c r="T139" i="1" s="1"/>
  <c r="B140" i="1"/>
  <c r="F140" i="1"/>
  <c r="R140" i="1" s="1"/>
  <c r="B141" i="1"/>
  <c r="H141" i="1"/>
  <c r="T141" i="1" s="1"/>
  <c r="B142" i="1"/>
  <c r="H142" i="1"/>
  <c r="T142" i="1" s="1"/>
  <c r="B145" i="1"/>
  <c r="H145" i="1"/>
  <c r="T145" i="1" s="1"/>
  <c r="H158" i="1"/>
  <c r="T158" i="1" s="1"/>
  <c r="H159" i="1"/>
  <c r="T159" i="1" s="1"/>
  <c r="H160" i="1"/>
  <c r="T160" i="1" s="1"/>
  <c r="H163" i="1"/>
  <c r="H164" i="1"/>
  <c r="T164" i="1" s="1"/>
  <c r="H399" i="1"/>
  <c r="T399" i="1" s="1"/>
  <c r="B400" i="1"/>
  <c r="I400" i="1" s="1"/>
  <c r="H401" i="1"/>
  <c r="T401" i="1" s="1"/>
  <c r="H402" i="1"/>
  <c r="T402" i="1" s="1"/>
  <c r="H406" i="1"/>
  <c r="T406" i="1" s="1"/>
  <c r="B409" i="1"/>
  <c r="B418" i="1"/>
  <c r="H418" i="1"/>
  <c r="T418" i="1" s="1"/>
  <c r="B420" i="1"/>
  <c r="H420" i="1"/>
  <c r="T420" i="1" s="1"/>
  <c r="F420" i="1"/>
  <c r="R420" i="1" s="1"/>
  <c r="G66" i="9"/>
  <c r="H421" i="1" s="1"/>
  <c r="T421" i="1" s="1"/>
  <c r="Q290" i="17"/>
  <c r="L842" i="1" s="1"/>
  <c r="N1" i="17"/>
  <c r="F19" i="17"/>
  <c r="F21" i="17"/>
  <c r="F27" i="17"/>
  <c r="F30" i="17"/>
  <c r="F33" i="17"/>
  <c r="F53" i="17"/>
  <c r="F55" i="17"/>
  <c r="F71" i="17"/>
  <c r="F73" i="17"/>
  <c r="F76" i="17"/>
  <c r="F94" i="17"/>
  <c r="F96" i="17"/>
  <c r="H46" i="12"/>
  <c r="I60" i="9"/>
  <c r="H55" i="6"/>
  <c r="H73" i="6"/>
  <c r="F160" i="1"/>
  <c r="R160" i="1" s="1"/>
  <c r="E15" i="5"/>
  <c r="F13" i="5"/>
  <c r="B72" i="1"/>
  <c r="L72" i="1" s="1"/>
  <c r="K72" i="1" s="1"/>
  <c r="B82" i="1"/>
  <c r="L82" i="1" s="1"/>
  <c r="K82" i="1" s="1"/>
  <c r="B99" i="1"/>
  <c r="L99" i="1" s="1"/>
  <c r="K99" i="1" s="1"/>
  <c r="B116" i="1"/>
  <c r="L116" i="1" s="1"/>
  <c r="K116" i="1" s="1"/>
  <c r="B144" i="1"/>
  <c r="L144" i="1" s="1"/>
  <c r="K144" i="1" s="1"/>
  <c r="B149" i="1"/>
  <c r="L149" i="1" s="1"/>
  <c r="K149" i="1" s="1"/>
  <c r="B157" i="1"/>
  <c r="L157" i="1" s="1"/>
  <c r="K157" i="1" s="1"/>
  <c r="B167" i="1"/>
  <c r="L167" i="1" s="1"/>
  <c r="K167" i="1" s="1"/>
  <c r="B54" i="8"/>
  <c r="B358" i="1" s="1"/>
  <c r="L358" i="1" s="1"/>
  <c r="K358" i="1" s="1"/>
  <c r="B470" i="1"/>
  <c r="L470" i="1" s="1"/>
  <c r="K470" i="1" s="1"/>
  <c r="B476" i="1"/>
  <c r="L476" i="1" s="1"/>
  <c r="K476" i="1" s="1"/>
  <c r="B481" i="1"/>
  <c r="L481" i="1" s="1"/>
  <c r="K481" i="1" s="1"/>
  <c r="B494" i="1"/>
  <c r="L494" i="1" s="1"/>
  <c r="K494" i="1" s="1"/>
  <c r="B499" i="1"/>
  <c r="L499" i="1" s="1"/>
  <c r="K499" i="1" s="1"/>
  <c r="B508" i="1"/>
  <c r="L508" i="1" s="1"/>
  <c r="K508" i="1" s="1"/>
  <c r="H555" i="1"/>
  <c r="T555" i="1" s="1"/>
  <c r="H593" i="1"/>
  <c r="T593" i="1" s="1"/>
  <c r="L593" i="1" s="1"/>
  <c r="K593" i="1" s="1"/>
  <c r="H631" i="1"/>
  <c r="T631" i="1" s="1"/>
  <c r="L631" i="1" s="1"/>
  <c r="K631" i="1" s="1"/>
  <c r="H671" i="1"/>
  <c r="T671" i="1" s="1"/>
  <c r="B680" i="1"/>
  <c r="H680" i="1"/>
  <c r="T680" i="1" s="1"/>
  <c r="B687" i="1"/>
  <c r="H687" i="1"/>
  <c r="T687" i="1" s="1"/>
  <c r="B694" i="1"/>
  <c r="L694" i="1" s="1"/>
  <c r="K694" i="1" s="1"/>
  <c r="H694" i="1"/>
  <c r="T694" i="1" s="1"/>
  <c r="B703" i="1"/>
  <c r="H703" i="1"/>
  <c r="T703" i="1" s="1"/>
  <c r="B712" i="1"/>
  <c r="H712" i="1"/>
  <c r="T712" i="1" s="1"/>
  <c r="B719" i="1"/>
  <c r="H719" i="1"/>
  <c r="T719" i="1" s="1"/>
  <c r="B726" i="1"/>
  <c r="H726" i="1"/>
  <c r="T726" i="1" s="1"/>
  <c r="B735" i="1"/>
  <c r="H735" i="1"/>
  <c r="T735" i="1" s="1"/>
  <c r="B744" i="1"/>
  <c r="L744" i="1" s="1"/>
  <c r="K744" i="1" s="1"/>
  <c r="H744" i="1"/>
  <c r="T744" i="1" s="1"/>
  <c r="B751" i="1"/>
  <c r="L751" i="1" s="1"/>
  <c r="K751" i="1" s="1"/>
  <c r="H751" i="1"/>
  <c r="T751" i="1" s="1"/>
  <c r="B758" i="1"/>
  <c r="H758" i="1"/>
  <c r="T758" i="1" s="1"/>
  <c r="B767" i="1"/>
  <c r="L767" i="1" s="1"/>
  <c r="K767" i="1" s="1"/>
  <c r="H34" i="7"/>
  <c r="H274" i="1" s="1"/>
  <c r="T274" i="1" s="1"/>
  <c r="I32" i="9"/>
  <c r="H396" i="1" s="1"/>
  <c r="T396" i="1" s="1"/>
  <c r="I35" i="9"/>
  <c r="H400" i="1" s="1"/>
  <c r="T400" i="1" s="1"/>
  <c r="G45" i="12"/>
  <c r="G17" i="12"/>
  <c r="H478" i="1" s="1"/>
  <c r="G34" i="12"/>
  <c r="H496" i="1" s="1"/>
  <c r="T496" i="1" s="1"/>
  <c r="H40" i="12"/>
  <c r="H504" i="1" s="1"/>
  <c r="T504" i="1" s="1"/>
  <c r="H41" i="12"/>
  <c r="H506" i="1" s="1"/>
  <c r="T506" i="1" s="1"/>
  <c r="H521" i="1"/>
  <c r="T521" i="1" s="1"/>
  <c r="L521" i="1" s="1"/>
  <c r="K521" i="1" s="1"/>
  <c r="H533" i="1"/>
  <c r="T533" i="1" s="1"/>
  <c r="L533" i="1" s="1"/>
  <c r="K533" i="1" s="1"/>
  <c r="H21" i="15"/>
  <c r="H571" i="1"/>
  <c r="T571" i="1" s="1"/>
  <c r="H24" i="15"/>
  <c r="H574" i="1" s="1"/>
  <c r="I21" i="15"/>
  <c r="H609" i="1" s="1"/>
  <c r="T609" i="1" s="1"/>
  <c r="I24" i="15"/>
  <c r="E38" i="3"/>
  <c r="I44" i="4"/>
  <c r="F145" i="1" s="1"/>
  <c r="R145" i="1" s="1"/>
  <c r="P111" i="16"/>
  <c r="X61" i="16"/>
  <c r="P109" i="16" s="1"/>
  <c r="F111" i="16"/>
  <c r="F109" i="16"/>
  <c r="X56" i="16"/>
  <c r="X58" i="16"/>
  <c r="E54" i="4"/>
  <c r="I47" i="4"/>
  <c r="I48" i="4"/>
  <c r="E14" i="8"/>
  <c r="I29" i="3"/>
  <c r="C31" i="5"/>
  <c r="D31" i="5"/>
  <c r="F31" i="5"/>
  <c r="F46" i="5"/>
  <c r="E55" i="4" s="1"/>
  <c r="E14" i="5"/>
  <c r="F159" i="1" s="1"/>
  <c r="R159" i="1" s="1"/>
  <c r="D6" i="5"/>
  <c r="F6" i="5"/>
  <c r="C6" i="5"/>
  <c r="C7" i="5"/>
  <c r="D7" i="5"/>
  <c r="F13" i="11"/>
  <c r="F14" i="11"/>
  <c r="F15" i="11"/>
  <c r="F12" i="11"/>
  <c r="F12" i="10"/>
  <c r="F13" i="10"/>
  <c r="F14" i="10"/>
  <c r="F15" i="10"/>
  <c r="D16" i="12"/>
  <c r="D20" i="12"/>
  <c r="G9" i="4"/>
  <c r="C10" i="5" s="1"/>
  <c r="H57" i="8"/>
  <c r="H58" i="8"/>
  <c r="C32" i="5"/>
  <c r="F32" i="5"/>
  <c r="C33" i="5"/>
  <c r="F33" i="5"/>
  <c r="F34" i="5"/>
  <c r="D32" i="5"/>
  <c r="D33" i="5"/>
  <c r="D34" i="5"/>
  <c r="C8" i="5"/>
  <c r="D8" i="5"/>
  <c r="C9" i="5"/>
  <c r="D9" i="5"/>
  <c r="D10" i="5"/>
  <c r="B771" i="1"/>
  <c r="F274" i="1"/>
  <c r="R274" i="1" s="1"/>
  <c r="F284" i="1"/>
  <c r="R284" i="1" s="1"/>
  <c r="F396" i="1"/>
  <c r="R396" i="1" s="1"/>
  <c r="F400" i="1"/>
  <c r="R400" i="1" s="1"/>
  <c r="F409" i="1"/>
  <c r="R409" i="1" s="1"/>
  <c r="F474" i="1"/>
  <c r="R474" i="1" s="1"/>
  <c r="F478" i="1"/>
  <c r="R478" i="1" s="1"/>
  <c r="F504" i="1"/>
  <c r="R504" i="1" s="1"/>
  <c r="F506" i="1"/>
  <c r="R506" i="1" s="1"/>
  <c r="F510" i="1"/>
  <c r="R510" i="1" s="1"/>
  <c r="E11" i="15"/>
  <c r="E12" i="15"/>
  <c r="F654" i="1"/>
  <c r="R654" i="1" s="1"/>
  <c r="F655" i="1"/>
  <c r="R655" i="1" s="1"/>
  <c r="F662" i="1"/>
  <c r="R662" i="1" s="1"/>
  <c r="F740" i="1"/>
  <c r="R740" i="1" s="1"/>
  <c r="G18" i="7"/>
  <c r="G19" i="7"/>
  <c r="G15" i="7"/>
  <c r="G30" i="7"/>
  <c r="G31" i="7"/>
  <c r="G32" i="7"/>
  <c r="G33" i="7"/>
  <c r="G35" i="7"/>
  <c r="G36" i="7"/>
  <c r="G37" i="7"/>
  <c r="G38" i="7"/>
  <c r="G39" i="7"/>
  <c r="G48" i="7"/>
  <c r="G49" i="7"/>
  <c r="G50" i="7"/>
  <c r="F158" i="1"/>
  <c r="R158" i="1" s="1"/>
  <c r="F802" i="1"/>
  <c r="R802" i="1" s="1"/>
  <c r="F811" i="1"/>
  <c r="R811" i="1" s="1"/>
  <c r="F823" i="1"/>
  <c r="R823" i="1" s="1"/>
  <c r="F828" i="1"/>
  <c r="R828" i="1" s="1"/>
  <c r="F833" i="1"/>
  <c r="R833" i="1" s="1"/>
  <c r="F837" i="1"/>
  <c r="R837" i="1" s="1"/>
  <c r="F838" i="1"/>
  <c r="R838" i="1" s="1"/>
  <c r="F839" i="1"/>
  <c r="R839" i="1" s="1"/>
  <c r="F416" i="1"/>
  <c r="R416" i="1" s="1"/>
  <c r="F412" i="1"/>
  <c r="R412" i="1" s="1"/>
  <c r="F590" i="1"/>
  <c r="R590" i="1" s="1"/>
  <c r="A297" i="1"/>
  <c r="F15" i="7"/>
  <c r="I15" i="7"/>
  <c r="J15" i="7"/>
  <c r="F18" i="7"/>
  <c r="I18" i="7"/>
  <c r="J18" i="7"/>
  <c r="F19" i="7"/>
  <c r="I19" i="7"/>
  <c r="J19" i="7"/>
  <c r="F22" i="7"/>
  <c r="G22" i="7"/>
  <c r="I22" i="7"/>
  <c r="J22" i="7"/>
  <c r="F28" i="7"/>
  <c r="G28" i="7"/>
  <c r="I28" i="7"/>
  <c r="J28" i="7"/>
  <c r="F30" i="7"/>
  <c r="I30" i="7"/>
  <c r="J30" i="7"/>
  <c r="F31" i="7"/>
  <c r="I31" i="7"/>
  <c r="J31" i="7"/>
  <c r="F32" i="7"/>
  <c r="I32" i="7"/>
  <c r="J32" i="7"/>
  <c r="F33" i="7"/>
  <c r="I33" i="7"/>
  <c r="J33" i="7"/>
  <c r="F35" i="7"/>
  <c r="I35" i="7"/>
  <c r="J35" i="7"/>
  <c r="F36" i="7"/>
  <c r="I36" i="7"/>
  <c r="J36" i="7"/>
  <c r="F37" i="7"/>
  <c r="I37" i="7"/>
  <c r="J37" i="7"/>
  <c r="F38" i="7"/>
  <c r="I38" i="7"/>
  <c r="J38" i="7"/>
  <c r="F39" i="7"/>
  <c r="I39" i="7"/>
  <c r="J39" i="7"/>
  <c r="F43" i="7"/>
  <c r="G43" i="7"/>
  <c r="I43" i="7"/>
  <c r="J43" i="7"/>
  <c r="F44" i="7"/>
  <c r="F47" i="7"/>
  <c r="G47" i="7"/>
  <c r="I47" i="7"/>
  <c r="J47" i="7"/>
  <c r="F48" i="7"/>
  <c r="I48" i="7"/>
  <c r="J48" i="7"/>
  <c r="F49" i="7"/>
  <c r="I49" i="7"/>
  <c r="J49" i="7"/>
  <c r="F50" i="7"/>
  <c r="I50" i="7"/>
  <c r="J50" i="7"/>
  <c r="F53" i="7"/>
  <c r="G53" i="7"/>
  <c r="I53" i="7"/>
  <c r="J53" i="7"/>
  <c r="F58" i="7"/>
  <c r="G58" i="7"/>
  <c r="I58" i="7"/>
  <c r="J58" i="7"/>
  <c r="B1" i="12"/>
  <c r="G14" i="12"/>
  <c r="A71" i="1"/>
  <c r="F89" i="1"/>
  <c r="R89" i="1" s="1"/>
  <c r="F105" i="1"/>
  <c r="R105" i="1" s="1"/>
  <c r="A148" i="1"/>
  <c r="A166" i="1"/>
  <c r="A174" i="1"/>
  <c r="E8" i="5"/>
  <c r="B14" i="5"/>
  <c r="B15" i="5"/>
  <c r="B39" i="5"/>
  <c r="G14" i="9"/>
  <c r="C299" i="1"/>
  <c r="C300" i="1"/>
  <c r="C301" i="1"/>
  <c r="C302" i="1"/>
  <c r="C303" i="1"/>
  <c r="C304" i="1"/>
  <c r="C307" i="1"/>
  <c r="C308" i="1"/>
  <c r="C309" i="1"/>
  <c r="C310" i="1"/>
  <c r="C311" i="1"/>
  <c r="C312" i="1"/>
  <c r="C315" i="1"/>
  <c r="C316" i="1"/>
  <c r="C317" i="1"/>
  <c r="C318" i="1"/>
  <c r="C319" i="1"/>
  <c r="C320" i="1"/>
  <c r="C321" i="1"/>
  <c r="C322" i="1"/>
  <c r="C323" i="1"/>
  <c r="C324" i="1"/>
  <c r="C325" i="1"/>
  <c r="C326" i="1"/>
  <c r="C329" i="1"/>
  <c r="C330" i="1"/>
  <c r="C331" i="1"/>
  <c r="C332" i="1"/>
  <c r="C333" i="1"/>
  <c r="C334" i="1"/>
  <c r="C337" i="1"/>
  <c r="C338" i="1"/>
  <c r="C339" i="1"/>
  <c r="C340" i="1"/>
  <c r="C341" i="1"/>
  <c r="C342" i="1"/>
  <c r="C345" i="1"/>
  <c r="C346" i="1"/>
  <c r="C347" i="1"/>
  <c r="C348" i="1"/>
  <c r="C349" i="1"/>
  <c r="C350" i="1"/>
  <c r="C351" i="1"/>
  <c r="C352" i="1"/>
  <c r="C353" i="1"/>
  <c r="C354" i="1"/>
  <c r="C355" i="1"/>
  <c r="C356" i="1"/>
  <c r="C359" i="1"/>
  <c r="C360" i="1"/>
  <c r="C361" i="1"/>
  <c r="D6" i="8"/>
  <c r="H6" i="8"/>
  <c r="E7" i="8"/>
  <c r="G7" i="8"/>
  <c r="B26" i="8"/>
  <c r="D31" i="8"/>
  <c r="H31" i="8"/>
  <c r="E32" i="8"/>
  <c r="G32" i="8"/>
  <c r="B51" i="8"/>
  <c r="C12" i="15"/>
  <c r="A32" i="16"/>
  <c r="A72" i="16" s="1"/>
  <c r="F107" i="16" s="1"/>
  <c r="L107" i="16"/>
  <c r="C522" i="1"/>
  <c r="C523" i="1"/>
  <c r="C525" i="1"/>
  <c r="C526" i="1"/>
  <c r="C527" i="1"/>
  <c r="C528" i="1"/>
  <c r="C529" i="1"/>
  <c r="C530" i="1"/>
  <c r="C531" i="1"/>
  <c r="C532" i="1"/>
  <c r="C534" i="1"/>
  <c r="C535" i="1"/>
  <c r="C536" i="1"/>
  <c r="C537" i="1"/>
  <c r="C538" i="1"/>
  <c r="C539" i="1"/>
  <c r="C540" i="1"/>
  <c r="C541" i="1"/>
  <c r="C542" i="1"/>
  <c r="C543" i="1"/>
  <c r="C544" i="1"/>
  <c r="C545" i="1"/>
  <c r="C546" i="1"/>
  <c r="C547" i="1"/>
  <c r="C548" i="1"/>
  <c r="C549" i="1"/>
  <c r="C550" i="1"/>
  <c r="C551" i="1"/>
  <c r="C552" i="1"/>
  <c r="C553" i="1"/>
  <c r="C557" i="1"/>
  <c r="C558" i="1"/>
  <c r="F558" i="1"/>
  <c r="R558" i="1" s="1"/>
  <c r="C559" i="1"/>
  <c r="C561" i="1"/>
  <c r="C562" i="1"/>
  <c r="C563" i="1"/>
  <c r="C564" i="1"/>
  <c r="C565" i="1"/>
  <c r="C566" i="1"/>
  <c r="F566" i="1"/>
  <c r="R566" i="1" s="1"/>
  <c r="C567" i="1"/>
  <c r="F567" i="1"/>
  <c r="R567" i="1" s="1"/>
  <c r="C568" i="1"/>
  <c r="F568" i="1"/>
  <c r="R568" i="1" s="1"/>
  <c r="C569" i="1"/>
  <c r="C571" i="1"/>
  <c r="C572" i="1"/>
  <c r="C573" i="1"/>
  <c r="F573" i="1"/>
  <c r="R573" i="1" s="1"/>
  <c r="C574" i="1"/>
  <c r="C575" i="1"/>
  <c r="C576" i="1"/>
  <c r="C577" i="1"/>
  <c r="C578" i="1"/>
  <c r="C579" i="1"/>
  <c r="C580" i="1"/>
  <c r="C581" i="1"/>
  <c r="C582" i="1"/>
  <c r="C583" i="1"/>
  <c r="C584" i="1"/>
  <c r="C585" i="1"/>
  <c r="C586" i="1"/>
  <c r="C587" i="1"/>
  <c r="C588" i="1"/>
  <c r="C589" i="1"/>
  <c r="C590" i="1"/>
  <c r="C591" i="1"/>
  <c r="C595" i="1"/>
  <c r="C596" i="1"/>
  <c r="C597" i="1"/>
  <c r="C599" i="1"/>
  <c r="C600" i="1"/>
  <c r="C601" i="1"/>
  <c r="C602" i="1"/>
  <c r="C603" i="1"/>
  <c r="C604" i="1"/>
  <c r="C605" i="1"/>
  <c r="C606" i="1"/>
  <c r="C607" i="1"/>
  <c r="C609" i="1"/>
  <c r="C610" i="1"/>
  <c r="C611" i="1"/>
  <c r="C612" i="1"/>
  <c r="C613" i="1"/>
  <c r="C614" i="1"/>
  <c r="C615" i="1"/>
  <c r="C616" i="1"/>
  <c r="C617" i="1"/>
  <c r="C618" i="1"/>
  <c r="C619" i="1"/>
  <c r="C620" i="1"/>
  <c r="C621" i="1"/>
  <c r="C622" i="1"/>
  <c r="C623" i="1"/>
  <c r="C624" i="1"/>
  <c r="C625" i="1"/>
  <c r="C626" i="1"/>
  <c r="C627" i="1"/>
  <c r="C628" i="1"/>
  <c r="C629" i="1"/>
  <c r="C633" i="1"/>
  <c r="C634" i="1"/>
  <c r="C635" i="1"/>
  <c r="C637" i="1"/>
  <c r="C638" i="1"/>
  <c r="C639" i="1"/>
  <c r="C640" i="1"/>
  <c r="C641" i="1"/>
  <c r="C642" i="1"/>
  <c r="F642" i="1"/>
  <c r="R642" i="1" s="1"/>
  <c r="C643" i="1"/>
  <c r="F643" i="1"/>
  <c r="R643" i="1" s="1"/>
  <c r="C644" i="1"/>
  <c r="F644" i="1"/>
  <c r="R644" i="1" s="1"/>
  <c r="C645" i="1"/>
  <c r="C647" i="1"/>
  <c r="C648" i="1"/>
  <c r="C649" i="1"/>
  <c r="F649" i="1"/>
  <c r="R649" i="1" s="1"/>
  <c r="C650" i="1"/>
  <c r="C651" i="1"/>
  <c r="C652" i="1"/>
  <c r="C653" i="1"/>
  <c r="C654" i="1"/>
  <c r="C655" i="1"/>
  <c r="C656" i="1"/>
  <c r="C657" i="1"/>
  <c r="C658" i="1"/>
  <c r="C659" i="1"/>
  <c r="C660" i="1"/>
  <c r="C661" i="1"/>
  <c r="C662" i="1"/>
  <c r="C663" i="1"/>
  <c r="C664" i="1"/>
  <c r="C665" i="1"/>
  <c r="C666" i="1"/>
  <c r="F666" i="1"/>
  <c r="R666" i="1" s="1"/>
  <c r="C667" i="1"/>
  <c r="C672" i="1"/>
  <c r="C673" i="1"/>
  <c r="C674" i="1"/>
  <c r="C675" i="1"/>
  <c r="C676" i="1"/>
  <c r="C677" i="1"/>
  <c r="C678" i="1"/>
  <c r="C679" i="1"/>
  <c r="C681" i="1"/>
  <c r="C682" i="1"/>
  <c r="C683" i="1"/>
  <c r="C684" i="1"/>
  <c r="C685" i="1"/>
  <c r="C686" i="1"/>
  <c r="C688" i="1"/>
  <c r="C689" i="1"/>
  <c r="C690" i="1"/>
  <c r="C691" i="1"/>
  <c r="C692" i="1"/>
  <c r="C693" i="1"/>
  <c r="C695" i="1"/>
  <c r="C696" i="1"/>
  <c r="C697" i="1"/>
  <c r="C698" i="1"/>
  <c r="C699" i="1"/>
  <c r="C700" i="1"/>
  <c r="C704" i="1"/>
  <c r="C705" i="1"/>
  <c r="C706" i="1"/>
  <c r="C707" i="1"/>
  <c r="C708" i="1"/>
  <c r="C709" i="1"/>
  <c r="C710" i="1"/>
  <c r="C711" i="1"/>
  <c r="C713" i="1"/>
  <c r="C714" i="1"/>
  <c r="C715" i="1"/>
  <c r="C716" i="1"/>
  <c r="C717" i="1"/>
  <c r="C718" i="1"/>
  <c r="C720" i="1"/>
  <c r="C721" i="1"/>
  <c r="C722" i="1"/>
  <c r="C723" i="1"/>
  <c r="C724" i="1"/>
  <c r="C725" i="1"/>
  <c r="C727" i="1"/>
  <c r="C728" i="1"/>
  <c r="C729" i="1"/>
  <c r="C730" i="1"/>
  <c r="C731" i="1"/>
  <c r="C732" i="1"/>
  <c r="C736" i="1"/>
  <c r="C737" i="1"/>
  <c r="C738" i="1"/>
  <c r="C739" i="1"/>
  <c r="C740" i="1"/>
  <c r="C741" i="1"/>
  <c r="F741" i="1"/>
  <c r="R741" i="1" s="1"/>
  <c r="C742" i="1"/>
  <c r="F742" i="1"/>
  <c r="R742" i="1" s="1"/>
  <c r="C743" i="1"/>
  <c r="C745" i="1"/>
  <c r="C746" i="1"/>
  <c r="C747" i="1"/>
  <c r="F747" i="1"/>
  <c r="R747" i="1" s="1"/>
  <c r="C748" i="1"/>
  <c r="F748" i="1"/>
  <c r="R748" i="1" s="1"/>
  <c r="C749" i="1"/>
  <c r="F749" i="1"/>
  <c r="R749" i="1" s="1"/>
  <c r="C750" i="1"/>
  <c r="C752" i="1"/>
  <c r="C753" i="1"/>
  <c r="C754" i="1"/>
  <c r="C755" i="1"/>
  <c r="F755" i="1"/>
  <c r="R755" i="1" s="1"/>
  <c r="C756" i="1"/>
  <c r="F756" i="1"/>
  <c r="R756" i="1" s="1"/>
  <c r="C757" i="1"/>
  <c r="C759" i="1"/>
  <c r="C760" i="1"/>
  <c r="C761" i="1"/>
  <c r="C762" i="1"/>
  <c r="C763" i="1"/>
  <c r="F763" i="1"/>
  <c r="R763" i="1" s="1"/>
  <c r="C764" i="1"/>
  <c r="A11" i="16"/>
  <c r="R56" i="16" s="1"/>
  <c r="N72" i="16"/>
  <c r="B9" i="15"/>
  <c r="B19" i="15"/>
  <c r="B41" i="15"/>
  <c r="C12" i="11"/>
  <c r="C12" i="10"/>
  <c r="G60" i="9"/>
  <c r="G61" i="9" s="1"/>
  <c r="G34" i="9"/>
  <c r="F421" i="1"/>
  <c r="R421" i="1" s="1"/>
  <c r="C10" i="12"/>
  <c r="H510" i="1"/>
  <c r="G47" i="12"/>
  <c r="H513" i="1" s="1"/>
  <c r="T513" i="1" s="1"/>
  <c r="H45" i="12"/>
  <c r="H10" i="12" s="1"/>
  <c r="H474" i="1" s="1"/>
  <c r="T474" i="1" s="1"/>
  <c r="F799" i="1"/>
  <c r="R799" i="1" s="1"/>
  <c r="F801" i="1"/>
  <c r="R801" i="1" s="1"/>
  <c r="F792" i="1"/>
  <c r="R792" i="1" s="1"/>
  <c r="H599" i="1"/>
  <c r="F139" i="1"/>
  <c r="R139" i="1" s="1"/>
  <c r="J46" i="14"/>
  <c r="H760" i="1" s="1"/>
  <c r="T760" i="1" s="1"/>
  <c r="B42" i="5"/>
  <c r="B185" i="1" s="1"/>
  <c r="L185" i="1" s="1"/>
  <c r="K185" i="1" s="1"/>
  <c r="F800" i="1"/>
  <c r="R800" i="1" s="1"/>
  <c r="F793" i="1"/>
  <c r="R793" i="1" s="1"/>
  <c r="F754" i="1"/>
  <c r="R754" i="1" s="1"/>
  <c r="J10" i="14"/>
  <c r="H740" i="1" s="1"/>
  <c r="T740" i="1" s="1"/>
  <c r="F509" i="1"/>
  <c r="R509" i="1" s="1"/>
  <c r="F503" i="1"/>
  <c r="R503" i="1" s="1"/>
  <c r="I27" i="14"/>
  <c r="H718" i="1"/>
  <c r="T718" i="1" s="1"/>
  <c r="F281" i="1"/>
  <c r="R281" i="1" s="1"/>
  <c r="H29" i="7"/>
  <c r="H269" i="1" s="1"/>
  <c r="T269" i="1" s="1"/>
  <c r="B52" i="1"/>
  <c r="F473" i="1"/>
  <c r="R473" i="1" s="1"/>
  <c r="F718" i="1"/>
  <c r="R718" i="1" s="1"/>
  <c r="J24" i="15"/>
  <c r="H650" i="1" s="1"/>
  <c r="T650" i="1" s="1"/>
  <c r="H612" i="1"/>
  <c r="T612" i="1" s="1"/>
  <c r="B32" i="1"/>
  <c r="B49" i="1"/>
  <c r="B15" i="1"/>
  <c r="C27" i="9"/>
  <c r="H386" i="1" s="1"/>
  <c r="T386" i="1" s="1"/>
  <c r="E53" i="4"/>
  <c r="H409" i="1"/>
  <c r="T409" i="1" s="1"/>
  <c r="F496" i="1"/>
  <c r="R496" i="1" s="1"/>
  <c r="B474" i="1"/>
  <c r="B737" i="1"/>
  <c r="L737" i="1" s="1"/>
  <c r="K737" i="1" s="1"/>
  <c r="F769" i="1"/>
  <c r="R769" i="1" s="1"/>
  <c r="B302" i="1"/>
  <c r="B318" i="1"/>
  <c r="B310" i="1"/>
  <c r="B18" i="1"/>
  <c r="B35" i="1"/>
  <c r="F323" i="1"/>
  <c r="R323" i="1" s="1"/>
  <c r="F324" i="1"/>
  <c r="B40" i="5"/>
  <c r="B183" i="1" s="1"/>
  <c r="B168" i="1"/>
  <c r="D13" i="5"/>
  <c r="B158" i="1" s="1"/>
  <c r="B23" i="5"/>
  <c r="F163" i="1" s="1"/>
  <c r="R163" i="1" s="1"/>
  <c r="J11" i="7"/>
  <c r="E24" i="7" s="1"/>
  <c r="G24" i="7" s="1"/>
  <c r="E23" i="7"/>
  <c r="F22" i="14"/>
  <c r="J22" i="14" s="1"/>
  <c r="H745" i="1" s="1"/>
  <c r="T745" i="1" s="1"/>
  <c r="B34" i="1"/>
  <c r="B51" i="1"/>
  <c r="B17" i="1"/>
  <c r="B21" i="1"/>
  <c r="J21" i="1" s="1"/>
  <c r="B38" i="1"/>
  <c r="B55" i="1"/>
  <c r="B673" i="1"/>
  <c r="L673" i="1" s="1"/>
  <c r="K673" i="1" s="1"/>
  <c r="B705" i="1"/>
  <c r="H675" i="1"/>
  <c r="T675" i="1" s="1"/>
  <c r="B718" i="1"/>
  <c r="B750" i="1"/>
  <c r="C34" i="5"/>
  <c r="B34" i="5"/>
  <c r="B10" i="5"/>
  <c r="F10" i="5" s="1"/>
  <c r="B686" i="1"/>
  <c r="B26" i="1"/>
  <c r="B9" i="1"/>
  <c r="B43" i="1"/>
  <c r="B688" i="1"/>
  <c r="L688" i="1" s="1"/>
  <c r="K688" i="1" s="1"/>
  <c r="B752" i="1"/>
  <c r="F6" i="14"/>
  <c r="H672" i="1" s="1"/>
  <c r="T672" i="1" s="1"/>
  <c r="F16" i="8"/>
  <c r="H303" i="1" s="1"/>
  <c r="T303" i="1" s="1"/>
  <c r="I303" i="1" s="1"/>
  <c r="B315" i="1"/>
  <c r="B53" i="1"/>
  <c r="D23" i="5"/>
  <c r="H155" i="1"/>
  <c r="T155" i="1" s="1"/>
  <c r="H150" i="1"/>
  <c r="T150" i="1" s="1"/>
  <c r="F155" i="1"/>
  <c r="R155" i="1" s="1"/>
  <c r="J75" i="1" l="1"/>
  <c r="L273" i="1"/>
  <c r="K273" i="1" s="1"/>
  <c r="F517" i="1"/>
  <c r="R517" i="1" s="1"/>
  <c r="J23" i="7"/>
  <c r="H681" i="1"/>
  <c r="T681" i="1" s="1"/>
  <c r="I681" i="1" s="1"/>
  <c r="F23" i="7"/>
  <c r="F29" i="7" s="1"/>
  <c r="E9" i="5"/>
  <c r="F7" i="5"/>
  <c r="I728" i="1"/>
  <c r="J146" i="1"/>
  <c r="F760" i="1"/>
  <c r="R760" i="1" s="1"/>
  <c r="E6" i="5"/>
  <c r="G44" i="7"/>
  <c r="L513" i="1"/>
  <c r="K513" i="1" s="1"/>
  <c r="J44" i="7"/>
  <c r="L333" i="1"/>
  <c r="K333" i="1" s="1"/>
  <c r="E32" i="5"/>
  <c r="I44" i="7"/>
  <c r="I474" i="1"/>
  <c r="E33" i="5"/>
  <c r="E34" i="5"/>
  <c r="U66" i="17"/>
  <c r="I717" i="1"/>
  <c r="H260" i="1"/>
  <c r="T260" i="1" s="1"/>
  <c r="I260" i="1" s="1"/>
  <c r="J471" i="1"/>
  <c r="I722" i="1"/>
  <c r="J722" i="1" s="1"/>
  <c r="L704" i="1"/>
  <c r="K704" i="1" s="1"/>
  <c r="L482" i="1"/>
  <c r="K482" i="1" s="1"/>
  <c r="J741" i="1"/>
  <c r="L489" i="1"/>
  <c r="K489" i="1" s="1"/>
  <c r="J728" i="1"/>
  <c r="J268" i="1"/>
  <c r="J301" i="1"/>
  <c r="J473" i="1"/>
  <c r="I473" i="1"/>
  <c r="L473" i="1"/>
  <c r="K473" i="1" s="1"/>
  <c r="T478" i="1"/>
  <c r="F479" i="1"/>
  <c r="R479" i="1" s="1"/>
  <c r="T289" i="1"/>
  <c r="I289" i="1" s="1"/>
  <c r="F291" i="1"/>
  <c r="R291" i="1" s="1"/>
  <c r="I291" i="1" s="1"/>
  <c r="F761" i="1"/>
  <c r="R761" i="1" s="1"/>
  <c r="T729" i="1"/>
  <c r="L729" i="1" s="1"/>
  <c r="K729" i="1" s="1"/>
  <c r="F732" i="1"/>
  <c r="R732" i="1" s="1"/>
  <c r="T574" i="1"/>
  <c r="F650" i="1"/>
  <c r="R650" i="1" s="1"/>
  <c r="J513" i="1"/>
  <c r="T284" i="1"/>
  <c r="F285" i="1"/>
  <c r="R285" i="1" s="1"/>
  <c r="T483" i="1"/>
  <c r="F491" i="1"/>
  <c r="R491" i="1" s="1"/>
  <c r="I491" i="1" s="1"/>
  <c r="J491" i="1" s="1"/>
  <c r="T562" i="1"/>
  <c r="F638" i="1"/>
  <c r="R638" i="1" s="1"/>
  <c r="B178" i="1"/>
  <c r="B160" i="1"/>
  <c r="F511" i="1"/>
  <c r="R511" i="1" s="1"/>
  <c r="T510" i="1"/>
  <c r="L726" i="1"/>
  <c r="K726" i="1" s="1"/>
  <c r="I680" i="1"/>
  <c r="J729" i="1"/>
  <c r="J698" i="1"/>
  <c r="L698" i="1"/>
  <c r="K698" i="1" s="1"/>
  <c r="I416" i="1"/>
  <c r="L416" i="1"/>
  <c r="K416" i="1" s="1"/>
  <c r="J416" i="1"/>
  <c r="L410" i="1"/>
  <c r="K410" i="1" s="1"/>
  <c r="J410" i="1"/>
  <c r="I410" i="1"/>
  <c r="L272" i="1"/>
  <c r="K272" i="1" s="1"/>
  <c r="J272" i="1"/>
  <c r="I272" i="1"/>
  <c r="B41" i="5"/>
  <c r="I127" i="1"/>
  <c r="I110" i="1"/>
  <c r="I94" i="1"/>
  <c r="J490" i="1"/>
  <c r="L490" i="1"/>
  <c r="K490" i="1" s="1"/>
  <c r="I490" i="1"/>
  <c r="I830" i="1"/>
  <c r="J830" i="1" s="1"/>
  <c r="L830" i="1"/>
  <c r="L757" i="1"/>
  <c r="K757" i="1" s="1"/>
  <c r="I477" i="1"/>
  <c r="F322" i="1"/>
  <c r="R322" i="1" s="1"/>
  <c r="T321" i="1"/>
  <c r="I187" i="1"/>
  <c r="J187" i="1" s="1"/>
  <c r="L187" i="1"/>
  <c r="K187" i="1" s="1"/>
  <c r="L153" i="1"/>
  <c r="K153" i="1" s="1"/>
  <c r="I153" i="1"/>
  <c r="L21" i="1"/>
  <c r="K21" i="1" s="1"/>
  <c r="L762" i="1"/>
  <c r="K762" i="1" s="1"/>
  <c r="J762" i="1"/>
  <c r="I485" i="1"/>
  <c r="J485" i="1" s="1"/>
  <c r="L485" i="1"/>
  <c r="K485" i="1" s="1"/>
  <c r="I724" i="1"/>
  <c r="I521" i="1"/>
  <c r="L822" i="1"/>
  <c r="I763" i="1"/>
  <c r="L763" i="1"/>
  <c r="K763" i="1" s="1"/>
  <c r="I788" i="1"/>
  <c r="J788" i="1" s="1"/>
  <c r="L788" i="1"/>
  <c r="I745" i="1"/>
  <c r="L745" i="1"/>
  <c r="K745" i="1" s="1"/>
  <c r="I683" i="1"/>
  <c r="L683" i="1"/>
  <c r="K683" i="1" s="1"/>
  <c r="L386" i="1"/>
  <c r="K386" i="1" s="1"/>
  <c r="J386" i="1"/>
  <c r="I269" i="1"/>
  <c r="J269" i="1"/>
  <c r="L269" i="1"/>
  <c r="K269" i="1" s="1"/>
  <c r="I489" i="1"/>
  <c r="J489" i="1"/>
  <c r="I786" i="1"/>
  <c r="J786" i="1" s="1"/>
  <c r="L786" i="1"/>
  <c r="I500" i="1"/>
  <c r="J500" i="1" s="1"/>
  <c r="L500" i="1"/>
  <c r="K500" i="1" s="1"/>
  <c r="F187" i="1"/>
  <c r="R187" i="1" s="1"/>
  <c r="T183" i="1"/>
  <c r="I183" i="1" s="1"/>
  <c r="J183" i="1" s="1"/>
  <c r="F78" i="1"/>
  <c r="R78" i="1" s="1"/>
  <c r="T74" i="1"/>
  <c r="I74" i="1" s="1"/>
  <c r="J74" i="1" s="1"/>
  <c r="L299" i="1"/>
  <c r="K299" i="1" s="1"/>
  <c r="J299" i="1"/>
  <c r="J822" i="1"/>
  <c r="J810" i="1"/>
  <c r="I716" i="1"/>
  <c r="I684" i="1"/>
  <c r="L781" i="1"/>
  <c r="J496" i="1"/>
  <c r="L496" i="1"/>
  <c r="K496" i="1" s="1"/>
  <c r="I496" i="1"/>
  <c r="I273" i="1"/>
  <c r="J47" i="14"/>
  <c r="H761" i="1" s="1"/>
  <c r="T761" i="1" s="1"/>
  <c r="L761" i="1" s="1"/>
  <c r="K761" i="1" s="1"/>
  <c r="L719" i="1"/>
  <c r="K719" i="1" s="1"/>
  <c r="L760" i="1"/>
  <c r="K760" i="1" s="1"/>
  <c r="J760" i="1"/>
  <c r="I760" i="1"/>
  <c r="L742" i="1"/>
  <c r="K742" i="1" s="1"/>
  <c r="J742" i="1"/>
  <c r="I742" i="1"/>
  <c r="L728" i="1"/>
  <c r="K728" i="1" s="1"/>
  <c r="I713" i="1"/>
  <c r="L713" i="1"/>
  <c r="K713" i="1" s="1"/>
  <c r="J713" i="1"/>
  <c r="J697" i="1"/>
  <c r="I697" i="1"/>
  <c r="L697" i="1"/>
  <c r="K697" i="1" s="1"/>
  <c r="J415" i="1"/>
  <c r="L415" i="1"/>
  <c r="K415" i="1" s="1"/>
  <c r="J290" i="1"/>
  <c r="L290" i="1"/>
  <c r="K290" i="1" s="1"/>
  <c r="L268" i="1"/>
  <c r="K268" i="1" s="1"/>
  <c r="I268" i="1"/>
  <c r="L487" i="1"/>
  <c r="K487" i="1" s="1"/>
  <c r="J487" i="1"/>
  <c r="I487" i="1"/>
  <c r="L491" i="1"/>
  <c r="K491" i="1" s="1"/>
  <c r="J285" i="1"/>
  <c r="L155" i="1"/>
  <c r="K155" i="1" s="1"/>
  <c r="I155" i="1"/>
  <c r="J155" i="1" s="1"/>
  <c r="F361" i="1"/>
  <c r="R361" i="1" s="1"/>
  <c r="T326" i="1"/>
  <c r="J488" i="1"/>
  <c r="L488" i="1"/>
  <c r="K488" i="1" s="1"/>
  <c r="I488" i="1"/>
  <c r="I762" i="1"/>
  <c r="J716" i="1"/>
  <c r="I714" i="1"/>
  <c r="I772" i="1"/>
  <c r="J772" i="1" s="1"/>
  <c r="J684" i="1"/>
  <c r="L492" i="1"/>
  <c r="K492" i="1" s="1"/>
  <c r="I285" i="1"/>
  <c r="J185" i="1"/>
  <c r="L146" i="1"/>
  <c r="K146" i="1" s="1"/>
  <c r="L804" i="1"/>
  <c r="L730" i="1"/>
  <c r="K730" i="1" s="1"/>
  <c r="J730" i="1"/>
  <c r="L740" i="1"/>
  <c r="K740" i="1" s="1"/>
  <c r="I740" i="1"/>
  <c r="J740" i="1"/>
  <c r="L727" i="1"/>
  <c r="K727" i="1" s="1"/>
  <c r="J727" i="1"/>
  <c r="L681" i="1"/>
  <c r="K681" i="1" s="1"/>
  <c r="L169" i="1"/>
  <c r="K169" i="1" s="1"/>
  <c r="J169" i="1"/>
  <c r="L303" i="1"/>
  <c r="K303" i="1" s="1"/>
  <c r="J303" i="1"/>
  <c r="L123" i="1"/>
  <c r="K123" i="1" s="1"/>
  <c r="J123" i="1"/>
  <c r="I123" i="1"/>
  <c r="J106" i="1"/>
  <c r="L106" i="1"/>
  <c r="K106" i="1" s="1"/>
  <c r="I106" i="1"/>
  <c r="J483" i="1"/>
  <c r="L483" i="1"/>
  <c r="K483" i="1" s="1"/>
  <c r="I826" i="1"/>
  <c r="L826" i="1"/>
  <c r="J826" i="1"/>
  <c r="I783" i="1"/>
  <c r="J783" i="1" s="1"/>
  <c r="L783" i="1"/>
  <c r="L495" i="1"/>
  <c r="K495" i="1" s="1"/>
  <c r="I495" i="1"/>
  <c r="J495" i="1"/>
  <c r="L270" i="1"/>
  <c r="K270" i="1" s="1"/>
  <c r="J270" i="1"/>
  <c r="I741" i="1"/>
  <c r="I502" i="1"/>
  <c r="L502" i="1"/>
  <c r="K502" i="1" s="1"/>
  <c r="J781" i="1"/>
  <c r="I698" i="1"/>
  <c r="J714" i="1"/>
  <c r="J690" i="1"/>
  <c r="I673" i="1"/>
  <c r="J673" i="1" s="1"/>
  <c r="L77" i="1"/>
  <c r="K77" i="1" s="1"/>
  <c r="I831" i="1"/>
  <c r="J831" i="1" s="1"/>
  <c r="L831" i="1"/>
  <c r="F745" i="1"/>
  <c r="R745" i="1" s="1"/>
  <c r="C11" i="15"/>
  <c r="D151" i="1"/>
  <c r="P151" i="1" s="1"/>
  <c r="I151" i="1" s="1"/>
  <c r="H34" i="12"/>
  <c r="H497" i="1" s="1"/>
  <c r="T497" i="1" s="1"/>
  <c r="J497" i="1" s="1"/>
  <c r="L758" i="1"/>
  <c r="K758" i="1" s="1"/>
  <c r="L712" i="1"/>
  <c r="K712" i="1" s="1"/>
  <c r="I712" i="1"/>
  <c r="I555" i="1"/>
  <c r="L555" i="1"/>
  <c r="K555" i="1" s="1"/>
  <c r="F136" i="1"/>
  <c r="R136" i="1" s="1"/>
  <c r="T97" i="1"/>
  <c r="I756" i="1"/>
  <c r="J756" i="1"/>
  <c r="L756" i="1"/>
  <c r="K756" i="1" s="1"/>
  <c r="L724" i="1"/>
  <c r="K724" i="1" s="1"/>
  <c r="I678" i="1"/>
  <c r="J678" i="1"/>
  <c r="L678" i="1"/>
  <c r="K678" i="1" s="1"/>
  <c r="L414" i="1"/>
  <c r="K414" i="1" s="1"/>
  <c r="I414" i="1"/>
  <c r="J414" i="1"/>
  <c r="J288" i="1"/>
  <c r="L288" i="1"/>
  <c r="K288" i="1" s="1"/>
  <c r="I122" i="1"/>
  <c r="I105" i="1"/>
  <c r="J105" i="1"/>
  <c r="I89" i="1"/>
  <c r="L89" i="1"/>
  <c r="K89" i="1" s="1"/>
  <c r="J89" i="1"/>
  <c r="I478" i="1"/>
  <c r="L478" i="1"/>
  <c r="K478" i="1" s="1"/>
  <c r="J478" i="1"/>
  <c r="I825" i="1"/>
  <c r="J825" i="1" s="1"/>
  <c r="L825" i="1"/>
  <c r="I782" i="1"/>
  <c r="J782" i="1" s="1"/>
  <c r="L782" i="1"/>
  <c r="L486" i="1"/>
  <c r="K486" i="1" s="1"/>
  <c r="I486" i="1"/>
  <c r="J486" i="1" s="1"/>
  <c r="L73" i="1"/>
  <c r="K73" i="1" s="1"/>
  <c r="J73" i="1"/>
  <c r="F752" i="1"/>
  <c r="R752" i="1" s="1"/>
  <c r="T720" i="1"/>
  <c r="J720" i="1" s="1"/>
  <c r="I696" i="1"/>
  <c r="L710" i="1"/>
  <c r="K710" i="1" s="1"/>
  <c r="L690" i="1"/>
  <c r="K690" i="1" s="1"/>
  <c r="I509" i="1"/>
  <c r="J509" i="1" s="1"/>
  <c r="L501" i="1"/>
  <c r="K501" i="1" s="1"/>
  <c r="J329" i="1"/>
  <c r="I180" i="1"/>
  <c r="J180" i="1" s="1"/>
  <c r="L295" i="1"/>
  <c r="K295" i="1" s="1"/>
  <c r="F637" i="1"/>
  <c r="R637" i="1" s="1"/>
  <c r="T599" i="1"/>
  <c r="I50" i="14"/>
  <c r="H732" i="1" s="1"/>
  <c r="T732" i="1" s="1"/>
  <c r="J732" i="1" s="1"/>
  <c r="F762" i="1"/>
  <c r="R762" i="1" s="1"/>
  <c r="F634" i="1"/>
  <c r="R634" i="1" s="1"/>
  <c r="D150" i="1"/>
  <c r="P150" i="1" s="1"/>
  <c r="I150" i="1" s="1"/>
  <c r="J150" i="1" s="1"/>
  <c r="F141" i="1"/>
  <c r="R141" i="1" s="1"/>
  <c r="J755" i="1"/>
  <c r="L755" i="1"/>
  <c r="K755" i="1" s="1"/>
  <c r="I755" i="1"/>
  <c r="I738" i="1"/>
  <c r="J738" i="1" s="1"/>
  <c r="L738" i="1"/>
  <c r="K738" i="1" s="1"/>
  <c r="L723" i="1"/>
  <c r="K723" i="1" s="1"/>
  <c r="J723" i="1"/>
  <c r="I708" i="1"/>
  <c r="L708" i="1"/>
  <c r="K708" i="1" s="1"/>
  <c r="L692" i="1"/>
  <c r="K692" i="1" s="1"/>
  <c r="J677" i="1"/>
  <c r="I677" i="1"/>
  <c r="L284" i="1"/>
  <c r="K284" i="1" s="1"/>
  <c r="I284" i="1"/>
  <c r="J284" i="1"/>
  <c r="L152" i="1"/>
  <c r="K152" i="1" s="1"/>
  <c r="J152" i="1"/>
  <c r="L301" i="1"/>
  <c r="K301" i="1" s="1"/>
  <c r="I88" i="1"/>
  <c r="J472" i="1"/>
  <c r="L281" i="1"/>
  <c r="K281" i="1" s="1"/>
  <c r="I281" i="1"/>
  <c r="L265" i="1"/>
  <c r="K265" i="1" s="1"/>
  <c r="J265" i="1"/>
  <c r="F69" i="1"/>
  <c r="R69" i="1" s="1"/>
  <c r="T68" i="1"/>
  <c r="I271" i="1"/>
  <c r="L271" i="1"/>
  <c r="K271" i="1" s="1"/>
  <c r="J271" i="1"/>
  <c r="J502" i="1"/>
  <c r="L170" i="1"/>
  <c r="K170" i="1" s="1"/>
  <c r="L514" i="1"/>
  <c r="K514" i="1" s="1"/>
  <c r="I128" i="1"/>
  <c r="I703" i="1"/>
  <c r="L703" i="1"/>
  <c r="K703" i="1" s="1"/>
  <c r="L400" i="1"/>
  <c r="K400" i="1" s="1"/>
  <c r="J400" i="1"/>
  <c r="I721" i="1"/>
  <c r="L721" i="1"/>
  <c r="K721" i="1" s="1"/>
  <c r="J721" i="1"/>
  <c r="I691" i="1"/>
  <c r="J691" i="1"/>
  <c r="I676" i="1"/>
  <c r="J676" i="1"/>
  <c r="L676" i="1"/>
  <c r="K676" i="1" s="1"/>
  <c r="L413" i="1"/>
  <c r="K413" i="1" s="1"/>
  <c r="J413" i="1"/>
  <c r="L279" i="1"/>
  <c r="K279" i="1" s="1"/>
  <c r="I279" i="1"/>
  <c r="J279" i="1"/>
  <c r="J511" i="1"/>
  <c r="I780" i="1"/>
  <c r="J780" i="1" s="1"/>
  <c r="L780" i="1"/>
  <c r="L505" i="1"/>
  <c r="K505" i="1" s="1"/>
  <c r="L294" i="1"/>
  <c r="K294" i="1" s="1"/>
  <c r="J294" i="1"/>
  <c r="F142" i="1"/>
  <c r="R142" i="1" s="1"/>
  <c r="T140" i="1"/>
  <c r="J79" i="1"/>
  <c r="L79" i="1"/>
  <c r="K79" i="1" s="1"/>
  <c r="F68" i="1"/>
  <c r="R68" i="1" s="1"/>
  <c r="T65" i="1"/>
  <c r="L276" i="1"/>
  <c r="K276" i="1" s="1"/>
  <c r="J276" i="1"/>
  <c r="J709" i="1"/>
  <c r="I692" i="1"/>
  <c r="I177" i="1"/>
  <c r="J80" i="1"/>
  <c r="J273" i="1"/>
  <c r="L810" i="1"/>
  <c r="I95" i="1"/>
  <c r="L256" i="1"/>
  <c r="K256" i="1" s="1"/>
  <c r="I158" i="1"/>
  <c r="F62" i="1"/>
  <c r="T23" i="1"/>
  <c r="J704" i="1"/>
  <c r="I704" i="1"/>
  <c r="I674" i="1"/>
  <c r="J674" i="1" s="1"/>
  <c r="L674" i="1"/>
  <c r="K674" i="1" s="1"/>
  <c r="J278" i="1"/>
  <c r="L278" i="1"/>
  <c r="K278" i="1" s="1"/>
  <c r="J260" i="1"/>
  <c r="L260" i="1"/>
  <c r="K260" i="1" s="1"/>
  <c r="L76" i="1"/>
  <c r="K76" i="1" s="1"/>
  <c r="J76" i="1"/>
  <c r="L510" i="1"/>
  <c r="K510" i="1" s="1"/>
  <c r="I510" i="1"/>
  <c r="I817" i="1"/>
  <c r="J817" i="1" s="1"/>
  <c r="L817" i="1"/>
  <c r="I779" i="1"/>
  <c r="J779" i="1" s="1"/>
  <c r="L779" i="1"/>
  <c r="F738" i="1"/>
  <c r="R738" i="1" s="1"/>
  <c r="T706" i="1"/>
  <c r="L706" i="1" s="1"/>
  <c r="K706" i="1" s="1"/>
  <c r="I484" i="1"/>
  <c r="J484" i="1" s="1"/>
  <c r="L484" i="1"/>
  <c r="K484" i="1" s="1"/>
  <c r="L471" i="1"/>
  <c r="K471" i="1" s="1"/>
  <c r="J280" i="1"/>
  <c r="L280" i="1"/>
  <c r="K280" i="1" s="1"/>
  <c r="F180" i="1"/>
  <c r="R180" i="1" s="1"/>
  <c r="T176" i="1"/>
  <c r="I176" i="1" s="1"/>
  <c r="L135" i="1"/>
  <c r="K135" i="1" s="1"/>
  <c r="F65" i="1"/>
  <c r="R65" i="1" s="1"/>
  <c r="T63" i="1"/>
  <c r="I754" i="1"/>
  <c r="J754" i="1" s="1"/>
  <c r="L754" i="1"/>
  <c r="K754" i="1" s="1"/>
  <c r="L150" i="1"/>
  <c r="K150" i="1" s="1"/>
  <c r="I729" i="1"/>
  <c r="J696" i="1"/>
  <c r="I806" i="1"/>
  <c r="J806" i="1" s="1"/>
  <c r="I483" i="1"/>
  <c r="I415" i="1"/>
  <c r="J510" i="1"/>
  <c r="J333" i="1"/>
  <c r="L741" i="1"/>
  <c r="K741" i="1" s="1"/>
  <c r="I111" i="1"/>
  <c r="I749" i="1"/>
  <c r="L749" i="1"/>
  <c r="K749" i="1" s="1"/>
  <c r="J749" i="1"/>
  <c r="J672" i="1"/>
  <c r="I672" i="1"/>
  <c r="L672" i="1"/>
  <c r="K672" i="1" s="1"/>
  <c r="J412" i="1"/>
  <c r="L412" i="1"/>
  <c r="K412" i="1" s="1"/>
  <c r="L277" i="1"/>
  <c r="K277" i="1" s="1"/>
  <c r="J277" i="1"/>
  <c r="I277" i="1"/>
  <c r="L506" i="1"/>
  <c r="K506" i="1" s="1"/>
  <c r="J506" i="1"/>
  <c r="I506" i="1"/>
  <c r="L816" i="1"/>
  <c r="I816" i="1"/>
  <c r="J816" i="1" s="1"/>
  <c r="F774" i="1"/>
  <c r="R774" i="1" s="1"/>
  <c r="F737" i="1"/>
  <c r="R737" i="1" s="1"/>
  <c r="I737" i="1" s="1"/>
  <c r="J737" i="1" s="1"/>
  <c r="T705" i="1"/>
  <c r="L705" i="1" s="1"/>
  <c r="K705" i="1" s="1"/>
  <c r="I503" i="1"/>
  <c r="J503" i="1" s="1"/>
  <c r="L503" i="1"/>
  <c r="K503" i="1" s="1"/>
  <c r="J261" i="1"/>
  <c r="L261" i="1"/>
  <c r="K261" i="1" s="1"/>
  <c r="L105" i="1"/>
  <c r="K105" i="1" s="1"/>
  <c r="J61" i="1"/>
  <c r="L61" i="1"/>
  <c r="K61" i="1" s="1"/>
  <c r="I727" i="1"/>
  <c r="J692" i="1"/>
  <c r="J745" i="1"/>
  <c r="I413" i="1"/>
  <c r="J256" i="1"/>
  <c r="J477" i="1"/>
  <c r="I820" i="1"/>
  <c r="J820" i="1" s="1"/>
  <c r="L820" i="1"/>
  <c r="J474" i="1"/>
  <c r="L474" i="1"/>
  <c r="K474" i="1" s="1"/>
  <c r="F164" i="1"/>
  <c r="R164" i="1" s="1"/>
  <c r="T163" i="1"/>
  <c r="J731" i="1"/>
  <c r="L731" i="1"/>
  <c r="K731" i="1" s="1"/>
  <c r="J717" i="1"/>
  <c r="L717" i="1"/>
  <c r="K717" i="1" s="1"/>
  <c r="L685" i="1"/>
  <c r="K685" i="1" s="1"/>
  <c r="I685" i="1"/>
  <c r="J275" i="1"/>
  <c r="I275" i="1"/>
  <c r="L275" i="1"/>
  <c r="K275" i="1" s="1"/>
  <c r="I130" i="1"/>
  <c r="L504" i="1"/>
  <c r="K504" i="1" s="1"/>
  <c r="F773" i="1"/>
  <c r="R773" i="1" s="1"/>
  <c r="J482" i="1"/>
  <c r="I399" i="1"/>
  <c r="J399" i="1" s="1"/>
  <c r="L399" i="1"/>
  <c r="K399" i="1" s="1"/>
  <c r="L291" i="1"/>
  <c r="K291" i="1" s="1"/>
  <c r="J291" i="1"/>
  <c r="J134" i="1"/>
  <c r="L134" i="1"/>
  <c r="K134" i="1" s="1"/>
  <c r="I805" i="1"/>
  <c r="J805" i="1" s="1"/>
  <c r="L805" i="1"/>
  <c r="J683" i="1"/>
  <c r="J763" i="1"/>
  <c r="I787" i="1"/>
  <c r="J787" i="1" s="1"/>
  <c r="J710" i="1"/>
  <c r="I688" i="1"/>
  <c r="L479" i="1"/>
  <c r="K479" i="1" s="1"/>
  <c r="I479" i="1"/>
  <c r="J479" i="1" s="1"/>
  <c r="L78" i="1"/>
  <c r="K78" i="1" s="1"/>
  <c r="I78" i="1"/>
  <c r="J78" i="1" s="1"/>
  <c r="F172" i="1"/>
  <c r="R172" i="1" s="1"/>
  <c r="I172" i="1" s="1"/>
  <c r="J172" i="1" s="1"/>
  <c r="I718" i="1"/>
  <c r="L718" i="1"/>
  <c r="K718" i="1" s="1"/>
  <c r="J718" i="1"/>
  <c r="F325" i="1"/>
  <c r="R325" i="1" s="1"/>
  <c r="R324" i="1"/>
  <c r="H511" i="1"/>
  <c r="T511" i="1" s="1"/>
  <c r="L511" i="1" s="1"/>
  <c r="K511" i="1" s="1"/>
  <c r="E31" i="5"/>
  <c r="J21" i="15"/>
  <c r="H647" i="1" s="1"/>
  <c r="T647" i="1" s="1"/>
  <c r="L735" i="1"/>
  <c r="K735" i="1" s="1"/>
  <c r="L687" i="1"/>
  <c r="K687" i="1" s="1"/>
  <c r="J748" i="1"/>
  <c r="L748" i="1"/>
  <c r="K748" i="1" s="1"/>
  <c r="I748" i="1"/>
  <c r="I699" i="1"/>
  <c r="J699" i="1"/>
  <c r="L417" i="1"/>
  <c r="K417" i="1" s="1"/>
  <c r="J411" i="1"/>
  <c r="L411" i="1"/>
  <c r="K411" i="1" s="1"/>
  <c r="J274" i="1"/>
  <c r="L274" i="1"/>
  <c r="K274" i="1" s="1"/>
  <c r="I129" i="1"/>
  <c r="I112" i="1"/>
  <c r="I96" i="1"/>
  <c r="I497" i="1"/>
  <c r="L497" i="1"/>
  <c r="K497" i="1" s="1"/>
  <c r="I832" i="1"/>
  <c r="J832" i="1" s="1"/>
  <c r="L832" i="1"/>
  <c r="F772" i="1"/>
  <c r="R772" i="1" s="1"/>
  <c r="L725" i="1"/>
  <c r="K725" i="1" s="1"/>
  <c r="L693" i="1"/>
  <c r="K693" i="1" s="1"/>
  <c r="I501" i="1"/>
  <c r="J501" i="1" s="1"/>
  <c r="L172" i="1"/>
  <c r="K172" i="1" s="1"/>
  <c r="L60" i="1"/>
  <c r="K60" i="1" s="1"/>
  <c r="J60" i="1"/>
  <c r="J681" i="1"/>
  <c r="I723" i="1"/>
  <c r="I709" i="1"/>
  <c r="I730" i="1"/>
  <c r="J708" i="1"/>
  <c r="L680" i="1"/>
  <c r="K680" i="1" s="1"/>
  <c r="J688" i="1"/>
  <c r="I417" i="1"/>
  <c r="I263" i="1"/>
  <c r="I386" i="1"/>
  <c r="L827" i="1"/>
  <c r="D34" i="15"/>
  <c r="D22" i="15"/>
  <c r="D36" i="15"/>
  <c r="D606" i="1"/>
  <c r="P606" i="1" s="1"/>
  <c r="E18" i="15"/>
  <c r="D93" i="1"/>
  <c r="P93" i="1" s="1"/>
  <c r="D31" i="4"/>
  <c r="D111" i="1"/>
  <c r="P111" i="1" s="1"/>
  <c r="F32" i="4"/>
  <c r="D130" i="1"/>
  <c r="P130" i="1" s="1"/>
  <c r="H34" i="4"/>
  <c r="D14" i="1"/>
  <c r="P14" i="1" s="1"/>
  <c r="I14" i="1" s="1"/>
  <c r="D11" i="3"/>
  <c r="D53" i="1"/>
  <c r="P53" i="1" s="1"/>
  <c r="J53" i="1" s="1"/>
  <c r="H16" i="3"/>
  <c r="B449" i="1"/>
  <c r="C9" i="11"/>
  <c r="D44" i="1"/>
  <c r="P44" i="1" s="1"/>
  <c r="I44" i="1" s="1"/>
  <c r="H7" i="3"/>
  <c r="D110" i="1"/>
  <c r="P110" i="1" s="1"/>
  <c r="F31" i="4"/>
  <c r="D27" i="6"/>
  <c r="D15" i="1"/>
  <c r="P15" i="1" s="1"/>
  <c r="I15" i="1" s="1"/>
  <c r="D12" i="3"/>
  <c r="D36" i="1"/>
  <c r="P36" i="1" s="1"/>
  <c r="I36" i="1" s="1"/>
  <c r="F16" i="3"/>
  <c r="D94" i="1"/>
  <c r="P94" i="1" s="1"/>
  <c r="D32" i="4"/>
  <c r="F94" i="1" s="1"/>
  <c r="R94" i="1" s="1"/>
  <c r="D112" i="1"/>
  <c r="P112" i="1" s="1"/>
  <c r="F33" i="4"/>
  <c r="C5" i="9"/>
  <c r="C36" i="9" s="1"/>
  <c r="F30" i="6"/>
  <c r="E26" i="6"/>
  <c r="D37" i="1"/>
  <c r="P37" i="1" s="1"/>
  <c r="I37" i="1" s="1"/>
  <c r="F17" i="3"/>
  <c r="D384" i="1"/>
  <c r="P384" i="1" s="1"/>
  <c r="L384" i="1" s="1"/>
  <c r="K384" i="1" s="1"/>
  <c r="H26" i="9"/>
  <c r="G26" i="9" s="1"/>
  <c r="D95" i="1"/>
  <c r="P95" i="1" s="1"/>
  <c r="D33" i="4"/>
  <c r="D113" i="1"/>
  <c r="P113" i="1" s="1"/>
  <c r="F34" i="4"/>
  <c r="D129" i="1"/>
  <c r="P129" i="1" s="1"/>
  <c r="H33" i="4"/>
  <c r="E30" i="6"/>
  <c r="E40" i="15"/>
  <c r="D27" i="1"/>
  <c r="P27" i="1" s="1"/>
  <c r="I27" i="1" s="1"/>
  <c r="F7" i="3"/>
  <c r="D19" i="1"/>
  <c r="P19" i="1" s="1"/>
  <c r="I19" i="1" s="1"/>
  <c r="D16" i="3"/>
  <c r="G55" i="8"/>
  <c r="D383" i="1"/>
  <c r="P383" i="1" s="1"/>
  <c r="L383" i="1" s="1"/>
  <c r="K383" i="1" s="1"/>
  <c r="H25" i="9"/>
  <c r="G25" i="9" s="1"/>
  <c r="D34" i="4"/>
  <c r="D25" i="6"/>
  <c r="E17" i="15"/>
  <c r="D9" i="9"/>
  <c r="D45" i="1"/>
  <c r="P45" i="1" s="1"/>
  <c r="H8" i="3"/>
  <c r="I8" i="3" s="1"/>
  <c r="H45" i="1" s="1"/>
  <c r="T45" i="1" s="1"/>
  <c r="D20" i="1"/>
  <c r="P20" i="1" s="1"/>
  <c r="I20" i="1" s="1"/>
  <c r="D17" i="3"/>
  <c r="D39" i="1"/>
  <c r="P39" i="1" s="1"/>
  <c r="I39" i="1" s="1"/>
  <c r="F18" i="3"/>
  <c r="D50" i="1"/>
  <c r="P50" i="1" s="1"/>
  <c r="I50" i="1" s="1"/>
  <c r="H13" i="3"/>
  <c r="I13" i="3" s="1"/>
  <c r="H50" i="1" s="1"/>
  <c r="T50" i="1" s="1"/>
  <c r="G64" i="9"/>
  <c r="B421" i="1" s="1"/>
  <c r="H24" i="9"/>
  <c r="G24" i="9" s="1"/>
  <c r="H40" i="9"/>
  <c r="I40" i="9" s="1"/>
  <c r="D211" i="1"/>
  <c r="P211" i="1" s="1"/>
  <c r="D50" i="6"/>
  <c r="D128" i="1"/>
  <c r="P128" i="1" s="1"/>
  <c r="H32" i="4"/>
  <c r="F128" i="1" s="1"/>
  <c r="R128" i="1" s="1"/>
  <c r="F29" i="6"/>
  <c r="E23" i="15"/>
  <c r="G87" i="6"/>
  <c r="D381" i="1"/>
  <c r="P381" i="1" s="1"/>
  <c r="J381" i="1" s="1"/>
  <c r="H23" i="9"/>
  <c r="G23" i="9" s="1"/>
  <c r="D210" i="1"/>
  <c r="P210" i="1" s="1"/>
  <c r="D49" i="6"/>
  <c r="E29" i="6"/>
  <c r="H31" i="9"/>
  <c r="D46" i="1"/>
  <c r="P46" i="1" s="1"/>
  <c r="H9" i="3"/>
  <c r="I9" i="3" s="1"/>
  <c r="H46" i="1" s="1"/>
  <c r="T46" i="1" s="1"/>
  <c r="D22" i="1"/>
  <c r="P22" i="1" s="1"/>
  <c r="I22" i="1" s="1"/>
  <c r="D18" i="3"/>
  <c r="D56" i="1"/>
  <c r="P56" i="1" s="1"/>
  <c r="I56" i="1" s="1"/>
  <c r="H18" i="3"/>
  <c r="D49" i="1"/>
  <c r="P49" i="1" s="1"/>
  <c r="I49" i="1" s="1"/>
  <c r="H12" i="3"/>
  <c r="G86" i="6"/>
  <c r="D367" i="1"/>
  <c r="P367" i="1" s="1"/>
  <c r="J367" i="1" s="1"/>
  <c r="H15" i="9"/>
  <c r="G15" i="9" s="1"/>
  <c r="D127" i="1"/>
  <c r="P127" i="1" s="1"/>
  <c r="H31" i="4"/>
  <c r="D122" i="1"/>
  <c r="P122" i="1" s="1"/>
  <c r="H26" i="4"/>
  <c r="E16" i="15"/>
  <c r="D389" i="1"/>
  <c r="P389" i="1" s="1"/>
  <c r="F9" i="9"/>
  <c r="D31" i="1"/>
  <c r="P31" i="1" s="1"/>
  <c r="I31" i="1" s="1"/>
  <c r="F11" i="3"/>
  <c r="G85" i="6"/>
  <c r="E70" i="6"/>
  <c r="E8" i="15"/>
  <c r="J5" i="15"/>
  <c r="H5" i="15"/>
  <c r="B3" i="15"/>
  <c r="B1" i="15"/>
  <c r="D12" i="1"/>
  <c r="P12" i="1" s="1"/>
  <c r="D9" i="3"/>
  <c r="E9" i="3" s="1"/>
  <c r="H12" i="1" s="1"/>
  <c r="T12" i="1" s="1"/>
  <c r="D32" i="1"/>
  <c r="P32" i="1" s="1"/>
  <c r="I32" i="1" s="1"/>
  <c r="F12" i="3"/>
  <c r="D48" i="1"/>
  <c r="P48" i="1" s="1"/>
  <c r="I48" i="1" s="1"/>
  <c r="H11" i="3"/>
  <c r="E69" i="6"/>
  <c r="D88" i="1"/>
  <c r="P88" i="1" s="1"/>
  <c r="D26" i="4"/>
  <c r="D35" i="1"/>
  <c r="P35" i="1" s="1"/>
  <c r="I35" i="1" s="1"/>
  <c r="J35" i="1" s="1"/>
  <c r="F15" i="3"/>
  <c r="B426" i="1"/>
  <c r="C9" i="10"/>
  <c r="E82" i="6"/>
  <c r="D33" i="1"/>
  <c r="P33" i="1" s="1"/>
  <c r="F13" i="3"/>
  <c r="G13" i="3" s="1"/>
  <c r="H33" i="1" s="1"/>
  <c r="T33" i="1" s="1"/>
  <c r="C82" i="6"/>
  <c r="D82" i="6" s="1"/>
  <c r="D47" i="1"/>
  <c r="P47" i="1" s="1"/>
  <c r="H10" i="3"/>
  <c r="I10" i="3" s="1"/>
  <c r="H47" i="1" s="1"/>
  <c r="T47" i="1" s="1"/>
  <c r="H17" i="3"/>
  <c r="E27" i="6"/>
  <c r="D29" i="6"/>
  <c r="R58" i="16"/>
  <c r="E10" i="5"/>
  <c r="F725" i="1"/>
  <c r="R725" i="1" s="1"/>
  <c r="I725" i="1" s="1"/>
  <c r="J725" i="1" s="1"/>
  <c r="F373" i="1"/>
  <c r="R373" i="1" s="1"/>
  <c r="B176" i="1"/>
  <c r="L176" i="1" s="1"/>
  <c r="K176" i="1" s="1"/>
  <c r="J31" i="14"/>
  <c r="H752" i="1" s="1"/>
  <c r="T752" i="1" s="1"/>
  <c r="J752" i="1" s="1"/>
  <c r="E7" i="5"/>
  <c r="H300" i="1"/>
  <c r="T300" i="1" s="1"/>
  <c r="F280" i="1"/>
  <c r="R280" i="1" s="1"/>
  <c r="I280" i="1" s="1"/>
  <c r="B331" i="1"/>
  <c r="B347" i="1"/>
  <c r="G23" i="7"/>
  <c r="D238" i="1"/>
  <c r="P238" i="1" s="1"/>
  <c r="D54" i="1"/>
  <c r="P54" i="1" s="1"/>
  <c r="I54" i="1" s="1"/>
  <c r="D212" i="1"/>
  <c r="P212" i="1" s="1"/>
  <c r="D197" i="1"/>
  <c r="P197" i="1" s="1"/>
  <c r="D96" i="1"/>
  <c r="P96" i="1" s="1"/>
  <c r="D38" i="1"/>
  <c r="P38" i="1" s="1"/>
  <c r="I38" i="1" s="1"/>
  <c r="D382" i="1"/>
  <c r="P382" i="1" s="1"/>
  <c r="L382" i="1" s="1"/>
  <c r="K382" i="1" s="1"/>
  <c r="X6" i="16"/>
  <c r="H36" i="8"/>
  <c r="D15" i="6"/>
  <c r="E25" i="6"/>
  <c r="D16" i="6"/>
  <c r="D28" i="6"/>
  <c r="D7" i="6"/>
  <c r="D26" i="6"/>
  <c r="E46" i="6" s="1"/>
  <c r="C9" i="6"/>
  <c r="D5" i="6"/>
  <c r="D13" i="6" s="1"/>
  <c r="E28" i="6"/>
  <c r="C20" i="6"/>
  <c r="E43" i="6" s="1"/>
  <c r="C21" i="6"/>
  <c r="E44" i="6" s="1"/>
  <c r="D366" i="1"/>
  <c r="P366" i="1" s="1"/>
  <c r="I366" i="1" s="1"/>
  <c r="D4" i="11"/>
  <c r="N6" i="16"/>
  <c r="X5" i="16"/>
  <c r="D12" i="15" s="1"/>
  <c r="B7" i="16"/>
  <c r="C10" i="6"/>
  <c r="D55" i="1"/>
  <c r="P55" i="1" s="1"/>
  <c r="I55" i="1" s="1"/>
  <c r="H14" i="8"/>
  <c r="H17" i="8"/>
  <c r="D244" i="1"/>
  <c r="P244" i="1" s="1"/>
  <c r="D4" i="10"/>
  <c r="D5" i="10"/>
  <c r="D6" i="10"/>
  <c r="D558" i="1"/>
  <c r="P558" i="1" s="1"/>
  <c r="D334" i="1"/>
  <c r="P334" i="1" s="1"/>
  <c r="D332" i="1"/>
  <c r="P332" i="1" s="1"/>
  <c r="I332" i="1" s="1"/>
  <c r="D199" i="1"/>
  <c r="P199" i="1" s="1"/>
  <c r="D523" i="1"/>
  <c r="P523" i="1" s="1"/>
  <c r="D536" i="1"/>
  <c r="P536" i="1" s="1"/>
  <c r="D535" i="1"/>
  <c r="P535" i="1" s="1"/>
  <c r="D530" i="1"/>
  <c r="P530" i="1" s="1"/>
  <c r="D532" i="1"/>
  <c r="P532" i="1" s="1"/>
  <c r="D5" i="11"/>
  <c r="D6" i="11"/>
  <c r="D200" i="1"/>
  <c r="P200" i="1" s="1"/>
  <c r="F679" i="1"/>
  <c r="R679" i="1" s="1"/>
  <c r="F736" i="1"/>
  <c r="R736" i="1" s="1"/>
  <c r="E41" i="5"/>
  <c r="B43" i="5"/>
  <c r="F263" i="1"/>
  <c r="R263" i="1" s="1"/>
  <c r="F497" i="1"/>
  <c r="R497" i="1" s="1"/>
  <c r="F505" i="1"/>
  <c r="R505" i="1" s="1"/>
  <c r="I505" i="1" s="1"/>
  <c r="J505" i="1" s="1"/>
  <c r="H695" i="1"/>
  <c r="T695" i="1" s="1"/>
  <c r="J695" i="1" s="1"/>
  <c r="F50" i="14"/>
  <c r="H700" i="1" s="1"/>
  <c r="T700" i="1" s="1"/>
  <c r="L700" i="1" s="1"/>
  <c r="K700" i="1" s="1"/>
  <c r="J45" i="14"/>
  <c r="G29" i="7"/>
  <c r="E42" i="5"/>
  <c r="B154" i="1"/>
  <c r="B171" i="1"/>
  <c r="H24" i="7"/>
  <c r="H263" i="1" s="1"/>
  <c r="T263" i="1" s="1"/>
  <c r="J263" i="1" s="1"/>
  <c r="F24" i="7"/>
  <c r="I24" i="7"/>
  <c r="J24" i="7"/>
  <c r="J6" i="14"/>
  <c r="H736" i="1" s="1"/>
  <c r="T736" i="1" s="1"/>
  <c r="L736" i="1" s="1"/>
  <c r="K736" i="1" s="1"/>
  <c r="E43" i="5"/>
  <c r="E40" i="5"/>
  <c r="J29" i="7"/>
  <c r="F647" i="1"/>
  <c r="R647" i="1" s="1"/>
  <c r="H23" i="7"/>
  <c r="H262" i="1" s="1"/>
  <c r="T262" i="1" s="1"/>
  <c r="I262" i="1" s="1"/>
  <c r="H259" i="1"/>
  <c r="T259" i="1" s="1"/>
  <c r="I259" i="1" s="1"/>
  <c r="F514" i="1"/>
  <c r="R514" i="1" s="1"/>
  <c r="I514" i="1" s="1"/>
  <c r="J514" i="1" s="1"/>
  <c r="H689" i="1"/>
  <c r="T689" i="1" s="1"/>
  <c r="J689" i="1" s="1"/>
  <c r="J32" i="14"/>
  <c r="H753" i="1" s="1"/>
  <c r="I23" i="7"/>
  <c r="F768" i="1"/>
  <c r="R768" i="1" s="1"/>
  <c r="I768" i="1" s="1"/>
  <c r="J768" i="1" s="1"/>
  <c r="F770" i="1"/>
  <c r="R770" i="1" s="1"/>
  <c r="G56" i="8"/>
  <c r="I55" i="8" s="1"/>
  <c r="B342" i="1"/>
  <c r="E42" i="8"/>
  <c r="F42" i="8" s="1"/>
  <c r="B334" i="1"/>
  <c r="B350" i="1"/>
  <c r="F23" i="14"/>
  <c r="D168" i="1"/>
  <c r="P168" i="1" s="1"/>
  <c r="I168" i="1" s="1"/>
  <c r="D36" i="9"/>
  <c r="B401" i="1" s="1"/>
  <c r="F512" i="1"/>
  <c r="R512" i="1" s="1"/>
  <c r="I512" i="1" s="1"/>
  <c r="J512" i="1" s="1"/>
  <c r="B46" i="8"/>
  <c r="B43" i="8"/>
  <c r="B351" i="1" s="1"/>
  <c r="B715" i="1"/>
  <c r="B747" i="1"/>
  <c r="B91" i="1"/>
  <c r="B108" i="1"/>
  <c r="B125" i="1"/>
  <c r="B10" i="1"/>
  <c r="B44" i="1"/>
  <c r="L44" i="1" s="1"/>
  <c r="K44" i="1" s="1"/>
  <c r="B27" i="1"/>
  <c r="D25" i="7"/>
  <c r="D7" i="7"/>
  <c r="F513" i="1"/>
  <c r="R513" i="1" s="1"/>
  <c r="I513" i="1" s="1"/>
  <c r="F492" i="1"/>
  <c r="R492" i="1" s="1"/>
  <c r="I492" i="1" s="1"/>
  <c r="J492" i="1" s="1"/>
  <c r="F354" i="1"/>
  <c r="F353" i="1"/>
  <c r="R353" i="1" s="1"/>
  <c r="B675" i="1"/>
  <c r="B707" i="1"/>
  <c r="I9" i="14"/>
  <c r="E17" i="8"/>
  <c r="F17" i="8" s="1"/>
  <c r="E32" i="4"/>
  <c r="H94" i="1" s="1"/>
  <c r="T94" i="1" s="1"/>
  <c r="F791" i="1"/>
  <c r="R791" i="1" s="1"/>
  <c r="B56" i="1"/>
  <c r="B39" i="1"/>
  <c r="B22" i="1"/>
  <c r="B57" i="8"/>
  <c r="B359" i="1" s="1"/>
  <c r="B18" i="8"/>
  <c r="B321" i="1" s="1"/>
  <c r="B21" i="8"/>
  <c r="B59" i="8"/>
  <c r="B361" i="1" s="1"/>
  <c r="B30" i="1"/>
  <c r="B47" i="1"/>
  <c r="B13" i="1"/>
  <c r="B671" i="1"/>
  <c r="B13" i="14"/>
  <c r="B11" i="1"/>
  <c r="F295" i="1"/>
  <c r="R295" i="1" s="1"/>
  <c r="I295" i="1" s="1"/>
  <c r="E48" i="6" l="1"/>
  <c r="I752" i="1"/>
  <c r="I12" i="1"/>
  <c r="L720" i="1"/>
  <c r="K720" i="1" s="1"/>
  <c r="I732" i="1"/>
  <c r="I33" i="1"/>
  <c r="J31" i="1"/>
  <c r="L752" i="1"/>
  <c r="K752" i="1" s="1"/>
  <c r="I46" i="1"/>
  <c r="J45" i="1"/>
  <c r="J32" i="1"/>
  <c r="L32" i="1"/>
  <c r="K32" i="1" s="1"/>
  <c r="I720" i="1"/>
  <c r="I761" i="1"/>
  <c r="L263" i="1"/>
  <c r="K263" i="1" s="1"/>
  <c r="J761" i="1"/>
  <c r="L289" i="1"/>
  <c r="K289" i="1" s="1"/>
  <c r="J94" i="1"/>
  <c r="J289" i="1"/>
  <c r="L35" i="1"/>
  <c r="K35" i="1" s="1"/>
  <c r="L33" i="1"/>
  <c r="K33" i="1" s="1"/>
  <c r="J536" i="1"/>
  <c r="L536" i="1"/>
  <c r="K536" i="1" s="1"/>
  <c r="I536" i="1"/>
  <c r="J36" i="1"/>
  <c r="J736" i="1"/>
  <c r="L151" i="1"/>
  <c r="K151" i="1" s="1"/>
  <c r="L38" i="1"/>
  <c r="K38" i="1" s="1"/>
  <c r="J332" i="1"/>
  <c r="I747" i="1"/>
  <c r="L747" i="1"/>
  <c r="K747" i="1" s="1"/>
  <c r="J747" i="1"/>
  <c r="I715" i="1"/>
  <c r="L715" i="1"/>
  <c r="K715" i="1" s="1"/>
  <c r="J715" i="1"/>
  <c r="J19" i="1"/>
  <c r="I160" i="1"/>
  <c r="I511" i="1"/>
  <c r="J12" i="1"/>
  <c r="L39" i="1"/>
  <c r="K39" i="1" s="1"/>
  <c r="J39" i="1"/>
  <c r="I45" i="1"/>
  <c r="L31" i="1"/>
  <c r="K31" i="1" s="1"/>
  <c r="J38" i="1"/>
  <c r="L19" i="1"/>
  <c r="K19" i="1" s="1"/>
  <c r="J384" i="1"/>
  <c r="L45" i="1"/>
  <c r="K45" i="1" s="1"/>
  <c r="L689" i="1"/>
  <c r="K689" i="1" s="1"/>
  <c r="L36" i="1"/>
  <c r="K36" i="1" s="1"/>
  <c r="J55" i="1"/>
  <c r="L695" i="1"/>
  <c r="K695" i="1" s="1"/>
  <c r="J523" i="1"/>
  <c r="L523" i="1"/>
  <c r="K523" i="1" s="1"/>
  <c r="I523" i="1"/>
  <c r="I384" i="1"/>
  <c r="J22" i="1"/>
  <c r="L22" i="1"/>
  <c r="K22" i="1" s="1"/>
  <c r="L56" i="1"/>
  <c r="K56" i="1" s="1"/>
  <c r="J56" i="1"/>
  <c r="L54" i="1"/>
  <c r="K54" i="1" s="1"/>
  <c r="J50" i="1"/>
  <c r="B184" i="1"/>
  <c r="B177" i="1"/>
  <c r="L55" i="1"/>
  <c r="K55" i="1" s="1"/>
  <c r="I705" i="1"/>
  <c r="J705" i="1" s="1"/>
  <c r="L171" i="1"/>
  <c r="K171" i="1" s="1"/>
  <c r="J171" i="1"/>
  <c r="L154" i="1"/>
  <c r="K154" i="1" s="1"/>
  <c r="J154" i="1"/>
  <c r="L558" i="1"/>
  <c r="K558" i="1" s="1"/>
  <c r="J558" i="1"/>
  <c r="L331" i="1"/>
  <c r="K331" i="1" s="1"/>
  <c r="J331" i="1"/>
  <c r="L211" i="1"/>
  <c r="K211" i="1" s="1"/>
  <c r="I211" i="1"/>
  <c r="J211" i="1"/>
  <c r="L50" i="1"/>
  <c r="K50" i="1" s="1"/>
  <c r="J33" i="1"/>
  <c r="J366" i="1"/>
  <c r="L332" i="1"/>
  <c r="K332" i="1" s="1"/>
  <c r="I382" i="1"/>
  <c r="J46" i="1"/>
  <c r="L178" i="1"/>
  <c r="K178" i="1" s="1"/>
  <c r="J178" i="1"/>
  <c r="I736" i="1"/>
  <c r="I383" i="1"/>
  <c r="L367" i="1"/>
  <c r="K367" i="1" s="1"/>
  <c r="J48" i="1"/>
  <c r="L366" i="1"/>
  <c r="K366" i="1" s="1"/>
  <c r="L262" i="1"/>
  <c r="K262" i="1" s="1"/>
  <c r="I706" i="1"/>
  <c r="J706" i="1" s="1"/>
  <c r="J15" i="1"/>
  <c r="L14" i="1"/>
  <c r="K14" i="1" s="1"/>
  <c r="I381" i="1"/>
  <c r="L20" i="1"/>
  <c r="K20" i="1" s="1"/>
  <c r="J382" i="1"/>
  <c r="L46" i="1"/>
  <c r="K46" i="1" s="1"/>
  <c r="L183" i="1"/>
  <c r="K183" i="1" s="1"/>
  <c r="F355" i="1"/>
  <c r="R355" i="1" s="1"/>
  <c r="R354" i="1"/>
  <c r="I671" i="1"/>
  <c r="L671" i="1"/>
  <c r="K671" i="1" s="1"/>
  <c r="I32" i="4"/>
  <c r="H128" i="1" s="1"/>
  <c r="T128" i="1" s="1"/>
  <c r="L128" i="1" s="1"/>
  <c r="K128" i="1" s="1"/>
  <c r="L27" i="1"/>
  <c r="K27" i="1" s="1"/>
  <c r="J27" i="1"/>
  <c r="I47" i="1"/>
  <c r="J44" i="1"/>
  <c r="L48" i="1"/>
  <c r="K48" i="1" s="1"/>
  <c r="I700" i="1"/>
  <c r="J176" i="1"/>
  <c r="L732" i="1"/>
  <c r="K732" i="1" s="1"/>
  <c r="J262" i="1"/>
  <c r="L49" i="1"/>
  <c r="K49" i="1" s="1"/>
  <c r="L12" i="1"/>
  <c r="K12" i="1" s="1"/>
  <c r="I695" i="1"/>
  <c r="L15" i="1"/>
  <c r="K15" i="1" s="1"/>
  <c r="L381" i="1"/>
  <c r="K381" i="1" s="1"/>
  <c r="J20" i="1"/>
  <c r="L94" i="1"/>
  <c r="K94" i="1" s="1"/>
  <c r="L74" i="1"/>
  <c r="K74" i="1" s="1"/>
  <c r="I558" i="1"/>
  <c r="I689" i="1"/>
  <c r="C26" i="6"/>
  <c r="J47" i="1"/>
  <c r="L47" i="1"/>
  <c r="K47" i="1" s="1"/>
  <c r="J383" i="1"/>
  <c r="J700" i="1"/>
  <c r="J49" i="1"/>
  <c r="J37" i="1"/>
  <c r="J210" i="1"/>
  <c r="I210" i="1"/>
  <c r="L210" i="1"/>
  <c r="K210" i="1" s="1"/>
  <c r="L532" i="1"/>
  <c r="K532" i="1" s="1"/>
  <c r="J532" i="1"/>
  <c r="I532" i="1"/>
  <c r="F82" i="6"/>
  <c r="H238" i="1" s="1"/>
  <c r="J606" i="1"/>
  <c r="I606" i="1"/>
  <c r="L606" i="1"/>
  <c r="K606" i="1" s="1"/>
  <c r="L168" i="1"/>
  <c r="K168" i="1" s="1"/>
  <c r="J259" i="1"/>
  <c r="L37" i="1"/>
  <c r="K37" i="1" s="1"/>
  <c r="J14" i="1"/>
  <c r="J168" i="1"/>
  <c r="F757" i="1"/>
  <c r="R757" i="1" s="1"/>
  <c r="I757" i="1" s="1"/>
  <c r="J757" i="1" s="1"/>
  <c r="T753" i="1"/>
  <c r="L530" i="1"/>
  <c r="K530" i="1" s="1"/>
  <c r="I530" i="1"/>
  <c r="J530" i="1"/>
  <c r="J151" i="1"/>
  <c r="L259" i="1"/>
  <c r="K259" i="1" s="1"/>
  <c r="R62" i="1"/>
  <c r="F63" i="1"/>
  <c r="R63" i="1" s="1"/>
  <c r="I367" i="1"/>
  <c r="I675" i="1"/>
  <c r="J675" i="1"/>
  <c r="L675" i="1"/>
  <c r="K675" i="1" s="1"/>
  <c r="L53" i="1"/>
  <c r="K53" i="1" s="1"/>
  <c r="I53" i="1"/>
  <c r="J54" i="1"/>
  <c r="F318" i="1"/>
  <c r="R318" i="1" s="1"/>
  <c r="F346" i="1"/>
  <c r="R346" i="1" s="1"/>
  <c r="D553" i="1"/>
  <c r="P553" i="1" s="1"/>
  <c r="D628" i="1"/>
  <c r="P628" i="1" s="1"/>
  <c r="D101" i="1"/>
  <c r="P101" i="1" s="1"/>
  <c r="F22" i="4"/>
  <c r="F101" i="1" s="1"/>
  <c r="R101" i="1" s="1"/>
  <c r="H13" i="9"/>
  <c r="G13" i="9" s="1"/>
  <c r="D118" i="1"/>
  <c r="P118" i="1" s="1"/>
  <c r="H22" i="4"/>
  <c r="F118" i="1" s="1"/>
  <c r="R118" i="1" s="1"/>
  <c r="N7" i="16"/>
  <c r="E38" i="15"/>
  <c r="D376" i="1"/>
  <c r="P376" i="1" s="1"/>
  <c r="H18" i="9"/>
  <c r="G18" i="9" s="1"/>
  <c r="D568" i="1"/>
  <c r="P568" i="1" s="1"/>
  <c r="C13" i="11"/>
  <c r="H39" i="8"/>
  <c r="D10" i="1"/>
  <c r="P10" i="1" s="1"/>
  <c r="I10" i="1" s="1"/>
  <c r="D7" i="3"/>
  <c r="D544" i="1"/>
  <c r="P544" i="1" s="1"/>
  <c r="D31" i="15"/>
  <c r="B372" i="1"/>
  <c r="B31" i="9"/>
  <c r="B395" i="1" s="1"/>
  <c r="G31" i="9"/>
  <c r="F395" i="1" s="1"/>
  <c r="R395" i="1" s="1"/>
  <c r="B389" i="1"/>
  <c r="B29" i="9"/>
  <c r="B393" i="1" s="1"/>
  <c r="B387" i="1"/>
  <c r="B370" i="1"/>
  <c r="G29" i="9"/>
  <c r="D551" i="1"/>
  <c r="P551" i="1" s="1"/>
  <c r="D38" i="15"/>
  <c r="G38" i="15" s="1"/>
  <c r="D90" i="1"/>
  <c r="P90" i="1" s="1"/>
  <c r="D28" i="4"/>
  <c r="D539" i="1"/>
  <c r="P539" i="1" s="1"/>
  <c r="D26" i="15"/>
  <c r="G26" i="15" s="1"/>
  <c r="D107" i="1"/>
  <c r="P107" i="1" s="1"/>
  <c r="F28" i="4"/>
  <c r="E22" i="15"/>
  <c r="E34" i="15"/>
  <c r="C14" i="10"/>
  <c r="C15" i="11"/>
  <c r="D28" i="15"/>
  <c r="G28" i="15" s="1"/>
  <c r="D541" i="1"/>
  <c r="P541" i="1" s="1"/>
  <c r="D526" i="1"/>
  <c r="P526" i="1" s="1"/>
  <c r="C14" i="11"/>
  <c r="H20" i="9"/>
  <c r="G20" i="9" s="1"/>
  <c r="H6" i="6"/>
  <c r="G6" i="6"/>
  <c r="D32" i="15"/>
  <c r="G32" i="15" s="1"/>
  <c r="D545" i="1"/>
  <c r="P545" i="1" s="1"/>
  <c r="E9" i="9"/>
  <c r="D102" i="1"/>
  <c r="P102" i="1" s="1"/>
  <c r="F23" i="4"/>
  <c r="D566" i="1"/>
  <c r="P566" i="1" s="1"/>
  <c r="E39" i="15"/>
  <c r="E32" i="15"/>
  <c r="D19" i="10"/>
  <c r="H15" i="6"/>
  <c r="E92" i="6"/>
  <c r="G92" i="6" s="1"/>
  <c r="H248" i="1" s="1"/>
  <c r="T248" i="1" s="1"/>
  <c r="D103" i="1"/>
  <c r="P103" i="1" s="1"/>
  <c r="F24" i="4"/>
  <c r="G34" i="15"/>
  <c r="G22" i="15"/>
  <c r="G31" i="15"/>
  <c r="G36" i="15"/>
  <c r="G12" i="15"/>
  <c r="D525" i="1"/>
  <c r="P525" i="1" s="1"/>
  <c r="D550" i="1"/>
  <c r="P550" i="1" s="1"/>
  <c r="D37" i="15"/>
  <c r="G37" i="15" s="1"/>
  <c r="F93" i="1"/>
  <c r="R93" i="1" s="1"/>
  <c r="E31" i="4"/>
  <c r="H93" i="1" s="1"/>
  <c r="T93" i="1" s="1"/>
  <c r="J93" i="1" s="1"/>
  <c r="D549" i="1"/>
  <c r="P549" i="1" s="1"/>
  <c r="D84" i="1"/>
  <c r="P84" i="1" s="1"/>
  <c r="D22" i="4"/>
  <c r="F84" i="1" s="1"/>
  <c r="R84" i="1" s="1"/>
  <c r="H29" i="9"/>
  <c r="D120" i="1"/>
  <c r="P120" i="1" s="1"/>
  <c r="H24" i="4"/>
  <c r="E37" i="15"/>
  <c r="E30" i="15"/>
  <c r="D4" i="6"/>
  <c r="H9" i="6"/>
  <c r="D29" i="1"/>
  <c r="P29" i="1" s="1"/>
  <c r="F9" i="3"/>
  <c r="G9" i="3" s="1"/>
  <c r="H29" i="1" s="1"/>
  <c r="T29" i="1" s="1"/>
  <c r="D372" i="1"/>
  <c r="P372" i="1" s="1"/>
  <c r="I26" i="4"/>
  <c r="H122" i="1" s="1"/>
  <c r="T122" i="1" s="1"/>
  <c r="J122" i="1" s="1"/>
  <c r="F122" i="1"/>
  <c r="R122" i="1" s="1"/>
  <c r="E45" i="6"/>
  <c r="C25" i="6"/>
  <c r="H195" i="1" s="1"/>
  <c r="T195" i="1" s="1"/>
  <c r="H25" i="6"/>
  <c r="C33" i="6" s="1"/>
  <c r="E51" i="6" s="1"/>
  <c r="E50" i="6"/>
  <c r="C30" i="6"/>
  <c r="H200" i="1" s="1"/>
  <c r="T200" i="1" s="1"/>
  <c r="J200" i="1" s="1"/>
  <c r="D538" i="1"/>
  <c r="P538" i="1" s="1"/>
  <c r="D25" i="15"/>
  <c r="G25" i="15" s="1"/>
  <c r="D35" i="15"/>
  <c r="G35" i="15" s="1"/>
  <c r="D548" i="1"/>
  <c r="P548" i="1" s="1"/>
  <c r="F111" i="1"/>
  <c r="R111" i="1" s="1"/>
  <c r="G32" i="4"/>
  <c r="H111" i="1" s="1"/>
  <c r="T111" i="1" s="1"/>
  <c r="L111" i="1" s="1"/>
  <c r="K111" i="1" s="1"/>
  <c r="D86" i="1"/>
  <c r="P86" i="1" s="1"/>
  <c r="D24" i="4"/>
  <c r="D28" i="1"/>
  <c r="P28" i="1" s="1"/>
  <c r="F8" i="3"/>
  <c r="G8" i="3" s="1"/>
  <c r="H28" i="1" s="1"/>
  <c r="T28" i="1" s="1"/>
  <c r="E35" i="15"/>
  <c r="D578" i="1"/>
  <c r="P578" i="1" s="1"/>
  <c r="E28" i="15"/>
  <c r="C13" i="10"/>
  <c r="G11" i="6"/>
  <c r="D104" i="1"/>
  <c r="P104" i="1" s="1"/>
  <c r="F25" i="4"/>
  <c r="D395" i="1"/>
  <c r="P395" i="1" s="1"/>
  <c r="D529" i="1"/>
  <c r="P529" i="1" s="1"/>
  <c r="D15" i="15"/>
  <c r="G15" i="15" s="1"/>
  <c r="D547" i="1"/>
  <c r="P547" i="1" s="1"/>
  <c r="E15" i="15"/>
  <c r="E33" i="15"/>
  <c r="D614" i="1"/>
  <c r="P614" i="1" s="1"/>
  <c r="E26" i="15"/>
  <c r="C15" i="10"/>
  <c r="F25" i="6"/>
  <c r="X7" i="16"/>
  <c r="D30" i="1"/>
  <c r="P30" i="1" s="1"/>
  <c r="F10" i="3"/>
  <c r="G10" i="3" s="1"/>
  <c r="H30" i="1" s="1"/>
  <c r="T30" i="1" s="1"/>
  <c r="D16" i="1"/>
  <c r="P16" i="1" s="1"/>
  <c r="D13" i="3"/>
  <c r="E13" i="3" s="1"/>
  <c r="H16" i="1" s="1"/>
  <c r="T16" i="1" s="1"/>
  <c r="E49" i="6"/>
  <c r="C29" i="6"/>
  <c r="H199" i="1" s="1"/>
  <c r="T199" i="1" s="1"/>
  <c r="I199" i="1" s="1"/>
  <c r="F127" i="1"/>
  <c r="R127" i="1" s="1"/>
  <c r="I31" i="4"/>
  <c r="H127" i="1" s="1"/>
  <c r="T127" i="1" s="1"/>
  <c r="L127" i="1" s="1"/>
  <c r="K127" i="1" s="1"/>
  <c r="E34" i="4"/>
  <c r="H96" i="1" s="1"/>
  <c r="T96" i="1" s="1"/>
  <c r="L96" i="1" s="1"/>
  <c r="K96" i="1" s="1"/>
  <c r="F96" i="1"/>
  <c r="R96" i="1" s="1"/>
  <c r="F129" i="1"/>
  <c r="R129" i="1" s="1"/>
  <c r="I33" i="4"/>
  <c r="H129" i="1" s="1"/>
  <c r="T129" i="1" s="1"/>
  <c r="C27" i="6"/>
  <c r="H197" i="1" s="1"/>
  <c r="T197" i="1" s="1"/>
  <c r="L197" i="1" s="1"/>
  <c r="K197" i="1" s="1"/>
  <c r="E47" i="6"/>
  <c r="E31" i="15"/>
  <c r="D573" i="1"/>
  <c r="P573" i="1" s="1"/>
  <c r="N8" i="16"/>
  <c r="X8" i="16"/>
  <c r="D87" i="1"/>
  <c r="P87" i="1" s="1"/>
  <c r="D25" i="4"/>
  <c r="D11" i="1"/>
  <c r="P11" i="1" s="1"/>
  <c r="D8" i="3"/>
  <c r="E8" i="3" s="1"/>
  <c r="H11" i="1" s="1"/>
  <c r="T11" i="1" s="1"/>
  <c r="D14" i="15"/>
  <c r="G14" i="15" s="1"/>
  <c r="D528" i="1"/>
  <c r="P528" i="1" s="1"/>
  <c r="D109" i="1"/>
  <c r="P109" i="1" s="1"/>
  <c r="F30" i="4"/>
  <c r="E29" i="15"/>
  <c r="H19" i="9"/>
  <c r="G19" i="9" s="1"/>
  <c r="D436" i="1"/>
  <c r="P436" i="1" s="1"/>
  <c r="D7" i="10"/>
  <c r="F836" i="1"/>
  <c r="R836" i="1" s="1"/>
  <c r="F818" i="1"/>
  <c r="R818" i="1" s="1"/>
  <c r="F12" i="15"/>
  <c r="F11" i="15"/>
  <c r="H11" i="6"/>
  <c r="D13" i="1"/>
  <c r="P13" i="1" s="1"/>
  <c r="D10" i="3"/>
  <c r="E10" i="3" s="1"/>
  <c r="H13" i="1" s="1"/>
  <c r="T13" i="1" s="1"/>
  <c r="D85" i="1"/>
  <c r="P85" i="1" s="1"/>
  <c r="D23" i="4"/>
  <c r="F88" i="1"/>
  <c r="R88" i="1" s="1"/>
  <c r="E26" i="4"/>
  <c r="H88" i="1" s="1"/>
  <c r="T88" i="1" s="1"/>
  <c r="J88" i="1" s="1"/>
  <c r="D542" i="1"/>
  <c r="P542" i="1" s="1"/>
  <c r="D29" i="15"/>
  <c r="G29" i="15" s="1"/>
  <c r="G34" i="4"/>
  <c r="H113" i="1" s="1"/>
  <c r="T113" i="1" s="1"/>
  <c r="J113" i="1" s="1"/>
  <c r="F113" i="1"/>
  <c r="R113" i="1" s="1"/>
  <c r="F110" i="1"/>
  <c r="R110" i="1" s="1"/>
  <c r="G31" i="4"/>
  <c r="H110" i="1" s="1"/>
  <c r="T110" i="1" s="1"/>
  <c r="L110" i="1" s="1"/>
  <c r="K110" i="1" s="1"/>
  <c r="E36" i="15"/>
  <c r="D119" i="1"/>
  <c r="P119" i="1" s="1"/>
  <c r="H23" i="4"/>
  <c r="F119" i="1" s="1"/>
  <c r="R119" i="1" s="1"/>
  <c r="E27" i="15"/>
  <c r="H21" i="9"/>
  <c r="G21" i="9" s="1"/>
  <c r="D223" i="1"/>
  <c r="P223" i="1" s="1"/>
  <c r="D63" i="6"/>
  <c r="X9" i="16"/>
  <c r="F44" i="16" s="1"/>
  <c r="F45" i="16" s="1"/>
  <c r="F807" i="1" s="1"/>
  <c r="R807" i="1" s="1"/>
  <c r="D33" i="15"/>
  <c r="G33" i="15" s="1"/>
  <c r="D546" i="1"/>
  <c r="P546" i="1" s="1"/>
  <c r="B17" i="9"/>
  <c r="F401" i="1"/>
  <c r="R401" i="1" s="1"/>
  <c r="E25" i="15"/>
  <c r="N9" i="16"/>
  <c r="T65" i="16" s="1"/>
  <c r="T67" i="16" s="1"/>
  <c r="F812" i="1" s="1"/>
  <c r="R812" i="1" s="1"/>
  <c r="D230" i="1"/>
  <c r="P230" i="1" s="1"/>
  <c r="D70" i="6"/>
  <c r="D13" i="15"/>
  <c r="G13" i="15" s="1"/>
  <c r="D527" i="1"/>
  <c r="P527" i="1" s="1"/>
  <c r="D30" i="15"/>
  <c r="G30" i="15" s="1"/>
  <c r="D543" i="1"/>
  <c r="P543" i="1" s="1"/>
  <c r="D39" i="15"/>
  <c r="G39" i="15" s="1"/>
  <c r="D552" i="1"/>
  <c r="P552" i="1" s="1"/>
  <c r="E33" i="4"/>
  <c r="H95" i="1" s="1"/>
  <c r="T95" i="1" s="1"/>
  <c r="F95" i="1"/>
  <c r="R95" i="1" s="1"/>
  <c r="D124" i="1"/>
  <c r="P124" i="1" s="1"/>
  <c r="H28" i="4"/>
  <c r="F124" i="1" s="1"/>
  <c r="R124" i="1" s="1"/>
  <c r="D605" i="1"/>
  <c r="P605" i="1" s="1"/>
  <c r="D531" i="1"/>
  <c r="P531" i="1" s="1"/>
  <c r="D11" i="8"/>
  <c r="D121" i="1"/>
  <c r="P121" i="1" s="1"/>
  <c r="H25" i="4"/>
  <c r="C11" i="6"/>
  <c r="C13" i="6" s="1"/>
  <c r="E7" i="15"/>
  <c r="H22" i="9"/>
  <c r="G22" i="9" s="1"/>
  <c r="D459" i="1"/>
  <c r="P459" i="1" s="1"/>
  <c r="D7" i="11"/>
  <c r="D6" i="6"/>
  <c r="H42" i="8"/>
  <c r="D602" i="1"/>
  <c r="P602" i="1" s="1"/>
  <c r="E14" i="15"/>
  <c r="F27" i="6"/>
  <c r="G88" i="6"/>
  <c r="H244" i="1" s="1"/>
  <c r="T244" i="1" s="1"/>
  <c r="I244" i="1" s="1"/>
  <c r="D7" i="15"/>
  <c r="G7" i="15" s="1"/>
  <c r="D522" i="1"/>
  <c r="P522" i="1" s="1"/>
  <c r="D540" i="1"/>
  <c r="P540" i="1" s="1"/>
  <c r="D27" i="15"/>
  <c r="G27" i="15" s="1"/>
  <c r="F112" i="1"/>
  <c r="R112" i="1" s="1"/>
  <c r="G33" i="4"/>
  <c r="H112" i="1" s="1"/>
  <c r="T112" i="1" s="1"/>
  <c r="L112" i="1" s="1"/>
  <c r="K112" i="1" s="1"/>
  <c r="F130" i="1"/>
  <c r="R130" i="1" s="1"/>
  <c r="I34" i="4"/>
  <c r="H130" i="1" s="1"/>
  <c r="T130" i="1" s="1"/>
  <c r="L130" i="1" s="1"/>
  <c r="K130" i="1" s="1"/>
  <c r="D359" i="1"/>
  <c r="P359" i="1" s="1"/>
  <c r="I359" i="1" s="1"/>
  <c r="J359" i="1" s="1"/>
  <c r="D360" i="1"/>
  <c r="P360" i="1" s="1"/>
  <c r="D595" i="1"/>
  <c r="P595" i="1" s="1"/>
  <c r="D192" i="1"/>
  <c r="P192" i="1" s="1"/>
  <c r="D388" i="1"/>
  <c r="P388" i="1" s="1"/>
  <c r="D302" i="1"/>
  <c r="P302" i="1" s="1"/>
  <c r="D626" i="1"/>
  <c r="P626" i="1" s="1"/>
  <c r="D371" i="1"/>
  <c r="P371" i="1" s="1"/>
  <c r="D611" i="1"/>
  <c r="P611" i="1" s="1"/>
  <c r="D603" i="1"/>
  <c r="P603" i="1" s="1"/>
  <c r="F24" i="15"/>
  <c r="D634" i="1"/>
  <c r="P634" i="1" s="1"/>
  <c r="D572" i="1"/>
  <c r="P572" i="1" s="1"/>
  <c r="D610" i="1"/>
  <c r="P610" i="1" s="1"/>
  <c r="D622" i="1"/>
  <c r="P622" i="1" s="1"/>
  <c r="D596" i="1"/>
  <c r="P596" i="1" s="1"/>
  <c r="D406" i="1"/>
  <c r="P406" i="1" s="1"/>
  <c r="D24" i="15"/>
  <c r="G24" i="15" s="1"/>
  <c r="D377" i="1"/>
  <c r="P377" i="1" s="1"/>
  <c r="F21" i="15"/>
  <c r="D644" i="1"/>
  <c r="P644" i="1" s="1"/>
  <c r="D625" i="1"/>
  <c r="P625" i="1" s="1"/>
  <c r="D618" i="1"/>
  <c r="P618" i="1" s="1"/>
  <c r="D300" i="1"/>
  <c r="P300" i="1" s="1"/>
  <c r="D615" i="1"/>
  <c r="P615" i="1" s="1"/>
  <c r="D378" i="1"/>
  <c r="P378" i="1" s="1"/>
  <c r="D604" i="1"/>
  <c r="P604" i="1" s="1"/>
  <c r="D642" i="1"/>
  <c r="P642" i="1" s="1"/>
  <c r="D623" i="1"/>
  <c r="P623" i="1" s="1"/>
  <c r="D21" i="15"/>
  <c r="G21" i="15" s="1"/>
  <c r="D405" i="1"/>
  <c r="P405" i="1" s="1"/>
  <c r="D620" i="1"/>
  <c r="P620" i="1" s="1"/>
  <c r="D583" i="1"/>
  <c r="P583" i="1" s="1"/>
  <c r="D621" i="1"/>
  <c r="P621" i="1" s="1"/>
  <c r="D576" i="1"/>
  <c r="P576" i="1" s="1"/>
  <c r="D330" i="1"/>
  <c r="P330" i="1" s="1"/>
  <c r="D380" i="1"/>
  <c r="P380" i="1" s="1"/>
  <c r="D797" i="1"/>
  <c r="P797" i="1" s="1"/>
  <c r="D379" i="1"/>
  <c r="P379" i="1" s="1"/>
  <c r="D579" i="1"/>
  <c r="P579" i="1" s="1"/>
  <c r="D617" i="1"/>
  <c r="P617" i="1" s="1"/>
  <c r="D304" i="1"/>
  <c r="P304" i="1" s="1"/>
  <c r="D38" i="8"/>
  <c r="D370" i="1"/>
  <c r="P370" i="1" s="1"/>
  <c r="D365" i="1"/>
  <c r="P365" i="1" s="1"/>
  <c r="D8" i="7"/>
  <c r="H255" i="1" s="1"/>
  <c r="T255" i="1" s="1"/>
  <c r="H254" i="1"/>
  <c r="T254" i="1" s="1"/>
  <c r="H196" i="1"/>
  <c r="T196" i="1" s="1"/>
  <c r="B354" i="1"/>
  <c r="B355" i="1"/>
  <c r="I29" i="7"/>
  <c r="E44" i="5"/>
  <c r="H759" i="1"/>
  <c r="T759" i="1" s="1"/>
  <c r="J50" i="14"/>
  <c r="H764" i="1" s="1"/>
  <c r="T764" i="1" s="1"/>
  <c r="I28" i="4"/>
  <c r="H124" i="1" s="1"/>
  <c r="T124" i="1" s="1"/>
  <c r="F262" i="1"/>
  <c r="R262" i="1" s="1"/>
  <c r="F269" i="1"/>
  <c r="R269" i="1" s="1"/>
  <c r="C28" i="6"/>
  <c r="H198" i="1" s="1"/>
  <c r="T198" i="1" s="1"/>
  <c r="H682" i="1"/>
  <c r="T682" i="1" s="1"/>
  <c r="F27" i="14"/>
  <c r="H686" i="1" s="1"/>
  <c r="T686" i="1" s="1"/>
  <c r="J23" i="14"/>
  <c r="F753" i="1"/>
  <c r="R753" i="1" s="1"/>
  <c r="F693" i="1"/>
  <c r="R693" i="1" s="1"/>
  <c r="I693" i="1" s="1"/>
  <c r="J693" i="1" s="1"/>
  <c r="B179" i="1"/>
  <c r="B186" i="1"/>
  <c r="F759" i="1"/>
  <c r="R759" i="1" s="1"/>
  <c r="F700" i="1"/>
  <c r="R700" i="1" s="1"/>
  <c r="B711" i="1"/>
  <c r="B679" i="1"/>
  <c r="B743" i="1"/>
  <c r="H334" i="1"/>
  <c r="T334" i="1" s="1"/>
  <c r="J334" i="1" s="1"/>
  <c r="H25" i="7"/>
  <c r="H264" i="1" s="1"/>
  <c r="T264" i="1" s="1"/>
  <c r="I25" i="7"/>
  <c r="I26" i="7" s="1"/>
  <c r="F264" i="1"/>
  <c r="R264" i="1" s="1"/>
  <c r="J25" i="7"/>
  <c r="J26" i="7" s="1"/>
  <c r="F25" i="7"/>
  <c r="F26" i="7" s="1"/>
  <c r="G25" i="7"/>
  <c r="G26" i="7" s="1"/>
  <c r="B325" i="1"/>
  <c r="B324" i="1"/>
  <c r="H304" i="1"/>
  <c r="T304" i="1" s="1"/>
  <c r="E28" i="4"/>
  <c r="H90" i="1" s="1"/>
  <c r="T90" i="1" s="1"/>
  <c r="F90" i="1"/>
  <c r="R90" i="1" s="1"/>
  <c r="H707" i="1"/>
  <c r="T707" i="1" s="1"/>
  <c r="L707" i="1" s="1"/>
  <c r="K707" i="1" s="1"/>
  <c r="J9" i="14"/>
  <c r="H739" i="1" s="1"/>
  <c r="J30" i="1" l="1"/>
  <c r="L13" i="1"/>
  <c r="K13" i="1" s="1"/>
  <c r="I23" i="4"/>
  <c r="H119" i="1" s="1"/>
  <c r="T119" i="1" s="1"/>
  <c r="J119" i="1" s="1"/>
  <c r="L122" i="1"/>
  <c r="K122" i="1" s="1"/>
  <c r="L30" i="1"/>
  <c r="K30" i="1" s="1"/>
  <c r="L113" i="1"/>
  <c r="K113" i="1" s="1"/>
  <c r="J13" i="1"/>
  <c r="F265" i="1"/>
  <c r="R265" i="1" s="1"/>
  <c r="I265" i="1" s="1"/>
  <c r="L244" i="1"/>
  <c r="K244" i="1" s="1"/>
  <c r="L88" i="1"/>
  <c r="K88" i="1" s="1"/>
  <c r="J644" i="1"/>
  <c r="L644" i="1"/>
  <c r="K644" i="1" s="1"/>
  <c r="I644" i="1"/>
  <c r="I370" i="1"/>
  <c r="J370" i="1" s="1"/>
  <c r="L370" i="1"/>
  <c r="K370" i="1" s="1"/>
  <c r="J110" i="1"/>
  <c r="I330" i="1"/>
  <c r="J330" i="1" s="1"/>
  <c r="L330" i="1"/>
  <c r="K330" i="1" s="1"/>
  <c r="J634" i="1"/>
  <c r="L634" i="1"/>
  <c r="K634" i="1" s="1"/>
  <c r="I634" i="1"/>
  <c r="I255" i="1"/>
  <c r="J255" i="1"/>
  <c r="L255" i="1"/>
  <c r="K255" i="1" s="1"/>
  <c r="I13" i="1"/>
  <c r="L129" i="1"/>
  <c r="K129" i="1" s="1"/>
  <c r="J129" i="1"/>
  <c r="I628" i="1"/>
  <c r="L628" i="1"/>
  <c r="K628" i="1" s="1"/>
  <c r="J628" i="1"/>
  <c r="I197" i="1"/>
  <c r="I707" i="1"/>
  <c r="L359" i="1"/>
  <c r="K359" i="1" s="1"/>
  <c r="J177" i="1"/>
  <c r="L177" i="1"/>
  <c r="K177" i="1" s="1"/>
  <c r="L93" i="1"/>
  <c r="K93" i="1" s="1"/>
  <c r="I365" i="1"/>
  <c r="J365" i="1" s="1"/>
  <c r="L365" i="1"/>
  <c r="K365" i="1" s="1"/>
  <c r="I553" i="1"/>
  <c r="J553" i="1"/>
  <c r="L553" i="1"/>
  <c r="K553" i="1" s="1"/>
  <c r="I11" i="1"/>
  <c r="I753" i="1"/>
  <c r="J753" i="1"/>
  <c r="L753" i="1"/>
  <c r="K753" i="1" s="1"/>
  <c r="T238" i="1"/>
  <c r="F239" i="1"/>
  <c r="R239" i="1" s="1"/>
  <c r="J111" i="1"/>
  <c r="I764" i="1"/>
  <c r="L764" i="1"/>
  <c r="K764" i="1" s="1"/>
  <c r="J764" i="1"/>
  <c r="I304" i="1"/>
  <c r="J304" i="1"/>
  <c r="L304" i="1"/>
  <c r="K304" i="1" s="1"/>
  <c r="I302" i="1"/>
  <c r="J302" i="1" s="1"/>
  <c r="L302" i="1"/>
  <c r="K302" i="1" s="1"/>
  <c r="L578" i="1"/>
  <c r="K578" i="1" s="1"/>
  <c r="L389" i="1"/>
  <c r="K389" i="1" s="1"/>
  <c r="I389" i="1"/>
  <c r="J389" i="1"/>
  <c r="I376" i="1"/>
  <c r="J376" i="1" s="1"/>
  <c r="L376" i="1"/>
  <c r="K376" i="1" s="1"/>
  <c r="J244" i="1"/>
  <c r="J130" i="1"/>
  <c r="J127" i="1"/>
  <c r="L459" i="1"/>
  <c r="K459" i="1" s="1"/>
  <c r="I459" i="1"/>
  <c r="J459" i="1"/>
  <c r="J186" i="1"/>
  <c r="L186" i="1"/>
  <c r="K186" i="1" s="1"/>
  <c r="L377" i="1"/>
  <c r="K377" i="1" s="1"/>
  <c r="I377" i="1"/>
  <c r="J377" i="1" s="1"/>
  <c r="J96" i="1"/>
  <c r="J11" i="1"/>
  <c r="L759" i="1"/>
  <c r="K759" i="1" s="1"/>
  <c r="J759" i="1"/>
  <c r="I759" i="1"/>
  <c r="L579" i="1"/>
  <c r="K579" i="1" s="1"/>
  <c r="L642" i="1"/>
  <c r="K642" i="1" s="1"/>
  <c r="J642" i="1"/>
  <c r="I642" i="1"/>
  <c r="L596" i="1"/>
  <c r="K596" i="1" s="1"/>
  <c r="J596" i="1"/>
  <c r="I596" i="1"/>
  <c r="L192" i="1"/>
  <c r="K192" i="1" s="1"/>
  <c r="I192" i="1"/>
  <c r="J192" i="1" s="1"/>
  <c r="L395" i="1"/>
  <c r="K395" i="1" s="1"/>
  <c r="J395" i="1"/>
  <c r="I395" i="1"/>
  <c r="L11" i="1"/>
  <c r="K11" i="1" s="1"/>
  <c r="J128" i="1"/>
  <c r="J95" i="1"/>
  <c r="L95" i="1"/>
  <c r="K95" i="1" s="1"/>
  <c r="J184" i="1"/>
  <c r="L184" i="1"/>
  <c r="K184" i="1" s="1"/>
  <c r="L568" i="1"/>
  <c r="K568" i="1" s="1"/>
  <c r="J568" i="1"/>
  <c r="I568" i="1"/>
  <c r="J179" i="1"/>
  <c r="L179" i="1"/>
  <c r="K179" i="1" s="1"/>
  <c r="F743" i="1"/>
  <c r="R743" i="1" s="1"/>
  <c r="T739" i="1"/>
  <c r="L379" i="1"/>
  <c r="K379" i="1" s="1"/>
  <c r="I379" i="1"/>
  <c r="J379" i="1" s="1"/>
  <c r="L223" i="1"/>
  <c r="K223" i="1" s="1"/>
  <c r="I223" i="1"/>
  <c r="J223" i="1" s="1"/>
  <c r="L436" i="1"/>
  <c r="K436" i="1" s="1"/>
  <c r="I436" i="1"/>
  <c r="J436" i="1" s="1"/>
  <c r="I28" i="1"/>
  <c r="L28" i="1"/>
  <c r="K28" i="1" s="1"/>
  <c r="J28" i="1"/>
  <c r="I372" i="1"/>
  <c r="L372" i="1"/>
  <c r="K372" i="1" s="1"/>
  <c r="J372" i="1"/>
  <c r="L200" i="1"/>
  <c r="K200" i="1" s="1"/>
  <c r="L199" i="1"/>
  <c r="K199" i="1" s="1"/>
  <c r="L617" i="1"/>
  <c r="K617" i="1" s="1"/>
  <c r="I617" i="1"/>
  <c r="J617" i="1" s="1"/>
  <c r="J686" i="1"/>
  <c r="I686" i="1"/>
  <c r="L686" i="1"/>
  <c r="K686" i="1" s="1"/>
  <c r="L604" i="1"/>
  <c r="K604" i="1" s="1"/>
  <c r="I604" i="1"/>
  <c r="J604" i="1"/>
  <c r="L797" i="1"/>
  <c r="I797" i="1"/>
  <c r="J797" i="1" s="1"/>
  <c r="I378" i="1"/>
  <c r="J378" i="1" s="1"/>
  <c r="L378" i="1"/>
  <c r="K378" i="1" s="1"/>
  <c r="I360" i="1"/>
  <c r="J360" i="1" s="1"/>
  <c r="L360" i="1"/>
  <c r="K360" i="1" s="1"/>
  <c r="L531" i="1"/>
  <c r="K531" i="1" s="1"/>
  <c r="I531" i="1"/>
  <c r="J531" i="1"/>
  <c r="L573" i="1"/>
  <c r="K573" i="1" s="1"/>
  <c r="J573" i="1"/>
  <c r="I573" i="1"/>
  <c r="L118" i="1"/>
  <c r="K118" i="1" s="1"/>
  <c r="I118" i="1"/>
  <c r="J118" i="1" s="1"/>
  <c r="I334" i="1"/>
  <c r="I200" i="1"/>
  <c r="J199" i="1"/>
  <c r="L405" i="1"/>
  <c r="K405" i="1" s="1"/>
  <c r="I405" i="1"/>
  <c r="J405" i="1" s="1"/>
  <c r="I406" i="1"/>
  <c r="J406" i="1" s="1"/>
  <c r="L406" i="1"/>
  <c r="K406" i="1" s="1"/>
  <c r="J264" i="1"/>
  <c r="L264" i="1"/>
  <c r="K264" i="1" s="1"/>
  <c r="I264" i="1"/>
  <c r="J682" i="1"/>
  <c r="I682" i="1"/>
  <c r="L682" i="1"/>
  <c r="K682" i="1" s="1"/>
  <c r="L743" i="1"/>
  <c r="K743" i="1" s="1"/>
  <c r="I743" i="1"/>
  <c r="J743" i="1" s="1"/>
  <c r="L380" i="1"/>
  <c r="K380" i="1" s="1"/>
  <c r="I380" i="1"/>
  <c r="J380" i="1" s="1"/>
  <c r="I605" i="1"/>
  <c r="J605" i="1"/>
  <c r="L605" i="1"/>
  <c r="K605" i="1" s="1"/>
  <c r="L230" i="1"/>
  <c r="K230" i="1" s="1"/>
  <c r="I230" i="1"/>
  <c r="J230" i="1" s="1"/>
  <c r="I16" i="1"/>
  <c r="L16" i="1"/>
  <c r="K16" i="1" s="1"/>
  <c r="J16" i="1"/>
  <c r="I90" i="1"/>
  <c r="J90" i="1"/>
  <c r="L90" i="1"/>
  <c r="K90" i="1" s="1"/>
  <c r="I611" i="1"/>
  <c r="L611" i="1"/>
  <c r="K611" i="1" s="1"/>
  <c r="J611" i="1"/>
  <c r="I84" i="1"/>
  <c r="J84" i="1" s="1"/>
  <c r="L84" i="1"/>
  <c r="K84" i="1" s="1"/>
  <c r="J197" i="1"/>
  <c r="J707" i="1"/>
  <c r="J10" i="1"/>
  <c r="L334" i="1"/>
  <c r="K334" i="1" s="1"/>
  <c r="I29" i="1"/>
  <c r="J29" i="1"/>
  <c r="L29" i="1"/>
  <c r="K29" i="1" s="1"/>
  <c r="L679" i="1"/>
  <c r="K679" i="1" s="1"/>
  <c r="I679" i="1"/>
  <c r="J679" i="1" s="1"/>
  <c r="I300" i="1"/>
  <c r="L300" i="1"/>
  <c r="K300" i="1" s="1"/>
  <c r="J300" i="1"/>
  <c r="L711" i="1"/>
  <c r="K711" i="1" s="1"/>
  <c r="I254" i="1"/>
  <c r="L254" i="1"/>
  <c r="K254" i="1" s="1"/>
  <c r="J254" i="1"/>
  <c r="I124" i="1"/>
  <c r="J124" i="1"/>
  <c r="L124" i="1"/>
  <c r="K124" i="1" s="1"/>
  <c r="D10" i="6"/>
  <c r="L119" i="1"/>
  <c r="K119" i="1" s="1"/>
  <c r="I119" i="1"/>
  <c r="I30" i="1"/>
  <c r="J566" i="1"/>
  <c r="L566" i="1"/>
  <c r="K566" i="1" s="1"/>
  <c r="I566" i="1"/>
  <c r="I101" i="1"/>
  <c r="J101" i="1" s="1"/>
  <c r="L101" i="1"/>
  <c r="K101" i="1" s="1"/>
  <c r="L10" i="1"/>
  <c r="K10" i="1" s="1"/>
  <c r="J112" i="1"/>
  <c r="F350" i="1"/>
  <c r="R350" i="1" s="1"/>
  <c r="H33" i="15"/>
  <c r="H583" i="1" s="1"/>
  <c r="T583" i="1" s="1"/>
  <c r="I583" i="1" s="1"/>
  <c r="I33" i="15"/>
  <c r="H546" i="1"/>
  <c r="T546" i="1" s="1"/>
  <c r="I546" i="1" s="1"/>
  <c r="D653" i="1"/>
  <c r="P653" i="1" s="1"/>
  <c r="D577" i="1"/>
  <c r="P577" i="1" s="1"/>
  <c r="I35" i="15"/>
  <c r="H35" i="15"/>
  <c r="H585" i="1" s="1"/>
  <c r="T585" i="1" s="1"/>
  <c r="H548" i="1"/>
  <c r="T548" i="1" s="1"/>
  <c r="I548" i="1" s="1"/>
  <c r="J35" i="15"/>
  <c r="H661" i="1" s="1"/>
  <c r="T661" i="1" s="1"/>
  <c r="H534" i="1"/>
  <c r="T534" i="1" s="1"/>
  <c r="F571" i="1"/>
  <c r="R571" i="1" s="1"/>
  <c r="I7" i="15"/>
  <c r="H522" i="1"/>
  <c r="T522" i="1" s="1"/>
  <c r="J522" i="1" s="1"/>
  <c r="H7" i="15"/>
  <c r="H557" i="1" s="1"/>
  <c r="T557" i="1" s="1"/>
  <c r="J7" i="15"/>
  <c r="H633" i="1" s="1"/>
  <c r="T633" i="1" s="1"/>
  <c r="H527" i="1"/>
  <c r="T527" i="1" s="1"/>
  <c r="L527" i="1" s="1"/>
  <c r="K527" i="1" s="1"/>
  <c r="D662" i="1"/>
  <c r="P662" i="1" s="1"/>
  <c r="D586" i="1"/>
  <c r="P586" i="1" s="1"/>
  <c r="H38" i="15"/>
  <c r="H588" i="1" s="1"/>
  <c r="T588" i="1" s="1"/>
  <c r="J38" i="15"/>
  <c r="H664" i="1" s="1"/>
  <c r="T664" i="1" s="1"/>
  <c r="I38" i="15"/>
  <c r="H551" i="1"/>
  <c r="T551" i="1" s="1"/>
  <c r="L551" i="1" s="1"/>
  <c r="K551" i="1" s="1"/>
  <c r="I27" i="15"/>
  <c r="H27" i="15"/>
  <c r="H577" i="1" s="1"/>
  <c r="T577" i="1" s="1"/>
  <c r="H540" i="1"/>
  <c r="T540" i="1" s="1"/>
  <c r="I540" i="1" s="1"/>
  <c r="J27" i="15"/>
  <c r="H653" i="1" s="1"/>
  <c r="T653" i="1" s="1"/>
  <c r="J15" i="15"/>
  <c r="H641" i="1" s="1"/>
  <c r="T641" i="1" s="1"/>
  <c r="H529" i="1"/>
  <c r="T529" i="1" s="1"/>
  <c r="I529" i="1" s="1"/>
  <c r="I15" i="15"/>
  <c r="H15" i="15"/>
  <c r="H565" i="1" s="1"/>
  <c r="T565" i="1" s="1"/>
  <c r="I39" i="15"/>
  <c r="J39" i="15"/>
  <c r="H665" i="1" s="1"/>
  <c r="T665" i="1" s="1"/>
  <c r="H552" i="1"/>
  <c r="T552" i="1" s="1"/>
  <c r="I552" i="1" s="1"/>
  <c r="H39" i="15"/>
  <c r="H589" i="1" s="1"/>
  <c r="T589" i="1" s="1"/>
  <c r="H542" i="1"/>
  <c r="T542" i="1" s="1"/>
  <c r="I542" i="1" s="1"/>
  <c r="F579" i="1"/>
  <c r="R579" i="1" s="1"/>
  <c r="I579" i="1" s="1"/>
  <c r="J579" i="1" s="1"/>
  <c r="H37" i="15"/>
  <c r="H587" i="1" s="1"/>
  <c r="T587" i="1" s="1"/>
  <c r="I37" i="15"/>
  <c r="H550" i="1"/>
  <c r="T550" i="1" s="1"/>
  <c r="I550" i="1" s="1"/>
  <c r="J37" i="15"/>
  <c r="H663" i="1" s="1"/>
  <c r="T663" i="1" s="1"/>
  <c r="H26" i="15"/>
  <c r="H576" i="1" s="1"/>
  <c r="T576" i="1" s="1"/>
  <c r="I576" i="1" s="1"/>
  <c r="I26" i="15"/>
  <c r="H539" i="1"/>
  <c r="T539" i="1" s="1"/>
  <c r="J539" i="1" s="1"/>
  <c r="F562" i="1"/>
  <c r="R562" i="1" s="1"/>
  <c r="H526" i="1"/>
  <c r="T526" i="1" s="1"/>
  <c r="L526" i="1" s="1"/>
  <c r="K526" i="1" s="1"/>
  <c r="F574" i="1"/>
  <c r="R574" i="1" s="1"/>
  <c r="H537" i="1"/>
  <c r="T537" i="1" s="1"/>
  <c r="B30" i="9"/>
  <c r="B394" i="1" s="1"/>
  <c r="G30" i="9"/>
  <c r="B388" i="1"/>
  <c r="B371" i="1"/>
  <c r="D207" i="1"/>
  <c r="P207" i="1" s="1"/>
  <c r="D46" i="6"/>
  <c r="F46" i="6" s="1"/>
  <c r="H207" i="1" s="1"/>
  <c r="T207" i="1" s="1"/>
  <c r="D219" i="1"/>
  <c r="P219" i="1" s="1"/>
  <c r="D39" i="6"/>
  <c r="D9" i="6"/>
  <c r="C19" i="6" s="1"/>
  <c r="E42" i="6" s="1"/>
  <c r="F393" i="1"/>
  <c r="R393" i="1" s="1"/>
  <c r="H14" i="15"/>
  <c r="I14" i="15"/>
  <c r="H528" i="1"/>
  <c r="T528" i="1" s="1"/>
  <c r="J528" i="1" s="1"/>
  <c r="D220" i="1"/>
  <c r="P220" i="1" s="1"/>
  <c r="E60" i="6"/>
  <c r="D16" i="8"/>
  <c r="F26" i="6"/>
  <c r="D581" i="1"/>
  <c r="P581" i="1" s="1"/>
  <c r="D564" i="1"/>
  <c r="P564" i="1" s="1"/>
  <c r="D649" i="1"/>
  <c r="P649" i="1" s="1"/>
  <c r="D214" i="1"/>
  <c r="P214" i="1" s="1"/>
  <c r="D36" i="6"/>
  <c r="E13" i="15"/>
  <c r="I13" i="15" s="1"/>
  <c r="H5" i="6"/>
  <c r="H7" i="6" s="1"/>
  <c r="H8" i="6" s="1"/>
  <c r="G5" i="6"/>
  <c r="G7" i="6" s="1"/>
  <c r="G8" i="6" s="1"/>
  <c r="D77" i="6" s="1"/>
  <c r="J34" i="15"/>
  <c r="H660" i="1" s="1"/>
  <c r="T660" i="1" s="1"/>
  <c r="H34" i="15"/>
  <c r="H584" i="1" s="1"/>
  <c r="T584" i="1" s="1"/>
  <c r="I34" i="15"/>
  <c r="H547" i="1"/>
  <c r="T547" i="1" s="1"/>
  <c r="J547" i="1" s="1"/>
  <c r="D13" i="8"/>
  <c r="D796" i="1"/>
  <c r="P796" i="1" s="1"/>
  <c r="D208" i="1"/>
  <c r="P208" i="1" s="1"/>
  <c r="D47" i="6"/>
  <c r="D229" i="1"/>
  <c r="P229" i="1" s="1"/>
  <c r="D69" i="6"/>
  <c r="D656" i="1"/>
  <c r="P656" i="1" s="1"/>
  <c r="D580" i="1"/>
  <c r="P580" i="1" s="1"/>
  <c r="D48" i="6"/>
  <c r="D613" i="1"/>
  <c r="P613" i="1" s="1"/>
  <c r="H25" i="15"/>
  <c r="H575" i="1" s="1"/>
  <c r="T575" i="1" s="1"/>
  <c r="H538" i="1"/>
  <c r="T538" i="1" s="1"/>
  <c r="I538" i="1" s="1"/>
  <c r="J25" i="15"/>
  <c r="H651" i="1" s="1"/>
  <c r="T651" i="1" s="1"/>
  <c r="I25" i="15"/>
  <c r="E23" i="4"/>
  <c r="H85" i="1" s="1"/>
  <c r="T85" i="1" s="1"/>
  <c r="L85" i="1" s="1"/>
  <c r="K85" i="1" s="1"/>
  <c r="F85" i="1"/>
  <c r="R85" i="1" s="1"/>
  <c r="D661" i="1"/>
  <c r="P661" i="1" s="1"/>
  <c r="D585" i="1"/>
  <c r="P585" i="1" s="1"/>
  <c r="D36" i="8"/>
  <c r="D10" i="8"/>
  <c r="E68" i="6"/>
  <c r="F191" i="1"/>
  <c r="R191" i="1" s="1"/>
  <c r="D68" i="6"/>
  <c r="F109" i="1"/>
  <c r="R109" i="1" s="1"/>
  <c r="G30" i="4"/>
  <c r="H109" i="1" s="1"/>
  <c r="T109" i="1" s="1"/>
  <c r="J109" i="1" s="1"/>
  <c r="G25" i="4"/>
  <c r="H104" i="1" s="1"/>
  <c r="T104" i="1" s="1"/>
  <c r="I104" i="1" s="1"/>
  <c r="F104" i="1"/>
  <c r="R104" i="1" s="1"/>
  <c r="H549" i="1"/>
  <c r="T549" i="1" s="1"/>
  <c r="I549" i="1" s="1"/>
  <c r="F586" i="1"/>
  <c r="R586" i="1" s="1"/>
  <c r="D666" i="1"/>
  <c r="P666" i="1" s="1"/>
  <c r="D590" i="1"/>
  <c r="P590" i="1" s="1"/>
  <c r="C81" i="6"/>
  <c r="D81" i="6" s="1"/>
  <c r="D641" i="1"/>
  <c r="P641" i="1" s="1"/>
  <c r="D565" i="1"/>
  <c r="P565" i="1" s="1"/>
  <c r="D203" i="1"/>
  <c r="P203" i="1" s="1"/>
  <c r="D39" i="8"/>
  <c r="D231" i="1"/>
  <c r="P231" i="1" s="1"/>
  <c r="D71" i="6"/>
  <c r="F71" i="6" s="1"/>
  <c r="H231" i="1" s="1"/>
  <c r="T231" i="1" s="1"/>
  <c r="D643" i="1"/>
  <c r="P643" i="1" s="1"/>
  <c r="D567" i="1"/>
  <c r="P567" i="1" s="1"/>
  <c r="F28" i="6"/>
  <c r="G93" i="6" s="1"/>
  <c r="D663" i="1"/>
  <c r="P663" i="1" s="1"/>
  <c r="D587" i="1"/>
  <c r="P587" i="1" s="1"/>
  <c r="D221" i="1"/>
  <c r="P221" i="1" s="1"/>
  <c r="E61" i="6"/>
  <c r="D557" i="1"/>
  <c r="P557" i="1" s="1"/>
  <c r="D18" i="1"/>
  <c r="P18" i="1" s="1"/>
  <c r="D15" i="3"/>
  <c r="I24" i="4"/>
  <c r="H120" i="1" s="1"/>
  <c r="T120" i="1" s="1"/>
  <c r="J120" i="1" s="1"/>
  <c r="F120" i="1"/>
  <c r="R120" i="1" s="1"/>
  <c r="D61" i="6"/>
  <c r="D42" i="8"/>
  <c r="D42" i="6"/>
  <c r="D37" i="6"/>
  <c r="D226" i="1"/>
  <c r="P226" i="1" s="1"/>
  <c r="D66" i="6"/>
  <c r="D92" i="1"/>
  <c r="P92" i="1" s="1"/>
  <c r="D30" i="4"/>
  <c r="E25" i="4"/>
  <c r="H87" i="1" s="1"/>
  <c r="T87" i="1" s="1"/>
  <c r="L87" i="1" s="1"/>
  <c r="K87" i="1" s="1"/>
  <c r="F87" i="1"/>
  <c r="R87" i="1" s="1"/>
  <c r="D224" i="1"/>
  <c r="P224" i="1" s="1"/>
  <c r="D64" i="6"/>
  <c r="F64" i="6" s="1"/>
  <c r="H224" i="1" s="1"/>
  <c r="T224" i="1" s="1"/>
  <c r="D619" i="1"/>
  <c r="P619" i="1" s="1"/>
  <c r="D205" i="1"/>
  <c r="P205" i="1" s="1"/>
  <c r="D44" i="6"/>
  <c r="D14" i="8"/>
  <c r="I25" i="4"/>
  <c r="H121" i="1" s="1"/>
  <c r="T121" i="1" s="1"/>
  <c r="J121" i="1" s="1"/>
  <c r="F121" i="1"/>
  <c r="R121" i="1" s="1"/>
  <c r="D38" i="6"/>
  <c r="C80" i="6"/>
  <c r="D45" i="6"/>
  <c r="F45" i="6" s="1"/>
  <c r="H206" i="1" s="1"/>
  <c r="T206" i="1" s="1"/>
  <c r="D51" i="6"/>
  <c r="F51" i="6" s="1"/>
  <c r="H212" i="1" s="1"/>
  <c r="T212" i="1" s="1"/>
  <c r="D126" i="1"/>
  <c r="P126" i="1" s="1"/>
  <c r="H30" i="4"/>
  <c r="E24" i="4"/>
  <c r="H86" i="1" s="1"/>
  <c r="T86" i="1" s="1"/>
  <c r="J86" i="1" s="1"/>
  <c r="F86" i="1"/>
  <c r="R86" i="1" s="1"/>
  <c r="H543" i="1"/>
  <c r="T543" i="1" s="1"/>
  <c r="L543" i="1" s="1"/>
  <c r="K543" i="1" s="1"/>
  <c r="J30" i="15"/>
  <c r="H656" i="1" s="1"/>
  <c r="T656" i="1" s="1"/>
  <c r="I30" i="15"/>
  <c r="H30" i="15"/>
  <c r="H580" i="1" s="1"/>
  <c r="T580" i="1" s="1"/>
  <c r="I580" i="1" s="1"/>
  <c r="D17" i="8"/>
  <c r="E81" i="6"/>
  <c r="D60" i="6"/>
  <c r="D627" i="1"/>
  <c r="P627" i="1" s="1"/>
  <c r="D660" i="1"/>
  <c r="P660" i="1" s="1"/>
  <c r="D584" i="1"/>
  <c r="P584" i="1" s="1"/>
  <c r="D222" i="1"/>
  <c r="P222" i="1" s="1"/>
  <c r="D62" i="6"/>
  <c r="D232" i="1"/>
  <c r="P232" i="1" s="1"/>
  <c r="D72" i="6"/>
  <c r="D52" i="1"/>
  <c r="P52" i="1" s="1"/>
  <c r="H15" i="3"/>
  <c r="H31" i="15"/>
  <c r="H581" i="1" s="1"/>
  <c r="T581" i="1" s="1"/>
  <c r="H544" i="1"/>
  <c r="T544" i="1" s="1"/>
  <c r="I544" i="1" s="1"/>
  <c r="I31" i="15"/>
  <c r="D35" i="8"/>
  <c r="D227" i="1"/>
  <c r="P227" i="1" s="1"/>
  <c r="D67" i="6"/>
  <c r="D616" i="1"/>
  <c r="P616" i="1" s="1"/>
  <c r="D198" i="1"/>
  <c r="P198" i="1" s="1"/>
  <c r="D248" i="1"/>
  <c r="P248" i="1" s="1"/>
  <c r="D624" i="1"/>
  <c r="P624" i="1" s="1"/>
  <c r="D43" i="6"/>
  <c r="E80" i="6"/>
  <c r="I32" i="15"/>
  <c r="H32" i="15"/>
  <c r="H582" i="1" s="1"/>
  <c r="T582" i="1" s="1"/>
  <c r="J32" i="15"/>
  <c r="H658" i="1" s="1"/>
  <c r="T658" i="1" s="1"/>
  <c r="H545" i="1"/>
  <c r="T545" i="1" s="1"/>
  <c r="J545" i="1" s="1"/>
  <c r="G24" i="4"/>
  <c r="H103" i="1" s="1"/>
  <c r="T103" i="1" s="1"/>
  <c r="L103" i="1" s="1"/>
  <c r="K103" i="1" s="1"/>
  <c r="F103" i="1"/>
  <c r="R103" i="1" s="1"/>
  <c r="D658" i="1"/>
  <c r="P658" i="1" s="1"/>
  <c r="D582" i="1"/>
  <c r="P582" i="1" s="1"/>
  <c r="D664" i="1"/>
  <c r="P664" i="1" s="1"/>
  <c r="D588" i="1"/>
  <c r="P588" i="1" s="1"/>
  <c r="D41" i="8"/>
  <c r="D225" i="1"/>
  <c r="P225" i="1" s="1"/>
  <c r="D65" i="6"/>
  <c r="F65" i="6" s="1"/>
  <c r="H225" i="1" s="1"/>
  <c r="T225" i="1" s="1"/>
  <c r="F578" i="1"/>
  <c r="R578" i="1" s="1"/>
  <c r="I578" i="1" s="1"/>
  <c r="J578" i="1" s="1"/>
  <c r="H541" i="1"/>
  <c r="T541" i="1" s="1"/>
  <c r="L541" i="1" s="1"/>
  <c r="K541" i="1" s="1"/>
  <c r="H22" i="15"/>
  <c r="H572" i="1" s="1"/>
  <c r="T572" i="1" s="1"/>
  <c r="I572" i="1" s="1"/>
  <c r="I22" i="15"/>
  <c r="H535" i="1"/>
  <c r="T535" i="1" s="1"/>
  <c r="G23" i="4"/>
  <c r="H102" i="1" s="1"/>
  <c r="T102" i="1" s="1"/>
  <c r="J102" i="1" s="1"/>
  <c r="F102" i="1"/>
  <c r="R102" i="1" s="1"/>
  <c r="G28" i="4"/>
  <c r="H107" i="1" s="1"/>
  <c r="T107" i="1" s="1"/>
  <c r="I107" i="1" s="1"/>
  <c r="F107" i="1"/>
  <c r="R107" i="1" s="1"/>
  <c r="D655" i="1"/>
  <c r="P655" i="1" s="1"/>
  <c r="D209" i="1"/>
  <c r="P209" i="1" s="1"/>
  <c r="D215" i="1"/>
  <c r="P215" i="1" s="1"/>
  <c r="D648" i="1"/>
  <c r="P648" i="1" s="1"/>
  <c r="D659" i="1"/>
  <c r="P659" i="1" s="1"/>
  <c r="D640" i="1"/>
  <c r="P640" i="1" s="1"/>
  <c r="D652" i="1"/>
  <c r="P652" i="1" s="1"/>
  <c r="D534" i="1"/>
  <c r="P534" i="1" s="1"/>
  <c r="D425" i="1"/>
  <c r="P425" i="1" s="1"/>
  <c r="D195" i="1"/>
  <c r="P195" i="1" s="1"/>
  <c r="D206" i="1"/>
  <c r="P206" i="1" s="1"/>
  <c r="D191" i="1"/>
  <c r="P191" i="1" s="1"/>
  <c r="D563" i="1"/>
  <c r="P563" i="1" s="1"/>
  <c r="D601" i="1"/>
  <c r="P601" i="1" s="1"/>
  <c r="D196" i="1"/>
  <c r="P196" i="1" s="1"/>
  <c r="D537" i="1"/>
  <c r="P537" i="1" s="1"/>
  <c r="D390" i="1"/>
  <c r="P390" i="1" s="1"/>
  <c r="D204" i="1"/>
  <c r="P204" i="1" s="1"/>
  <c r="D228" i="1"/>
  <c r="P228" i="1" s="1"/>
  <c r="I34" i="7"/>
  <c r="I40" i="7" s="1"/>
  <c r="I41" i="7" s="1"/>
  <c r="I45" i="7" s="1"/>
  <c r="I51" i="7" s="1"/>
  <c r="G34" i="7"/>
  <c r="G40" i="7" s="1"/>
  <c r="G41" i="7" s="1"/>
  <c r="G45" i="7" s="1"/>
  <c r="G51" i="7" s="1"/>
  <c r="F764" i="1"/>
  <c r="R764" i="1" s="1"/>
  <c r="H746" i="1"/>
  <c r="T746" i="1" s="1"/>
  <c r="J27" i="14"/>
  <c r="H750" i="1" s="1"/>
  <c r="T750" i="1" s="1"/>
  <c r="F711" i="1"/>
  <c r="R711" i="1" s="1"/>
  <c r="I711" i="1" s="1"/>
  <c r="J711" i="1" s="1"/>
  <c r="F739" i="1"/>
  <c r="R739" i="1" s="1"/>
  <c r="F746" i="1"/>
  <c r="R746" i="1" s="1"/>
  <c r="F686" i="1"/>
  <c r="R686" i="1" s="1"/>
  <c r="J34" i="7"/>
  <c r="J40" i="7" s="1"/>
  <c r="J41" i="7" s="1"/>
  <c r="J45" i="7" s="1"/>
  <c r="J51" i="7" s="1"/>
  <c r="F256" i="1"/>
  <c r="R256" i="1" s="1"/>
  <c r="I256" i="1" s="1"/>
  <c r="F34" i="7"/>
  <c r="F40" i="7" s="1"/>
  <c r="F41" i="7" s="1"/>
  <c r="F45" i="7" s="1"/>
  <c r="F51" i="7" s="1"/>
  <c r="I656" i="1" l="1"/>
  <c r="I653" i="1"/>
  <c r="I664" i="1"/>
  <c r="L539" i="1"/>
  <c r="K539" i="1" s="1"/>
  <c r="I526" i="1"/>
  <c r="J543" i="1"/>
  <c r="L86" i="1"/>
  <c r="K86" i="1" s="1"/>
  <c r="I522" i="1"/>
  <c r="J541" i="1"/>
  <c r="J529" i="1"/>
  <c r="I547" i="1"/>
  <c r="I658" i="1"/>
  <c r="D80" i="6"/>
  <c r="J542" i="1"/>
  <c r="L538" i="1"/>
  <c r="K538" i="1" s="1"/>
  <c r="J225" i="1"/>
  <c r="I85" i="1"/>
  <c r="J552" i="1"/>
  <c r="J104" i="1"/>
  <c r="I661" i="1"/>
  <c r="L549" i="1"/>
  <c r="K549" i="1" s="1"/>
  <c r="L206" i="1"/>
  <c r="K206" i="1" s="1"/>
  <c r="J206" i="1"/>
  <c r="I206" i="1"/>
  <c r="L588" i="1"/>
  <c r="K588" i="1" s="1"/>
  <c r="J588" i="1"/>
  <c r="J666" i="1"/>
  <c r="L666" i="1"/>
  <c r="K666" i="1" s="1"/>
  <c r="I666" i="1"/>
  <c r="L195" i="1"/>
  <c r="K195" i="1" s="1"/>
  <c r="I195" i="1"/>
  <c r="J195" i="1"/>
  <c r="L664" i="1"/>
  <c r="K664" i="1" s="1"/>
  <c r="J664" i="1"/>
  <c r="L248" i="1"/>
  <c r="K248" i="1" s="1"/>
  <c r="I248" i="1"/>
  <c r="J248" i="1"/>
  <c r="I232" i="1"/>
  <c r="L232" i="1"/>
  <c r="K232" i="1" s="1"/>
  <c r="J232" i="1"/>
  <c r="J661" i="1"/>
  <c r="L661" i="1"/>
  <c r="K661" i="1" s="1"/>
  <c r="I229" i="1"/>
  <c r="J229" i="1" s="1"/>
  <c r="L229" i="1"/>
  <c r="K229" i="1" s="1"/>
  <c r="J549" i="1"/>
  <c r="I541" i="1"/>
  <c r="I86" i="1"/>
  <c r="I543" i="1"/>
  <c r="J538" i="1"/>
  <c r="L104" i="1"/>
  <c r="K104" i="1" s="1"/>
  <c r="L582" i="1"/>
  <c r="K582" i="1" s="1"/>
  <c r="J582" i="1"/>
  <c r="L567" i="1"/>
  <c r="K567" i="1" s="1"/>
  <c r="J567" i="1"/>
  <c r="I567" i="1"/>
  <c r="L534" i="1"/>
  <c r="K534" i="1" s="1"/>
  <c r="I534" i="1"/>
  <c r="J534" i="1"/>
  <c r="J22" i="15"/>
  <c r="H648" i="1" s="1"/>
  <c r="T648" i="1" s="1"/>
  <c r="I648" i="1" s="1"/>
  <c r="L658" i="1"/>
  <c r="K658" i="1" s="1"/>
  <c r="J658" i="1"/>
  <c r="I616" i="1"/>
  <c r="J616" i="1" s="1"/>
  <c r="L616" i="1"/>
  <c r="K616" i="1" s="1"/>
  <c r="I222" i="1"/>
  <c r="J222" i="1" s="1"/>
  <c r="L222" i="1"/>
  <c r="K222" i="1" s="1"/>
  <c r="J643" i="1"/>
  <c r="L643" i="1"/>
  <c r="K643" i="1" s="1"/>
  <c r="I643" i="1"/>
  <c r="L208" i="1"/>
  <c r="K208" i="1" s="1"/>
  <c r="J208" i="1"/>
  <c r="I208" i="1"/>
  <c r="L649" i="1"/>
  <c r="K649" i="1" s="1"/>
  <c r="J649" i="1"/>
  <c r="I649" i="1"/>
  <c r="I588" i="1"/>
  <c r="L547" i="1"/>
  <c r="K547" i="1" s="1"/>
  <c r="L552" i="1"/>
  <c r="K552" i="1" s="1"/>
  <c r="L542" i="1"/>
  <c r="K542" i="1" s="1"/>
  <c r="L522" i="1"/>
  <c r="K522" i="1" s="1"/>
  <c r="I228" i="1"/>
  <c r="J228" i="1" s="1"/>
  <c r="L228" i="1"/>
  <c r="K228" i="1" s="1"/>
  <c r="I535" i="1"/>
  <c r="L535" i="1"/>
  <c r="K535" i="1" s="1"/>
  <c r="J535" i="1"/>
  <c r="L584" i="1"/>
  <c r="K584" i="1" s="1"/>
  <c r="J584" i="1"/>
  <c r="I796" i="1"/>
  <c r="J796" i="1" s="1"/>
  <c r="L796" i="1"/>
  <c r="L219" i="1"/>
  <c r="K219" i="1" s="1"/>
  <c r="I219" i="1"/>
  <c r="J219" i="1" s="1"/>
  <c r="I565" i="1"/>
  <c r="L586" i="1"/>
  <c r="K586" i="1" s="1"/>
  <c r="I586" i="1"/>
  <c r="J586" i="1" s="1"/>
  <c r="I585" i="1"/>
  <c r="I109" i="1"/>
  <c r="J544" i="1"/>
  <c r="L529" i="1"/>
  <c r="K529" i="1" s="1"/>
  <c r="I739" i="1"/>
  <c r="J739" i="1"/>
  <c r="L739" i="1"/>
  <c r="K739" i="1" s="1"/>
  <c r="L205" i="1"/>
  <c r="K205" i="1" s="1"/>
  <c r="I205" i="1"/>
  <c r="J205" i="1" s="1"/>
  <c r="L660" i="1"/>
  <c r="K660" i="1" s="1"/>
  <c r="J660" i="1"/>
  <c r="L662" i="1"/>
  <c r="K662" i="1" s="1"/>
  <c r="I662" i="1"/>
  <c r="J662" i="1" s="1"/>
  <c r="L109" i="1"/>
  <c r="K109" i="1" s="1"/>
  <c r="L576" i="1"/>
  <c r="K576" i="1" s="1"/>
  <c r="L544" i="1"/>
  <c r="K544" i="1" s="1"/>
  <c r="J527" i="1"/>
  <c r="L546" i="1"/>
  <c r="K546" i="1" s="1"/>
  <c r="J212" i="1"/>
  <c r="L212" i="1"/>
  <c r="K212" i="1" s="1"/>
  <c r="I212" i="1"/>
  <c r="J207" i="1"/>
  <c r="L207" i="1"/>
  <c r="K207" i="1" s="1"/>
  <c r="I207" i="1"/>
  <c r="I663" i="1"/>
  <c r="J577" i="1"/>
  <c r="L577" i="1"/>
  <c r="K577" i="1" s="1"/>
  <c r="J576" i="1"/>
  <c r="I539" i="1"/>
  <c r="I527" i="1"/>
  <c r="J546" i="1"/>
  <c r="L528" i="1"/>
  <c r="K528" i="1" s="1"/>
  <c r="J198" i="1"/>
  <c r="L198" i="1"/>
  <c r="K198" i="1" s="1"/>
  <c r="I198" i="1"/>
  <c r="I537" i="1"/>
  <c r="J537" i="1"/>
  <c r="J648" i="1"/>
  <c r="L648" i="1"/>
  <c r="K648" i="1" s="1"/>
  <c r="I18" i="1"/>
  <c r="J18" i="1" s="1"/>
  <c r="L18" i="1"/>
  <c r="K18" i="1" s="1"/>
  <c r="L203" i="1"/>
  <c r="K203" i="1" s="1"/>
  <c r="I203" i="1"/>
  <c r="J203" i="1" s="1"/>
  <c r="I371" i="1"/>
  <c r="J371" i="1" s="1"/>
  <c r="L371" i="1"/>
  <c r="K371" i="1" s="1"/>
  <c r="I641" i="1"/>
  <c r="H13" i="15"/>
  <c r="H563" i="1" s="1"/>
  <c r="T563" i="1" s="1"/>
  <c r="I563" i="1" s="1"/>
  <c r="L653" i="1"/>
  <c r="K653" i="1" s="1"/>
  <c r="J653" i="1"/>
  <c r="I551" i="1"/>
  <c r="J85" i="1"/>
  <c r="J572" i="1"/>
  <c r="J107" i="1"/>
  <c r="I545" i="1"/>
  <c r="I528" i="1"/>
  <c r="J224" i="1"/>
  <c r="L224" i="1"/>
  <c r="K224" i="1" s="1"/>
  <c r="I224" i="1"/>
  <c r="L231" i="1"/>
  <c r="K231" i="1" s="1"/>
  <c r="J231" i="1"/>
  <c r="I231" i="1"/>
  <c r="J196" i="1"/>
  <c r="L196" i="1"/>
  <c r="K196" i="1" s="1"/>
  <c r="I196" i="1"/>
  <c r="L215" i="1"/>
  <c r="K215" i="1" s="1"/>
  <c r="I215" i="1"/>
  <c r="J215" i="1" s="1"/>
  <c r="L557" i="1"/>
  <c r="K557" i="1" s="1"/>
  <c r="J557" i="1"/>
  <c r="L565" i="1"/>
  <c r="K565" i="1" s="1"/>
  <c r="J565" i="1"/>
  <c r="I584" i="1"/>
  <c r="I388" i="1"/>
  <c r="J388" i="1" s="1"/>
  <c r="L388" i="1"/>
  <c r="K388" i="1" s="1"/>
  <c r="J551" i="1"/>
  <c r="L572" i="1"/>
  <c r="K572" i="1" s="1"/>
  <c r="I120" i="1"/>
  <c r="L121" i="1"/>
  <c r="K121" i="1" s="1"/>
  <c r="L107" i="1"/>
  <c r="K107" i="1" s="1"/>
  <c r="L583" i="1"/>
  <c r="K583" i="1" s="1"/>
  <c r="L545" i="1"/>
  <c r="K545" i="1" s="1"/>
  <c r="L227" i="1"/>
  <c r="K227" i="1" s="1"/>
  <c r="I227" i="1"/>
  <c r="J227" i="1" s="1"/>
  <c r="I390" i="1"/>
  <c r="J390" i="1" s="1"/>
  <c r="L390" i="1"/>
  <c r="K390" i="1" s="1"/>
  <c r="I209" i="1"/>
  <c r="J209" i="1" s="1"/>
  <c r="L209" i="1"/>
  <c r="K209" i="1" s="1"/>
  <c r="L641" i="1"/>
  <c r="K641" i="1" s="1"/>
  <c r="J641" i="1"/>
  <c r="I660" i="1"/>
  <c r="L220" i="1"/>
  <c r="K220" i="1" s="1"/>
  <c r="I220" i="1"/>
  <c r="J220" i="1" s="1"/>
  <c r="I587" i="1"/>
  <c r="I557" i="1"/>
  <c r="J33" i="15"/>
  <c r="H659" i="1" s="1"/>
  <c r="T659" i="1" s="1"/>
  <c r="I659" i="1" s="1"/>
  <c r="J540" i="1"/>
  <c r="L120" i="1"/>
  <c r="K120" i="1" s="1"/>
  <c r="I121" i="1"/>
  <c r="I87" i="1"/>
  <c r="J583" i="1"/>
  <c r="I425" i="1"/>
  <c r="J425" i="1" s="1"/>
  <c r="L425" i="1"/>
  <c r="K425" i="1" s="1"/>
  <c r="L204" i="1"/>
  <c r="K204" i="1" s="1"/>
  <c r="I204" i="1"/>
  <c r="J204" i="1" s="1"/>
  <c r="J581" i="1"/>
  <c r="L581" i="1"/>
  <c r="K581" i="1" s="1"/>
  <c r="C32" i="6"/>
  <c r="F20" i="6" s="1"/>
  <c r="I582" i="1"/>
  <c r="I581" i="1"/>
  <c r="L655" i="1"/>
  <c r="K655" i="1" s="1"/>
  <c r="I655" i="1"/>
  <c r="J655" i="1" s="1"/>
  <c r="L225" i="1"/>
  <c r="K225" i="1" s="1"/>
  <c r="I225" i="1"/>
  <c r="I221" i="1"/>
  <c r="J221" i="1" s="1"/>
  <c r="L221" i="1"/>
  <c r="K221" i="1" s="1"/>
  <c r="L580" i="1"/>
  <c r="K580" i="1" s="1"/>
  <c r="J580" i="1"/>
  <c r="I577" i="1"/>
  <c r="J526" i="1"/>
  <c r="I102" i="1"/>
  <c r="L540" i="1"/>
  <c r="K540" i="1" s="1"/>
  <c r="J87" i="1"/>
  <c r="I103" i="1"/>
  <c r="J550" i="1"/>
  <c r="J548" i="1"/>
  <c r="L214" i="1"/>
  <c r="K214" i="1" s="1"/>
  <c r="I214" i="1"/>
  <c r="J214" i="1" s="1"/>
  <c r="L750" i="1"/>
  <c r="K750" i="1" s="1"/>
  <c r="I750" i="1"/>
  <c r="J750" i="1"/>
  <c r="L191" i="1"/>
  <c r="K191" i="1" s="1"/>
  <c r="I191" i="1"/>
  <c r="J191" i="1" s="1"/>
  <c r="I52" i="1"/>
  <c r="J52" i="1" s="1"/>
  <c r="L52" i="1"/>
  <c r="K52" i="1" s="1"/>
  <c r="L226" i="1"/>
  <c r="K226" i="1" s="1"/>
  <c r="I226" i="1"/>
  <c r="J226" i="1" s="1"/>
  <c r="J587" i="1"/>
  <c r="L587" i="1"/>
  <c r="K587" i="1" s="1"/>
  <c r="L590" i="1"/>
  <c r="K590" i="1" s="1"/>
  <c r="J590" i="1"/>
  <c r="I590" i="1"/>
  <c r="J656" i="1"/>
  <c r="L656" i="1"/>
  <c r="K656" i="1" s="1"/>
  <c r="L537" i="1"/>
  <c r="K537" i="1" s="1"/>
  <c r="L102" i="1"/>
  <c r="K102" i="1" s="1"/>
  <c r="J103" i="1"/>
  <c r="L550" i="1"/>
  <c r="K550" i="1" s="1"/>
  <c r="L548" i="1"/>
  <c r="K548" i="1" s="1"/>
  <c r="L746" i="1"/>
  <c r="K746" i="1" s="1"/>
  <c r="J746" i="1"/>
  <c r="I746" i="1"/>
  <c r="I624" i="1"/>
  <c r="J624" i="1" s="1"/>
  <c r="L624" i="1"/>
  <c r="K624" i="1" s="1"/>
  <c r="L663" i="1"/>
  <c r="K663" i="1" s="1"/>
  <c r="J663" i="1"/>
  <c r="L585" i="1"/>
  <c r="K585" i="1" s="1"/>
  <c r="J585" i="1"/>
  <c r="L238" i="1"/>
  <c r="K238" i="1" s="1"/>
  <c r="I238" i="1"/>
  <c r="J238" i="1"/>
  <c r="H601" i="1"/>
  <c r="T601" i="1" s="1"/>
  <c r="L601" i="1" s="1"/>
  <c r="K601" i="1" s="1"/>
  <c r="F563" i="1"/>
  <c r="R563" i="1" s="1"/>
  <c r="F577" i="1"/>
  <c r="R577" i="1" s="1"/>
  <c r="H615" i="1"/>
  <c r="T615" i="1" s="1"/>
  <c r="D651" i="1"/>
  <c r="P651" i="1" s="1"/>
  <c r="I651" i="1" s="1"/>
  <c r="D575" i="1"/>
  <c r="P575" i="1" s="1"/>
  <c r="D430" i="1"/>
  <c r="P430" i="1" s="1"/>
  <c r="F582" i="1"/>
  <c r="R582" i="1" s="1"/>
  <c r="H620" i="1"/>
  <c r="T620" i="1" s="1"/>
  <c r="E21" i="15"/>
  <c r="D437" i="1"/>
  <c r="P437" i="1" s="1"/>
  <c r="D654" i="1"/>
  <c r="P654" i="1" s="1"/>
  <c r="D665" i="1"/>
  <c r="P665" i="1" s="1"/>
  <c r="D589" i="1"/>
  <c r="P589" i="1" s="1"/>
  <c r="I589" i="1" s="1"/>
  <c r="B6" i="16"/>
  <c r="D11" i="15" s="1"/>
  <c r="G11" i="15" s="1"/>
  <c r="H613" i="1"/>
  <c r="F575" i="1"/>
  <c r="R575" i="1" s="1"/>
  <c r="H622" i="1"/>
  <c r="T622" i="1" s="1"/>
  <c r="F584" i="1"/>
  <c r="R584" i="1" s="1"/>
  <c r="F585" i="1"/>
  <c r="R585" i="1" s="1"/>
  <c r="H623" i="1"/>
  <c r="D455" i="1"/>
  <c r="P455" i="1" s="1"/>
  <c r="F233" i="1"/>
  <c r="R233" i="1" s="1"/>
  <c r="J14" i="15"/>
  <c r="H640" i="1" s="1"/>
  <c r="T640" i="1" s="1"/>
  <c r="I640" i="1" s="1"/>
  <c r="H564" i="1"/>
  <c r="J26" i="15"/>
  <c r="H652" i="1" s="1"/>
  <c r="T652" i="1" s="1"/>
  <c r="I652" i="1" s="1"/>
  <c r="F576" i="1"/>
  <c r="R576" i="1" s="1"/>
  <c r="H614" i="1"/>
  <c r="T614" i="1" s="1"/>
  <c r="D460" i="1"/>
  <c r="P460" i="1" s="1"/>
  <c r="H618" i="1"/>
  <c r="T618" i="1" s="1"/>
  <c r="F580" i="1"/>
  <c r="R580" i="1" s="1"/>
  <c r="H625" i="1"/>
  <c r="T625" i="1" s="1"/>
  <c r="F587" i="1"/>
  <c r="R587" i="1" s="1"/>
  <c r="H626" i="1"/>
  <c r="T626" i="1" s="1"/>
  <c r="F588" i="1"/>
  <c r="R588" i="1" s="1"/>
  <c r="F635" i="1"/>
  <c r="R635" i="1" s="1"/>
  <c r="F213" i="1"/>
  <c r="H603" i="1"/>
  <c r="F565" i="1"/>
  <c r="R565" i="1" s="1"/>
  <c r="D393" i="1"/>
  <c r="P393" i="1" s="1"/>
  <c r="D387" i="1"/>
  <c r="P387" i="1" s="1"/>
  <c r="D454" i="1"/>
  <c r="P454" i="1" s="1"/>
  <c r="D657" i="1"/>
  <c r="P657" i="1" s="1"/>
  <c r="H610" i="1"/>
  <c r="T610" i="1" s="1"/>
  <c r="F572" i="1"/>
  <c r="R572" i="1" s="1"/>
  <c r="J31" i="15"/>
  <c r="H657" i="1" s="1"/>
  <c r="T657" i="1" s="1"/>
  <c r="F559" i="1"/>
  <c r="R559" i="1" s="1"/>
  <c r="H619" i="1"/>
  <c r="F581" i="1"/>
  <c r="R581" i="1" s="1"/>
  <c r="F583" i="1"/>
  <c r="R583" i="1" s="1"/>
  <c r="H621" i="1"/>
  <c r="T621" i="1" s="1"/>
  <c r="D799" i="1"/>
  <c r="P799" i="1" s="1"/>
  <c r="D801" i="1"/>
  <c r="P801" i="1" s="1"/>
  <c r="D800" i="1"/>
  <c r="P800" i="1" s="1"/>
  <c r="D453" i="1"/>
  <c r="P453" i="1" s="1"/>
  <c r="D635" i="1"/>
  <c r="P635" i="1" s="1"/>
  <c r="D633" i="1"/>
  <c r="P633" i="1" s="1"/>
  <c r="J633" i="1" s="1"/>
  <c r="F591" i="1"/>
  <c r="R591" i="1" s="1"/>
  <c r="D449" i="1"/>
  <c r="P449" i="1" s="1"/>
  <c r="D448" i="1"/>
  <c r="P448" i="1" s="1"/>
  <c r="H595" i="1"/>
  <c r="T595" i="1" s="1"/>
  <c r="F557" i="1"/>
  <c r="R557" i="1" s="1"/>
  <c r="H627" i="1"/>
  <c r="T627" i="1" s="1"/>
  <c r="J627" i="1" s="1"/>
  <c r="F589" i="1"/>
  <c r="R589" i="1" s="1"/>
  <c r="D452" i="1"/>
  <c r="P452" i="1" s="1"/>
  <c r="D432" i="1"/>
  <c r="P432" i="1" s="1"/>
  <c r="D429" i="1"/>
  <c r="P429" i="1" s="1"/>
  <c r="I30" i="4"/>
  <c r="H126" i="1" s="1"/>
  <c r="T126" i="1" s="1"/>
  <c r="J126" i="1" s="1"/>
  <c r="F126" i="1"/>
  <c r="R126" i="1" s="1"/>
  <c r="F114" i="1"/>
  <c r="R114" i="1" s="1"/>
  <c r="H602" i="1"/>
  <c r="T602" i="1" s="1"/>
  <c r="F564" i="1"/>
  <c r="R564" i="1" s="1"/>
  <c r="D597" i="1"/>
  <c r="P597" i="1" s="1"/>
  <c r="E24" i="15"/>
  <c r="D784" i="1"/>
  <c r="P784" i="1" s="1"/>
  <c r="E30" i="4"/>
  <c r="H92" i="1" s="1"/>
  <c r="F92" i="1"/>
  <c r="R92" i="1" s="1"/>
  <c r="D431" i="1"/>
  <c r="P431" i="1" s="1"/>
  <c r="D559" i="1"/>
  <c r="P559" i="1" s="1"/>
  <c r="D233" i="1"/>
  <c r="P233" i="1" s="1"/>
  <c r="D236" i="1"/>
  <c r="P236" i="1" s="1"/>
  <c r="D639" i="1"/>
  <c r="P639" i="1" s="1"/>
  <c r="D426" i="1"/>
  <c r="P426" i="1" s="1"/>
  <c r="D237" i="1"/>
  <c r="P237" i="1" s="1"/>
  <c r="D574" i="1"/>
  <c r="P574" i="1" s="1"/>
  <c r="D612" i="1"/>
  <c r="P612" i="1" s="1"/>
  <c r="D571" i="1"/>
  <c r="P571" i="1" s="1"/>
  <c r="D609" i="1"/>
  <c r="P609" i="1" s="1"/>
  <c r="F750" i="1"/>
  <c r="R750" i="1" s="1"/>
  <c r="F660" i="1" l="1"/>
  <c r="R660" i="1" s="1"/>
  <c r="J13" i="15"/>
  <c r="H639" i="1" s="1"/>
  <c r="T639" i="1" s="1"/>
  <c r="L126" i="1"/>
  <c r="K126" i="1" s="1"/>
  <c r="F665" i="1"/>
  <c r="R665" i="1" s="1"/>
  <c r="J563" i="1"/>
  <c r="I126" i="1"/>
  <c r="L563" i="1"/>
  <c r="K563" i="1" s="1"/>
  <c r="I633" i="1"/>
  <c r="L455" i="1"/>
  <c r="K455" i="1" s="1"/>
  <c r="I455" i="1"/>
  <c r="J455" i="1" s="1"/>
  <c r="L665" i="1"/>
  <c r="K665" i="1" s="1"/>
  <c r="J665" i="1"/>
  <c r="L626" i="1"/>
  <c r="K626" i="1" s="1"/>
  <c r="J626" i="1"/>
  <c r="I626" i="1"/>
  <c r="L654" i="1"/>
  <c r="K654" i="1" s="1"/>
  <c r="I654" i="1"/>
  <c r="J654" i="1" s="1"/>
  <c r="L431" i="1"/>
  <c r="K431" i="1" s="1"/>
  <c r="I431" i="1"/>
  <c r="J431" i="1" s="1"/>
  <c r="L635" i="1"/>
  <c r="K635" i="1" s="1"/>
  <c r="I635" i="1"/>
  <c r="J635" i="1" s="1"/>
  <c r="F667" i="1"/>
  <c r="R667" i="1" s="1"/>
  <c r="I437" i="1"/>
  <c r="J437" i="1" s="1"/>
  <c r="L437" i="1"/>
  <c r="K437" i="1" s="1"/>
  <c r="L609" i="1"/>
  <c r="K609" i="1" s="1"/>
  <c r="J609" i="1"/>
  <c r="I609" i="1"/>
  <c r="L633" i="1"/>
  <c r="K633" i="1" s="1"/>
  <c r="J640" i="1"/>
  <c r="L659" i="1"/>
  <c r="K659" i="1" s="1"/>
  <c r="L652" i="1"/>
  <c r="K652" i="1" s="1"/>
  <c r="L429" i="1"/>
  <c r="K429" i="1" s="1"/>
  <c r="I429" i="1"/>
  <c r="J429" i="1" s="1"/>
  <c r="J612" i="1"/>
  <c r="L612" i="1"/>
  <c r="K612" i="1" s="1"/>
  <c r="I612" i="1"/>
  <c r="F97" i="1"/>
  <c r="R97" i="1" s="1"/>
  <c r="T92" i="1"/>
  <c r="L452" i="1"/>
  <c r="K452" i="1" s="1"/>
  <c r="I452" i="1"/>
  <c r="J452" i="1" s="1"/>
  <c r="L454" i="1"/>
  <c r="K454" i="1" s="1"/>
  <c r="I454" i="1"/>
  <c r="J454" i="1" s="1"/>
  <c r="I618" i="1"/>
  <c r="L618" i="1"/>
  <c r="K618" i="1" s="1"/>
  <c r="J618" i="1"/>
  <c r="L640" i="1"/>
  <c r="K640" i="1" s="1"/>
  <c r="J659" i="1"/>
  <c r="I665" i="1"/>
  <c r="J652" i="1"/>
  <c r="L432" i="1"/>
  <c r="K432" i="1" s="1"/>
  <c r="I432" i="1"/>
  <c r="J432" i="1" s="1"/>
  <c r="F661" i="1"/>
  <c r="R661" i="1" s="1"/>
  <c r="T623" i="1"/>
  <c r="L799" i="1"/>
  <c r="I799" i="1"/>
  <c r="J799" i="1" s="1"/>
  <c r="L430" i="1"/>
  <c r="K430" i="1" s="1"/>
  <c r="I430" i="1"/>
  <c r="J430" i="1" s="1"/>
  <c r="J571" i="1"/>
  <c r="L571" i="1"/>
  <c r="K571" i="1" s="1"/>
  <c r="L657" i="1"/>
  <c r="K657" i="1" s="1"/>
  <c r="J657" i="1"/>
  <c r="J574" i="1"/>
  <c r="L574" i="1"/>
  <c r="K574" i="1" s="1"/>
  <c r="I574" i="1"/>
  <c r="I784" i="1"/>
  <c r="J784" i="1" s="1"/>
  <c r="L784" i="1"/>
  <c r="L387" i="1"/>
  <c r="K387" i="1" s="1"/>
  <c r="I387" i="1"/>
  <c r="J387" i="1" s="1"/>
  <c r="I571" i="1"/>
  <c r="L237" i="1"/>
  <c r="K237" i="1" s="1"/>
  <c r="I237" i="1"/>
  <c r="J237" i="1" s="1"/>
  <c r="F658" i="1"/>
  <c r="R658" i="1" s="1"/>
  <c r="I393" i="1"/>
  <c r="J393" i="1" s="1"/>
  <c r="L393" i="1"/>
  <c r="K393" i="1" s="1"/>
  <c r="F639" i="1"/>
  <c r="R639" i="1" s="1"/>
  <c r="I622" i="1"/>
  <c r="L622" i="1"/>
  <c r="K622" i="1" s="1"/>
  <c r="J622" i="1"/>
  <c r="L575" i="1"/>
  <c r="K575" i="1" s="1"/>
  <c r="J575" i="1"/>
  <c r="I575" i="1"/>
  <c r="L620" i="1"/>
  <c r="K620" i="1" s="1"/>
  <c r="I620" i="1"/>
  <c r="J620" i="1"/>
  <c r="L460" i="1"/>
  <c r="K460" i="1" s="1"/>
  <c r="I460" i="1"/>
  <c r="J460" i="1" s="1"/>
  <c r="I426" i="1"/>
  <c r="J426" i="1" s="1"/>
  <c r="L426" i="1"/>
  <c r="K426" i="1" s="1"/>
  <c r="L621" i="1"/>
  <c r="K621" i="1" s="1"/>
  <c r="J621" i="1"/>
  <c r="I621" i="1"/>
  <c r="J614" i="1"/>
  <c r="L614" i="1"/>
  <c r="K614" i="1" s="1"/>
  <c r="I614" i="1"/>
  <c r="J651" i="1"/>
  <c r="L651" i="1"/>
  <c r="K651" i="1" s="1"/>
  <c r="L610" i="1"/>
  <c r="K610" i="1" s="1"/>
  <c r="J610" i="1"/>
  <c r="I610" i="1"/>
  <c r="L615" i="1"/>
  <c r="K615" i="1" s="1"/>
  <c r="I615" i="1"/>
  <c r="J615" i="1"/>
  <c r="L453" i="1"/>
  <c r="K453" i="1" s="1"/>
  <c r="I453" i="1"/>
  <c r="J453" i="1" s="1"/>
  <c r="L639" i="1"/>
  <c r="K639" i="1" s="1"/>
  <c r="J639" i="1"/>
  <c r="J595" i="1"/>
  <c r="L595" i="1"/>
  <c r="K595" i="1" s="1"/>
  <c r="I595" i="1"/>
  <c r="F641" i="1"/>
  <c r="R641" i="1" s="1"/>
  <c r="T603" i="1"/>
  <c r="F651" i="1"/>
  <c r="R651" i="1" s="1"/>
  <c r="T613" i="1"/>
  <c r="I236" i="1"/>
  <c r="L236" i="1"/>
  <c r="K236" i="1" s="1"/>
  <c r="J236" i="1"/>
  <c r="L448" i="1"/>
  <c r="K448" i="1" s="1"/>
  <c r="I448" i="1"/>
  <c r="J448" i="1" s="1"/>
  <c r="F216" i="1"/>
  <c r="R216" i="1" s="1"/>
  <c r="R213" i="1"/>
  <c r="J625" i="1"/>
  <c r="I625" i="1"/>
  <c r="L625" i="1"/>
  <c r="K625" i="1" s="1"/>
  <c r="L597" i="1"/>
  <c r="K597" i="1" s="1"/>
  <c r="L233" i="1"/>
  <c r="K233" i="1" s="1"/>
  <c r="I233" i="1"/>
  <c r="J233" i="1" s="1"/>
  <c r="J602" i="1"/>
  <c r="L602" i="1"/>
  <c r="K602" i="1" s="1"/>
  <c r="I602" i="1"/>
  <c r="L449" i="1"/>
  <c r="K449" i="1" s="1"/>
  <c r="I449" i="1"/>
  <c r="J449" i="1" s="1"/>
  <c r="F657" i="1"/>
  <c r="R657" i="1" s="1"/>
  <c r="T619" i="1"/>
  <c r="F569" i="1"/>
  <c r="R569" i="1" s="1"/>
  <c r="T564" i="1"/>
  <c r="L589" i="1"/>
  <c r="K589" i="1" s="1"/>
  <c r="J589" i="1"/>
  <c r="I639" i="1"/>
  <c r="J601" i="1"/>
  <c r="I627" i="1"/>
  <c r="I601" i="1"/>
  <c r="L627" i="1"/>
  <c r="K627" i="1" s="1"/>
  <c r="L559" i="1"/>
  <c r="K559" i="1" s="1"/>
  <c r="I559" i="1"/>
  <c r="J559" i="1" s="1"/>
  <c r="I657" i="1"/>
  <c r="D456" i="1"/>
  <c r="P456" i="1" s="1"/>
  <c r="D108" i="1"/>
  <c r="P108" i="1" s="1"/>
  <c r="F29" i="4"/>
  <c r="F108" i="1" s="1"/>
  <c r="R108" i="1" s="1"/>
  <c r="F663" i="1"/>
  <c r="R663" i="1" s="1"/>
  <c r="D34" i="1"/>
  <c r="P34" i="1" s="1"/>
  <c r="F14" i="3"/>
  <c r="F131" i="1"/>
  <c r="R131" i="1" s="1"/>
  <c r="F659" i="1"/>
  <c r="R659" i="1" s="1"/>
  <c r="D807" i="1"/>
  <c r="P807" i="1" s="1"/>
  <c r="D802" i="1"/>
  <c r="P802" i="1" s="1"/>
  <c r="D461" i="1"/>
  <c r="P461" i="1" s="1"/>
  <c r="D433" i="1"/>
  <c r="P433" i="1" s="1"/>
  <c r="D249" i="1"/>
  <c r="P249" i="1" s="1"/>
  <c r="F249" i="1"/>
  <c r="R249" i="1" s="1"/>
  <c r="F629" i="1"/>
  <c r="R629" i="1" s="1"/>
  <c r="D438" i="1"/>
  <c r="P438" i="1" s="1"/>
  <c r="F645" i="1"/>
  <c r="R645" i="1" s="1"/>
  <c r="F648" i="1"/>
  <c r="R648" i="1" s="1"/>
  <c r="F597" i="1"/>
  <c r="R597" i="1" s="1"/>
  <c r="I597" i="1" s="1"/>
  <c r="J597" i="1" s="1"/>
  <c r="F607" i="1"/>
  <c r="R607" i="1" s="1"/>
  <c r="D216" i="1"/>
  <c r="P216" i="1" s="1"/>
  <c r="D213" i="1"/>
  <c r="P213" i="1" s="1"/>
  <c r="F5" i="8"/>
  <c r="F656" i="1"/>
  <c r="R656" i="1" s="1"/>
  <c r="G30" i="8"/>
  <c r="G5" i="8"/>
  <c r="F633" i="1"/>
  <c r="R633" i="1" s="1"/>
  <c r="F664" i="1"/>
  <c r="R664" i="1" s="1"/>
  <c r="F653" i="1"/>
  <c r="R653" i="1" s="1"/>
  <c r="D789" i="1"/>
  <c r="P789" i="1" s="1"/>
  <c r="F30" i="8"/>
  <c r="F652" i="1"/>
  <c r="R652" i="1" s="1"/>
  <c r="F640" i="1"/>
  <c r="R640" i="1" s="1"/>
  <c r="H525" i="1"/>
  <c r="T525" i="1" s="1"/>
  <c r="F561" i="1"/>
  <c r="R561" i="1" s="1"/>
  <c r="D650" i="1"/>
  <c r="P650" i="1" s="1"/>
  <c r="D239" i="1"/>
  <c r="P239" i="1" s="1"/>
  <c r="D818" i="1"/>
  <c r="P818" i="1" s="1"/>
  <c r="L789" i="1" l="1"/>
  <c r="I789" i="1"/>
  <c r="J789" i="1" s="1"/>
  <c r="L438" i="1"/>
  <c r="K438" i="1" s="1"/>
  <c r="I438" i="1"/>
  <c r="J438" i="1" s="1"/>
  <c r="I34" i="1"/>
  <c r="J34" i="1" s="1"/>
  <c r="L34" i="1"/>
  <c r="K34" i="1" s="1"/>
  <c r="L108" i="1"/>
  <c r="K108" i="1" s="1"/>
  <c r="I108" i="1"/>
  <c r="J108" i="1" s="1"/>
  <c r="I613" i="1"/>
  <c r="J613" i="1"/>
  <c r="L613" i="1"/>
  <c r="K613" i="1" s="1"/>
  <c r="L650" i="1"/>
  <c r="K650" i="1" s="1"/>
  <c r="J650" i="1"/>
  <c r="I650" i="1"/>
  <c r="L433" i="1"/>
  <c r="K433" i="1" s="1"/>
  <c r="I433" i="1"/>
  <c r="J433" i="1" s="1"/>
  <c r="L456" i="1"/>
  <c r="K456" i="1" s="1"/>
  <c r="I456" i="1"/>
  <c r="J456" i="1" s="1"/>
  <c r="L461" i="1"/>
  <c r="K461" i="1" s="1"/>
  <c r="I461" i="1"/>
  <c r="J461" i="1" s="1"/>
  <c r="J619" i="1"/>
  <c r="L619" i="1"/>
  <c r="K619" i="1" s="1"/>
  <c r="I619" i="1"/>
  <c r="I92" i="1"/>
  <c r="L92" i="1"/>
  <c r="K92" i="1" s="1"/>
  <c r="J92" i="1"/>
  <c r="L239" i="1"/>
  <c r="K239" i="1" s="1"/>
  <c r="I239" i="1"/>
  <c r="J239" i="1" s="1"/>
  <c r="I525" i="1"/>
  <c r="L525" i="1"/>
  <c r="K525" i="1" s="1"/>
  <c r="J525" i="1"/>
  <c r="L216" i="1"/>
  <c r="K216" i="1" s="1"/>
  <c r="I216" i="1"/>
  <c r="J216" i="1" s="1"/>
  <c r="I807" i="1"/>
  <c r="J807" i="1" s="1"/>
  <c r="L807" i="1"/>
  <c r="I564" i="1"/>
  <c r="L564" i="1"/>
  <c r="K564" i="1" s="1"/>
  <c r="J564" i="1"/>
  <c r="L802" i="1"/>
  <c r="I802" i="1"/>
  <c r="J802" i="1" s="1"/>
  <c r="F242" i="1"/>
  <c r="I818" i="1"/>
  <c r="J818" i="1" s="1"/>
  <c r="L818" i="1"/>
  <c r="L249" i="1"/>
  <c r="K249" i="1" s="1"/>
  <c r="I249" i="1"/>
  <c r="J249" i="1" s="1"/>
  <c r="L213" i="1"/>
  <c r="K213" i="1" s="1"/>
  <c r="I213" i="1"/>
  <c r="J213" i="1" s="1"/>
  <c r="J603" i="1"/>
  <c r="L603" i="1"/>
  <c r="K603" i="1" s="1"/>
  <c r="I603" i="1"/>
  <c r="I623" i="1"/>
  <c r="L623" i="1"/>
  <c r="K623" i="1" s="1"/>
  <c r="J623" i="1"/>
  <c r="H5" i="8"/>
  <c r="I5" i="8"/>
  <c r="H30" i="8"/>
  <c r="I30" i="8"/>
  <c r="D444" i="1"/>
  <c r="P444" i="1" s="1"/>
  <c r="D442" i="1"/>
  <c r="P442" i="1" s="1"/>
  <c r="D667" i="1"/>
  <c r="P667" i="1" s="1"/>
  <c r="D647" i="1"/>
  <c r="P647" i="1" s="1"/>
  <c r="F21" i="4"/>
  <c r="F100" i="1" s="1"/>
  <c r="R100" i="1" s="1"/>
  <c r="D591" i="1"/>
  <c r="P591" i="1" s="1"/>
  <c r="F6" i="3"/>
  <c r="G6" i="3" s="1"/>
  <c r="H26" i="1" s="1"/>
  <c r="T26" i="1" s="1"/>
  <c r="D629" i="1"/>
  <c r="P629" i="1" s="1"/>
  <c r="D439" i="1"/>
  <c r="P439" i="1" s="1"/>
  <c r="D467" i="1"/>
  <c r="P467" i="1" s="1"/>
  <c r="D462" i="1"/>
  <c r="P462" i="1" s="1"/>
  <c r="D793" i="1"/>
  <c r="P793" i="1" s="1"/>
  <c r="D792" i="1"/>
  <c r="P792" i="1" s="1"/>
  <c r="D791" i="1"/>
  <c r="P791" i="1" s="1"/>
  <c r="D465" i="1"/>
  <c r="P465" i="1" s="1"/>
  <c r="D307" i="1"/>
  <c r="P307" i="1" s="1"/>
  <c r="D337" i="1"/>
  <c r="P337" i="1" s="1"/>
  <c r="D600" i="1"/>
  <c r="P600" i="1" s="1"/>
  <c r="L462" i="1" l="1"/>
  <c r="K462" i="1" s="1"/>
  <c r="I462" i="1"/>
  <c r="J462" i="1" s="1"/>
  <c r="L629" i="1"/>
  <c r="K629" i="1" s="1"/>
  <c r="I629" i="1"/>
  <c r="J629" i="1" s="1"/>
  <c r="L591" i="1"/>
  <c r="K591" i="1" s="1"/>
  <c r="I591" i="1"/>
  <c r="J591" i="1" s="1"/>
  <c r="F243" i="1"/>
  <c r="R242" i="1"/>
  <c r="L337" i="1"/>
  <c r="K337" i="1" s="1"/>
  <c r="L465" i="1"/>
  <c r="K465" i="1" s="1"/>
  <c r="I465" i="1"/>
  <c r="J465" i="1" s="1"/>
  <c r="J647" i="1"/>
  <c r="L647" i="1"/>
  <c r="K647" i="1" s="1"/>
  <c r="I647" i="1"/>
  <c r="L600" i="1"/>
  <c r="K600" i="1" s="1"/>
  <c r="I600" i="1"/>
  <c r="J600" i="1" s="1"/>
  <c r="L791" i="1"/>
  <c r="I791" i="1"/>
  <c r="J791" i="1" s="1"/>
  <c r="L667" i="1"/>
  <c r="K667" i="1" s="1"/>
  <c r="I667" i="1"/>
  <c r="J667" i="1" s="1"/>
  <c r="L442" i="1"/>
  <c r="K442" i="1" s="1"/>
  <c r="I442" i="1"/>
  <c r="J442" i="1" s="1"/>
  <c r="L444" i="1"/>
  <c r="K444" i="1" s="1"/>
  <c r="I444" i="1"/>
  <c r="J444" i="1" s="1"/>
  <c r="L467" i="1"/>
  <c r="K467" i="1" s="1"/>
  <c r="I467" i="1"/>
  <c r="J467" i="1" s="1"/>
  <c r="L439" i="1"/>
  <c r="K439" i="1" s="1"/>
  <c r="I439" i="1"/>
  <c r="J439" i="1" s="1"/>
  <c r="D100" i="1"/>
  <c r="P100" i="1" s="1"/>
  <c r="D348" i="1"/>
  <c r="P348" i="1" s="1"/>
  <c r="D340" i="1"/>
  <c r="P340" i="1" s="1"/>
  <c r="D350" i="1"/>
  <c r="P350" i="1" s="1"/>
  <c r="D342" i="1"/>
  <c r="P342" i="1" s="1"/>
  <c r="D243" i="1"/>
  <c r="P243" i="1" s="1"/>
  <c r="D339" i="1"/>
  <c r="P339" i="1" s="1"/>
  <c r="D443" i="1"/>
  <c r="P443" i="1" s="1"/>
  <c r="D811" i="1"/>
  <c r="P811" i="1" s="1"/>
  <c r="F309" i="1"/>
  <c r="R309" i="1" s="1"/>
  <c r="G10" i="8"/>
  <c r="F311" i="1"/>
  <c r="R311" i="1" s="1"/>
  <c r="G11" i="8"/>
  <c r="F310" i="1"/>
  <c r="R310" i="1" s="1"/>
  <c r="F307" i="1"/>
  <c r="R307" i="1" s="1"/>
  <c r="G16" i="8"/>
  <c r="G17" i="8"/>
  <c r="F308" i="1"/>
  <c r="R308" i="1" s="1"/>
  <c r="F312" i="1"/>
  <c r="R312" i="1" s="1"/>
  <c r="F40" i="1"/>
  <c r="R40" i="1" s="1"/>
  <c r="D320" i="1"/>
  <c r="P320" i="1" s="1"/>
  <c r="D312" i="1"/>
  <c r="P312" i="1" s="1"/>
  <c r="D40" i="1"/>
  <c r="P40" i="1" s="1"/>
  <c r="D26" i="1"/>
  <c r="P26" i="1" s="1"/>
  <c r="D309" i="1"/>
  <c r="P309" i="1" s="1"/>
  <c r="D318" i="1"/>
  <c r="P318" i="1" s="1"/>
  <c r="D310" i="1"/>
  <c r="P310" i="1" s="1"/>
  <c r="D316" i="1"/>
  <c r="P316" i="1" s="1"/>
  <c r="D308" i="1"/>
  <c r="P308" i="1" s="1"/>
  <c r="D828" i="1"/>
  <c r="P828" i="1" s="1"/>
  <c r="D823" i="1"/>
  <c r="P823" i="1" s="1"/>
  <c r="D311" i="1"/>
  <c r="P311" i="1" s="1"/>
  <c r="D346" i="1"/>
  <c r="P346" i="1" s="1"/>
  <c r="D338" i="1"/>
  <c r="P338" i="1" s="1"/>
  <c r="D466" i="1"/>
  <c r="P466" i="1" s="1"/>
  <c r="D341" i="1"/>
  <c r="P341" i="1" s="1"/>
  <c r="D242" i="1"/>
  <c r="P242" i="1" s="1"/>
  <c r="F337" i="1"/>
  <c r="R337" i="1" s="1"/>
  <c r="I337" i="1" s="1"/>
  <c r="J337" i="1" s="1"/>
  <c r="G39" i="8"/>
  <c r="G38" i="8"/>
  <c r="F339" i="1"/>
  <c r="R339" i="1" s="1"/>
  <c r="G41" i="8"/>
  <c r="F338" i="1"/>
  <c r="R338" i="1" s="1"/>
  <c r="F340" i="1"/>
  <c r="R340" i="1" s="1"/>
  <c r="F341" i="1"/>
  <c r="R341" i="1" s="1"/>
  <c r="G42" i="8"/>
  <c r="F342" i="1"/>
  <c r="R342" i="1" s="1"/>
  <c r="D326" i="1"/>
  <c r="P326" i="1" s="1"/>
  <c r="D356" i="1"/>
  <c r="P356" i="1" s="1"/>
  <c r="D562" i="1"/>
  <c r="P562" i="1" s="1"/>
  <c r="L562" i="1" l="1"/>
  <c r="K562" i="1" s="1"/>
  <c r="I562" i="1"/>
  <c r="J562" i="1" s="1"/>
  <c r="I318" i="1"/>
  <c r="J318" i="1" s="1"/>
  <c r="L318" i="1"/>
  <c r="K318" i="1" s="1"/>
  <c r="L242" i="1"/>
  <c r="K242" i="1" s="1"/>
  <c r="I242" i="1"/>
  <c r="J242" i="1" s="1"/>
  <c r="L309" i="1"/>
  <c r="K309" i="1" s="1"/>
  <c r="I309" i="1"/>
  <c r="J309" i="1" s="1"/>
  <c r="L100" i="1"/>
  <c r="K100" i="1" s="1"/>
  <c r="I100" i="1"/>
  <c r="J100" i="1" s="1"/>
  <c r="I341" i="1"/>
  <c r="L338" i="1"/>
  <c r="K338" i="1" s="1"/>
  <c r="I338" i="1"/>
  <c r="J338" i="1" s="1"/>
  <c r="L443" i="1"/>
  <c r="K443" i="1" s="1"/>
  <c r="I443" i="1"/>
  <c r="J443" i="1" s="1"/>
  <c r="I823" i="1"/>
  <c r="J823" i="1" s="1"/>
  <c r="L823" i="1"/>
  <c r="I828" i="1"/>
  <c r="J828" i="1" s="1"/>
  <c r="L828" i="1"/>
  <c r="L243" i="1"/>
  <c r="K243" i="1" s="1"/>
  <c r="R243" i="1"/>
  <c r="I243" i="1" s="1"/>
  <c r="J243" i="1" s="1"/>
  <c r="F245" i="1"/>
  <c r="L346" i="1"/>
  <c r="K346" i="1" s="1"/>
  <c r="I346" i="1"/>
  <c r="J346" i="1" s="1"/>
  <c r="L310" i="1"/>
  <c r="K310" i="1" s="1"/>
  <c r="I310" i="1"/>
  <c r="J310" i="1" s="1"/>
  <c r="L811" i="1"/>
  <c r="I811" i="1"/>
  <c r="J811" i="1" s="1"/>
  <c r="L356" i="1"/>
  <c r="K356" i="1" s="1"/>
  <c r="L326" i="1"/>
  <c r="K326" i="1" s="1"/>
  <c r="I26" i="1"/>
  <c r="J26" i="1"/>
  <c r="L26" i="1"/>
  <c r="K26" i="1" s="1"/>
  <c r="L466" i="1"/>
  <c r="K466" i="1" s="1"/>
  <c r="I466" i="1"/>
  <c r="J466" i="1" s="1"/>
  <c r="I40" i="1"/>
  <c r="J40" i="1" s="1"/>
  <c r="L40" i="1"/>
  <c r="K40" i="1" s="1"/>
  <c r="H341" i="1"/>
  <c r="T341" i="1" s="1"/>
  <c r="L341" i="1" s="1"/>
  <c r="K341" i="1" s="1"/>
  <c r="D43" i="1"/>
  <c r="P43" i="1" s="1"/>
  <c r="H6" i="3"/>
  <c r="I6" i="3" s="1"/>
  <c r="H43" i="1" s="1"/>
  <c r="H311" i="1"/>
  <c r="T311" i="1" s="1"/>
  <c r="L311" i="1" s="1"/>
  <c r="K311" i="1" s="1"/>
  <c r="D250" i="1"/>
  <c r="P250" i="1" s="1"/>
  <c r="D245" i="1"/>
  <c r="P245" i="1" s="1"/>
  <c r="H339" i="1"/>
  <c r="T339" i="1" s="1"/>
  <c r="J339" i="1" s="1"/>
  <c r="I17" i="8"/>
  <c r="H312" i="1"/>
  <c r="H340" i="1"/>
  <c r="T340" i="1" s="1"/>
  <c r="L340" i="1" s="1"/>
  <c r="K340" i="1" s="1"/>
  <c r="I39" i="8"/>
  <c r="H308" i="1"/>
  <c r="I11" i="8"/>
  <c r="D812" i="1"/>
  <c r="P812" i="1" s="1"/>
  <c r="D833" i="1"/>
  <c r="P833" i="1" s="1"/>
  <c r="I10" i="8"/>
  <c r="H307" i="1"/>
  <c r="T307" i="1" s="1"/>
  <c r="I42" i="8"/>
  <c r="H342" i="1"/>
  <c r="T342" i="1" s="1"/>
  <c r="J342" i="1" s="1"/>
  <c r="D114" i="1"/>
  <c r="D315" i="1"/>
  <c r="P315" i="1" s="1"/>
  <c r="D117" i="1"/>
  <c r="P117" i="1" s="1"/>
  <c r="H21" i="4"/>
  <c r="F117" i="1" s="1"/>
  <c r="R117" i="1" s="1"/>
  <c r="D638" i="1"/>
  <c r="P638" i="1" s="1"/>
  <c r="C12" i="9"/>
  <c r="G12" i="9" s="1"/>
  <c r="C11" i="9"/>
  <c r="D361" i="1"/>
  <c r="P361" i="1" s="1"/>
  <c r="L339" i="1" l="1"/>
  <c r="K339" i="1" s="1"/>
  <c r="L342" i="1"/>
  <c r="K342" i="1" s="1"/>
  <c r="P114" i="1"/>
  <c r="I114" i="1" s="1"/>
  <c r="J114" i="1" s="1"/>
  <c r="U104" i="17"/>
  <c r="I311" i="1"/>
  <c r="J311" i="1"/>
  <c r="L250" i="1"/>
  <c r="K250" i="1" s="1"/>
  <c r="I340" i="1"/>
  <c r="J340" i="1"/>
  <c r="I361" i="1"/>
  <c r="J361" i="1" s="1"/>
  <c r="L361" i="1"/>
  <c r="K361" i="1" s="1"/>
  <c r="I833" i="1"/>
  <c r="J833" i="1" s="1"/>
  <c r="L833" i="1"/>
  <c r="F57" i="1"/>
  <c r="R57" i="1" s="1"/>
  <c r="T43" i="1"/>
  <c r="I43" i="1" s="1"/>
  <c r="I342" i="1"/>
  <c r="I339" i="1"/>
  <c r="L638" i="1"/>
  <c r="K638" i="1" s="1"/>
  <c r="I638" i="1"/>
  <c r="J638" i="1" s="1"/>
  <c r="F316" i="1"/>
  <c r="R316" i="1" s="1"/>
  <c r="T308" i="1"/>
  <c r="J43" i="1"/>
  <c r="L43" i="1"/>
  <c r="K43" i="1" s="1"/>
  <c r="I812" i="1"/>
  <c r="J812" i="1" s="1"/>
  <c r="L812" i="1"/>
  <c r="R245" i="1"/>
  <c r="I245" i="1" s="1"/>
  <c r="J245" i="1" s="1"/>
  <c r="F250" i="1"/>
  <c r="R250" i="1" s="1"/>
  <c r="I250" i="1" s="1"/>
  <c r="J250" i="1" s="1"/>
  <c r="J341" i="1"/>
  <c r="L245" i="1"/>
  <c r="K245" i="1" s="1"/>
  <c r="J307" i="1"/>
  <c r="I307" i="1"/>
  <c r="L307" i="1"/>
  <c r="K307" i="1" s="1"/>
  <c r="L117" i="1"/>
  <c r="K117" i="1" s="1"/>
  <c r="I117" i="1"/>
  <c r="J117" i="1" s="1"/>
  <c r="F320" i="1"/>
  <c r="R320" i="1" s="1"/>
  <c r="T312" i="1"/>
  <c r="L114" i="1"/>
  <c r="K114" i="1" s="1"/>
  <c r="H348" i="1"/>
  <c r="T348" i="1" s="1"/>
  <c r="H316" i="1"/>
  <c r="T316" i="1" s="1"/>
  <c r="H350" i="1"/>
  <c r="T350" i="1" s="1"/>
  <c r="H315" i="1"/>
  <c r="T315" i="1" s="1"/>
  <c r="L315" i="1" s="1"/>
  <c r="K315" i="1" s="1"/>
  <c r="H320" i="1"/>
  <c r="T320" i="1" s="1"/>
  <c r="C16" i="9"/>
  <c r="G11" i="9"/>
  <c r="D836" i="1"/>
  <c r="P836" i="1" s="1"/>
  <c r="F356" i="1"/>
  <c r="R356" i="1" s="1"/>
  <c r="I356" i="1" s="1"/>
  <c r="J356" i="1" s="1"/>
  <c r="H30" i="9"/>
  <c r="F394" i="1" s="1"/>
  <c r="R394" i="1" s="1"/>
  <c r="F348" i="1"/>
  <c r="R348" i="1" s="1"/>
  <c r="F315" i="1"/>
  <c r="R315" i="1" s="1"/>
  <c r="F326" i="1"/>
  <c r="R326" i="1" s="1"/>
  <c r="I326" i="1" s="1"/>
  <c r="J326" i="1" s="1"/>
  <c r="U116" i="17" l="1"/>
  <c r="U112" i="17"/>
  <c r="U108" i="17"/>
  <c r="U100" i="17"/>
  <c r="U110" i="17"/>
  <c r="AD104" i="17"/>
  <c r="U114" i="17"/>
  <c r="U102" i="17"/>
  <c r="U109" i="17"/>
  <c r="U107" i="17" s="1"/>
  <c r="U115" i="17"/>
  <c r="U113" i="17"/>
  <c r="I315" i="1"/>
  <c r="J350" i="1"/>
  <c r="L350" i="1"/>
  <c r="K350" i="1" s="1"/>
  <c r="I350" i="1"/>
  <c r="J316" i="1"/>
  <c r="I316" i="1"/>
  <c r="L316" i="1"/>
  <c r="K316" i="1" s="1"/>
  <c r="J348" i="1"/>
  <c r="L348" i="1"/>
  <c r="K348" i="1" s="1"/>
  <c r="I348" i="1"/>
  <c r="I308" i="1"/>
  <c r="L308" i="1"/>
  <c r="K308" i="1" s="1"/>
  <c r="J308" i="1"/>
  <c r="I320" i="1"/>
  <c r="L320" i="1"/>
  <c r="K320" i="1" s="1"/>
  <c r="J320" i="1"/>
  <c r="J312" i="1"/>
  <c r="I312" i="1"/>
  <c r="L312" i="1"/>
  <c r="K312" i="1" s="1"/>
  <c r="I836" i="1"/>
  <c r="J836" i="1" s="1"/>
  <c r="L836" i="1"/>
  <c r="J315" i="1"/>
  <c r="D347" i="1"/>
  <c r="P347" i="1" s="1"/>
  <c r="H38" i="8"/>
  <c r="H35" i="8"/>
  <c r="D369" i="1"/>
  <c r="P369" i="1" s="1"/>
  <c r="D599" i="1"/>
  <c r="P599" i="1" s="1"/>
  <c r="D837" i="1"/>
  <c r="P837" i="1" s="1"/>
  <c r="D319" i="1"/>
  <c r="P319" i="1" s="1"/>
  <c r="H16" i="8"/>
  <c r="H13" i="8"/>
  <c r="D83" i="1"/>
  <c r="P83" i="1" s="1"/>
  <c r="D21" i="4"/>
  <c r="F83" i="1" s="1"/>
  <c r="R83" i="1" s="1"/>
  <c r="D9" i="1"/>
  <c r="D6" i="3"/>
  <c r="E6" i="3" s="1"/>
  <c r="H369" i="1"/>
  <c r="T369" i="1" s="1"/>
  <c r="F419" i="1"/>
  <c r="R419" i="1" s="1"/>
  <c r="D396" i="1"/>
  <c r="P396" i="1" s="1"/>
  <c r="D394" i="1"/>
  <c r="P394" i="1" s="1"/>
  <c r="D349" i="1"/>
  <c r="P349" i="1" s="1"/>
  <c r="H41" i="8"/>
  <c r="AD113" i="17" l="1"/>
  <c r="AD115" i="17"/>
  <c r="AD109" i="17"/>
  <c r="AD117" i="17"/>
  <c r="AD111" i="17"/>
  <c r="I83" i="1"/>
  <c r="J83" i="1" s="1"/>
  <c r="L83" i="1"/>
  <c r="K83" i="1" s="1"/>
  <c r="I396" i="1"/>
  <c r="L396" i="1"/>
  <c r="K396" i="1" s="1"/>
  <c r="J396" i="1"/>
  <c r="J369" i="1"/>
  <c r="L837" i="1"/>
  <c r="I837" i="1"/>
  <c r="J837" i="1" s="1"/>
  <c r="L394" i="1"/>
  <c r="K394" i="1" s="1"/>
  <c r="I394" i="1"/>
  <c r="J394" i="1" s="1"/>
  <c r="L599" i="1"/>
  <c r="K599" i="1" s="1"/>
  <c r="I599" i="1"/>
  <c r="J599" i="1" s="1"/>
  <c r="I369" i="1"/>
  <c r="L369" i="1"/>
  <c r="K369" i="1" s="1"/>
  <c r="H9" i="1"/>
  <c r="F23" i="1" s="1"/>
  <c r="R23" i="1" s="1"/>
  <c r="T9" i="1"/>
  <c r="F345" i="1"/>
  <c r="R345" i="1" s="1"/>
  <c r="F317" i="1"/>
  <c r="R317" i="1" s="1"/>
  <c r="I16" i="8"/>
  <c r="F319" i="1"/>
  <c r="R319" i="1" s="1"/>
  <c r="D838" i="1"/>
  <c r="P838" i="1" s="1"/>
  <c r="D607" i="1"/>
  <c r="P607" i="1" s="1"/>
  <c r="F349" i="1"/>
  <c r="R349" i="1" s="1"/>
  <c r="I41" i="8"/>
  <c r="D419" i="1"/>
  <c r="P419" i="1" s="1"/>
  <c r="D345" i="1"/>
  <c r="P345" i="1" s="1"/>
  <c r="D317" i="1"/>
  <c r="P317" i="1" s="1"/>
  <c r="I38" i="8"/>
  <c r="F347" i="1"/>
  <c r="R347" i="1" s="1"/>
  <c r="I838" i="1" l="1"/>
  <c r="J838" i="1"/>
  <c r="L838" i="1"/>
  <c r="L607" i="1"/>
  <c r="K607" i="1" s="1"/>
  <c r="I607" i="1"/>
  <c r="J607" i="1" s="1"/>
  <c r="I317" i="1"/>
  <c r="J317" i="1" s="1"/>
  <c r="L317" i="1"/>
  <c r="K317" i="1" s="1"/>
  <c r="L9" i="1"/>
  <c r="I9" i="1"/>
  <c r="J9" i="1"/>
  <c r="I345" i="1"/>
  <c r="J345" i="1" s="1"/>
  <c r="L345" i="1"/>
  <c r="K345" i="1" s="1"/>
  <c r="L419" i="1"/>
  <c r="K419" i="1" s="1"/>
  <c r="I419" i="1"/>
  <c r="J419" i="1" s="1"/>
  <c r="H347" i="1"/>
  <c r="T347" i="1" s="1"/>
  <c r="H319" i="1"/>
  <c r="T319" i="1" s="1"/>
  <c r="H349" i="1"/>
  <c r="T349" i="1" s="1"/>
  <c r="D517" i="1"/>
  <c r="P517" i="1" s="1"/>
  <c r="F321" i="1"/>
  <c r="R321" i="1" s="1"/>
  <c r="D351" i="1"/>
  <c r="P351" i="1" s="1"/>
  <c r="D321" i="1"/>
  <c r="P321" i="1" s="1"/>
  <c r="D839" i="1"/>
  <c r="P839" i="1" s="1"/>
  <c r="D561" i="1"/>
  <c r="P561" i="1" s="1"/>
  <c r="L561" i="1" l="1"/>
  <c r="K561" i="1" s="1"/>
  <c r="I561" i="1"/>
  <c r="J561" i="1" s="1"/>
  <c r="K9" i="1"/>
  <c r="J347" i="1"/>
  <c r="I347" i="1"/>
  <c r="L347" i="1"/>
  <c r="K347" i="1" s="1"/>
  <c r="I839" i="1"/>
  <c r="J839" i="1" s="1"/>
  <c r="L839" i="1"/>
  <c r="L349" i="1"/>
  <c r="K349" i="1" s="1"/>
  <c r="J349" i="1"/>
  <c r="I349" i="1"/>
  <c r="L351" i="1"/>
  <c r="K351" i="1" s="1"/>
  <c r="L321" i="1"/>
  <c r="K321" i="1" s="1"/>
  <c r="I321" i="1"/>
  <c r="J321" i="1" s="1"/>
  <c r="L517" i="1"/>
  <c r="K517" i="1" s="1"/>
  <c r="I517" i="1"/>
  <c r="J517" i="1" s="1"/>
  <c r="L319" i="1"/>
  <c r="K319" i="1" s="1"/>
  <c r="I319" i="1"/>
  <c r="J319" i="1"/>
  <c r="F351" i="1"/>
  <c r="R351" i="1" s="1"/>
  <c r="I351" i="1" s="1"/>
  <c r="J351" i="1" s="1"/>
  <c r="H844" i="1"/>
  <c r="D322" i="1"/>
  <c r="P322" i="1" s="1"/>
  <c r="D569" i="1"/>
  <c r="P569" i="1" s="1"/>
  <c r="D352" i="1"/>
  <c r="P352" i="1" s="1"/>
  <c r="D637" i="1"/>
  <c r="P637" i="1" s="1"/>
  <c r="D645" i="1"/>
  <c r="P645" i="1" s="1"/>
  <c r="L645" i="1" l="1"/>
  <c r="K645" i="1" s="1"/>
  <c r="I645" i="1"/>
  <c r="J645" i="1" s="1"/>
  <c r="L569" i="1"/>
  <c r="K569" i="1" s="1"/>
  <c r="I569" i="1"/>
  <c r="J569" i="1" s="1"/>
  <c r="L352" i="1"/>
  <c r="K352" i="1" s="1"/>
  <c r="I352" i="1"/>
  <c r="J352" i="1" s="1"/>
  <c r="L322" i="1"/>
  <c r="K322" i="1" s="1"/>
  <c r="I322" i="1"/>
  <c r="J322" i="1" s="1"/>
  <c r="L637" i="1"/>
  <c r="K637" i="1" s="1"/>
  <c r="I637" i="1"/>
  <c r="J637" i="1" s="1"/>
  <c r="D323" i="1"/>
  <c r="P323" i="1" s="1"/>
  <c r="H29" i="4"/>
  <c r="F125" i="1" s="1"/>
  <c r="R125" i="1" s="1"/>
  <c r="D353" i="1"/>
  <c r="P353" i="1" s="1"/>
  <c r="H14" i="3"/>
  <c r="L323" i="1" l="1"/>
  <c r="K323" i="1" s="1"/>
  <c r="I323" i="1"/>
  <c r="J323" i="1" s="1"/>
  <c r="L353" i="1"/>
  <c r="K353" i="1" s="1"/>
  <c r="I353" i="1"/>
  <c r="J353" i="1" s="1"/>
  <c r="D125" i="1"/>
  <c r="P125" i="1" s="1"/>
  <c r="D57" i="1"/>
  <c r="P57" i="1" s="1"/>
  <c r="D51" i="1"/>
  <c r="P51" i="1" s="1"/>
  <c r="D354" i="1"/>
  <c r="P354" i="1" s="1"/>
  <c r="D324" i="1"/>
  <c r="P324" i="1" s="1"/>
  <c r="I354" i="1" l="1"/>
  <c r="J354" i="1" s="1"/>
  <c r="L354" i="1"/>
  <c r="K354" i="1" s="1"/>
  <c r="L125" i="1"/>
  <c r="K125" i="1" s="1"/>
  <c r="I125" i="1"/>
  <c r="J125" i="1" s="1"/>
  <c r="I51" i="1"/>
  <c r="J51" i="1" s="1"/>
  <c r="L51" i="1"/>
  <c r="K51" i="1" s="1"/>
  <c r="L57" i="1"/>
  <c r="K57" i="1" s="1"/>
  <c r="I57" i="1"/>
  <c r="J57" i="1" s="1"/>
  <c r="I324" i="1"/>
  <c r="J324" i="1" s="1"/>
  <c r="L324" i="1"/>
  <c r="K324" i="1" s="1"/>
  <c r="D131" i="1"/>
  <c r="D325" i="1"/>
  <c r="P325" i="1" s="1"/>
  <c r="D355" i="1"/>
  <c r="P355" i="1" s="1"/>
  <c r="P131" i="1" l="1"/>
  <c r="L131" i="1" s="1"/>
  <c r="K131" i="1" s="1"/>
  <c r="U83" i="17"/>
  <c r="L355" i="1"/>
  <c r="K355" i="1" s="1"/>
  <c r="I355" i="1"/>
  <c r="J355" i="1" s="1"/>
  <c r="L325" i="1"/>
  <c r="K325" i="1" s="1"/>
  <c r="I325" i="1"/>
  <c r="J325" i="1" s="1"/>
  <c r="I131" i="1" l="1"/>
  <c r="J131" i="1" s="1"/>
  <c r="D373" i="1"/>
  <c r="P373" i="1" s="1"/>
  <c r="I373" i="1" l="1"/>
  <c r="J373" i="1" s="1"/>
  <c r="L373" i="1"/>
  <c r="K373" i="1" s="1"/>
  <c r="D401" i="1"/>
  <c r="P401" i="1" s="1"/>
  <c r="L401" i="1" l="1"/>
  <c r="K401" i="1" s="1"/>
  <c r="I401" i="1"/>
  <c r="J401" i="1" s="1"/>
  <c r="D402" i="1"/>
  <c r="P402" i="1" s="1"/>
  <c r="I402" i="1" l="1"/>
  <c r="J402" i="1" s="1"/>
  <c r="L402" i="1"/>
  <c r="K402" i="1" s="1"/>
  <c r="D409" i="1"/>
  <c r="P409" i="1" s="1"/>
  <c r="I409" i="1" l="1"/>
  <c r="L409" i="1"/>
  <c r="K409" i="1" s="1"/>
  <c r="J409" i="1"/>
  <c r="D421" i="1"/>
  <c r="P421" i="1" s="1"/>
  <c r="D418" i="1"/>
  <c r="P418" i="1" s="1"/>
  <c r="D420" i="1"/>
  <c r="P420" i="1" s="1"/>
  <c r="I420" i="1" l="1"/>
  <c r="J420" i="1" s="1"/>
  <c r="L420" i="1"/>
  <c r="K420" i="1" s="1"/>
  <c r="J421" i="1"/>
  <c r="L421" i="1"/>
  <c r="K421" i="1" s="1"/>
  <c r="I421" i="1"/>
  <c r="I418" i="1"/>
  <c r="J418" i="1" s="1"/>
  <c r="L418" i="1"/>
  <c r="K418" i="1" s="1"/>
  <c r="D14" i="3"/>
  <c r="D29" i="4"/>
  <c r="F91" i="1" s="1"/>
  <c r="R91" i="1" s="1"/>
  <c r="D91" i="1" l="1"/>
  <c r="P91" i="1" s="1"/>
  <c r="D17" i="1"/>
  <c r="P17" i="1" s="1"/>
  <c r="L91" i="1" l="1"/>
  <c r="K91" i="1" s="1"/>
  <c r="I17" i="1"/>
  <c r="L17" i="1"/>
  <c r="J17" i="1"/>
  <c r="I91" i="1"/>
  <c r="J91" i="1" s="1"/>
  <c r="D23" i="1"/>
  <c r="P23" i="1" s="1"/>
  <c r="D97" i="1"/>
  <c r="P97" i="1" s="1"/>
  <c r="D139" i="1"/>
  <c r="P139" i="1" s="1"/>
  <c r="L23" i="1" l="1"/>
  <c r="K23" i="1" s="1"/>
  <c r="I23" i="1"/>
  <c r="J23" i="1" s="1"/>
  <c r="K17" i="1"/>
  <c r="L97" i="1"/>
  <c r="K97" i="1" s="1"/>
  <c r="I97" i="1"/>
  <c r="J97" i="1" s="1"/>
  <c r="L139" i="1"/>
  <c r="K139" i="1" s="1"/>
  <c r="I139" i="1"/>
  <c r="J139" i="1" s="1"/>
  <c r="D140" i="1"/>
  <c r="P140" i="1" s="1"/>
  <c r="D141" i="1"/>
  <c r="P141" i="1" s="1"/>
  <c r="D136" i="1"/>
  <c r="P136" i="1" s="1"/>
  <c r="D62" i="1"/>
  <c r="P62" i="1" s="1"/>
  <c r="I136" i="1" l="1"/>
  <c r="J136" i="1" s="1"/>
  <c r="L136" i="1"/>
  <c r="K136" i="1" s="1"/>
  <c r="I141" i="1"/>
  <c r="J141" i="1" s="1"/>
  <c r="L141" i="1"/>
  <c r="K141" i="1" s="1"/>
  <c r="I140" i="1"/>
  <c r="J140" i="1" s="1"/>
  <c r="L140" i="1"/>
  <c r="K140" i="1" s="1"/>
  <c r="I62" i="1"/>
  <c r="J62" i="1" s="1"/>
  <c r="L62" i="1"/>
  <c r="K62" i="1" s="1"/>
  <c r="D160" i="1"/>
  <c r="D158" i="1"/>
  <c r="P158" i="1" s="1"/>
  <c r="D142" i="1"/>
  <c r="P142" i="1" s="1"/>
  <c r="D63" i="1"/>
  <c r="P63" i="1" s="1"/>
  <c r="D64" i="1"/>
  <c r="P64" i="1" s="1"/>
  <c r="P160" i="1" l="1"/>
  <c r="J160" i="1" s="1"/>
  <c r="L160" i="1"/>
  <c r="K160" i="1" s="1"/>
  <c r="L158" i="1"/>
  <c r="K158" i="1" s="1"/>
  <c r="J158" i="1"/>
  <c r="L64" i="1"/>
  <c r="K64" i="1" s="1"/>
  <c r="I64" i="1"/>
  <c r="J64" i="1" s="1"/>
  <c r="L63" i="1"/>
  <c r="K63" i="1" s="1"/>
  <c r="I63" i="1"/>
  <c r="J63" i="1" s="1"/>
  <c r="J142" i="1"/>
  <c r="L142" i="1"/>
  <c r="K142" i="1" s="1"/>
  <c r="I142" i="1"/>
  <c r="D159" i="1"/>
  <c r="P159" i="1" s="1"/>
  <c r="D65" i="1"/>
  <c r="U5" i="17" l="1"/>
  <c r="U15" i="17" s="1"/>
  <c r="U9" i="17"/>
  <c r="P65" i="1"/>
  <c r="I159" i="1"/>
  <c r="J159" i="1" s="1"/>
  <c r="L159" i="1"/>
  <c r="K159" i="1" s="1"/>
  <c r="L65" i="1"/>
  <c r="K65" i="1" s="1"/>
  <c r="I65" i="1"/>
  <c r="J65" i="1" s="1"/>
  <c r="D68" i="1"/>
  <c r="P68" i="1" s="1"/>
  <c r="D163" i="1"/>
  <c r="D164" i="1"/>
  <c r="P164" i="1" s="1"/>
  <c r="P163" i="1" l="1"/>
  <c r="U46" i="17"/>
  <c r="L68" i="1"/>
  <c r="K68" i="1" s="1"/>
  <c r="I68" i="1"/>
  <c r="J68" i="1" s="1"/>
  <c r="L164" i="1"/>
  <c r="I164" i="1"/>
  <c r="J164" i="1" s="1"/>
  <c r="L163" i="1"/>
  <c r="K163" i="1" s="1"/>
  <c r="I163" i="1"/>
  <c r="J163" i="1" s="1"/>
  <c r="D69" i="1"/>
  <c r="P69" i="1" s="1"/>
  <c r="L69" i="1" l="1"/>
  <c r="K69" i="1" s="1"/>
  <c r="I69" i="1"/>
  <c r="J69" i="1" s="1"/>
  <c r="K164" i="1"/>
  <c r="D145" i="1"/>
  <c r="P145" i="1" s="1"/>
  <c r="I145" i="1" l="1"/>
  <c r="J145" i="1" s="1"/>
  <c r="L145" i="1"/>
  <c r="K145" i="1" s="1"/>
  <c r="D844" i="1"/>
  <c r="L844" i="1" l="1"/>
  <c r="I852" i="1" l="1"/>
  <c r="K844" i="1"/>
  <c r="C848" i="1"/>
  <c r="B848" i="1" l="1"/>
  <c r="C849" i="1" s="1"/>
  <c r="B849" i="1" s="1"/>
  <c r="C850" i="1" l="1"/>
  <c r="B850" i="1" s="1"/>
  <c r="C851" i="1" l="1"/>
  <c r="B851" i="1" s="1"/>
  <c r="C852" i="1" l="1"/>
  <c r="U52" i="17" l="1"/>
  <c r="U56" i="17"/>
  <c r="U54" i="17"/>
  <c r="U50" i="17"/>
  <c r="U57" i="17"/>
  <c r="U55" i="17"/>
  <c r="U51" i="17"/>
  <c r="U49" i="17" s="1"/>
  <c r="U16" i="17"/>
  <c r="U21" i="17"/>
  <c r="U20" i="17"/>
  <c r="U19" i="17"/>
  <c r="U17" i="17"/>
  <c r="U14" i="17" s="1"/>
  <c r="U32" i="17"/>
  <c r="U28" i="17"/>
  <c r="U31" i="17"/>
  <c r="U30" i="17"/>
  <c r="U26" i="17"/>
  <c r="U27" i="17"/>
  <c r="U25" i="17" l="1"/>
  <c r="U38" i="17"/>
  <c r="U40" i="17"/>
  <c r="U62" i="17"/>
  <c r="U76" i="17"/>
  <c r="U60" i="17"/>
  <c r="U75" i="17"/>
  <c r="U74" i="17"/>
  <c r="U71" i="17"/>
  <c r="U72" i="17"/>
  <c r="U69" i="17" s="1"/>
  <c r="U70" i="17"/>
  <c r="U87" i="17" l="1"/>
  <c r="U96" i="17" l="1"/>
  <c r="U81" i="17"/>
  <c r="U91" i="17"/>
  <c r="U93" i="17"/>
  <c r="U95" i="17"/>
  <c r="U97" i="17"/>
  <c r="U92" i="17"/>
  <c r="V81" i="17"/>
  <c r="U90" i="17" l="1"/>
  <c r="Y150" i="17"/>
  <c r="Y152" i="17"/>
  <c r="Y148" i="17"/>
  <c r="T169" i="17"/>
  <c r="Y169" i="17" l="1"/>
  <c r="V169" i="17"/>
  <c r="V166" i="17" l="1"/>
  <c r="AA166" i="17" s="1"/>
  <c r="O145" i="17" s="1"/>
  <c r="AA169" i="17"/>
  <c r="O290" i="17" l="1"/>
  <c r="J842" i="1" s="1"/>
  <c r="J844" i="1" s="1"/>
  <c r="C847" i="1" l="1"/>
  <c r="D849" i="1"/>
  <c r="E849" i="1"/>
  <c r="D848" i="1"/>
  <c r="E848" i="1"/>
  <c r="D850" i="1"/>
  <c r="E850" i="1"/>
  <c r="D851" i="1"/>
  <c r="E851" i="1"/>
  <c r="D852" i="1"/>
  <c r="E85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Wolfgang Harasleben</author>
  </authors>
  <commentList>
    <comment ref="A1" authorId="0" shapeId="0" xr:uid="{00000000-0006-0000-0200-000001000000}">
      <text>
        <r>
          <rPr>
            <b/>
            <sz val="8"/>
            <color indexed="81"/>
            <rFont val="Tahoma"/>
            <family val="2"/>
          </rPr>
          <t xml:space="preserve">Tipp: </t>
        </r>
        <r>
          <rPr>
            <sz val="8"/>
            <color indexed="81"/>
            <rFont val="Tahoma"/>
            <family val="2"/>
          </rPr>
          <t xml:space="preserve">Wenn du die Summenformel benötigst, solltest du folgendermaßen vorgehen:
</t>
        </r>
        <r>
          <rPr>
            <sz val="8"/>
            <color indexed="81"/>
            <rFont val="Wingdings"/>
            <charset val="2"/>
          </rPr>
          <t xml:space="preserve"> </t>
        </r>
        <r>
          <rPr>
            <sz val="8"/>
            <color indexed="81"/>
            <rFont val="Tahoma"/>
            <family val="2"/>
          </rPr>
          <t xml:space="preserve">gib einfach </t>
        </r>
        <r>
          <rPr>
            <b/>
            <sz val="8"/>
            <color indexed="10"/>
            <rFont val="Tahoma"/>
            <family val="2"/>
          </rPr>
          <t>=summe(</t>
        </r>
        <r>
          <rPr>
            <sz val="8"/>
            <color indexed="81"/>
            <rFont val="Tahoma"/>
            <family val="2"/>
          </rPr>
          <t xml:space="preserve"> ein
</t>
        </r>
        <r>
          <rPr>
            <sz val="8"/>
            <color indexed="81"/>
            <rFont val="Wingdings"/>
            <charset val="2"/>
          </rPr>
          <t xml:space="preserve"> </t>
        </r>
        <r>
          <rPr>
            <sz val="8"/>
            <color indexed="81"/>
            <rFont val="Tahoma"/>
            <family val="2"/>
          </rPr>
          <t xml:space="preserve">markiere dann die gewünschten Zellen, z.B. </t>
        </r>
        <r>
          <rPr>
            <b/>
            <sz val="8"/>
            <color indexed="10"/>
            <rFont val="Tahoma"/>
            <family val="2"/>
          </rPr>
          <t>A1:A9</t>
        </r>
        <r>
          <rPr>
            <sz val="8"/>
            <color indexed="81"/>
            <rFont val="Tahoma"/>
            <family val="2"/>
          </rPr>
          <t xml:space="preserve">
</t>
        </r>
        <r>
          <rPr>
            <sz val="8"/>
            <color indexed="81"/>
            <rFont val="Wingdings"/>
            <charset val="2"/>
          </rPr>
          <t xml:space="preserve"> </t>
        </r>
        <r>
          <rPr>
            <sz val="8"/>
            <color indexed="81"/>
            <rFont val="Tahoma"/>
            <family val="2"/>
          </rPr>
          <t xml:space="preserve">und gib zuletzt noch </t>
        </r>
        <r>
          <rPr>
            <b/>
            <sz val="8"/>
            <color indexed="10"/>
            <rFont val="Tahoma"/>
            <family val="2"/>
          </rPr>
          <t>)</t>
        </r>
        <r>
          <rPr>
            <sz val="8"/>
            <color indexed="81"/>
            <rFont val="Tahoma"/>
            <family val="2"/>
          </rPr>
          <t xml:space="preserve"> ein.
So sieht dann die komplette Formel aus: </t>
        </r>
        <r>
          <rPr>
            <b/>
            <sz val="8"/>
            <color indexed="10"/>
            <rFont val="Tahoma"/>
            <family val="2"/>
          </rPr>
          <t>=summe(A1:A9)</t>
        </r>
        <r>
          <rPr>
            <sz val="8"/>
            <color indexed="81"/>
            <rFont val="Tahoma"/>
            <family val="2"/>
          </rPr>
          <t xml:space="preserve">
Schließe diesen Vorgang mit </t>
        </r>
        <r>
          <rPr>
            <b/>
            <sz val="8"/>
            <color indexed="10"/>
            <rFont val="Tahoma"/>
            <family val="2"/>
          </rPr>
          <t>Enter</t>
        </r>
        <r>
          <rPr>
            <sz val="8"/>
            <color indexed="81"/>
            <rFont val="Tahoma"/>
            <family val="2"/>
          </rPr>
          <t xml:space="preserve"> ab.</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Wolfgang Harasleben</author>
  </authors>
  <commentList>
    <comment ref="A1" authorId="0" shapeId="0" xr:uid="{00000000-0006-0000-0B00-000001000000}">
      <text>
        <r>
          <rPr>
            <b/>
            <sz val="8"/>
            <color indexed="81"/>
            <rFont val="Tahoma"/>
            <family val="2"/>
          </rPr>
          <t xml:space="preserve">Tipp: </t>
        </r>
        <r>
          <rPr>
            <sz val="8"/>
            <color indexed="81"/>
            <rFont val="Tahoma"/>
            <family val="2"/>
          </rPr>
          <t xml:space="preserve">Wenn du die Summenformel benötigst, solltest du folgendermaßen vorgehen:
</t>
        </r>
        <r>
          <rPr>
            <sz val="8"/>
            <color indexed="81"/>
            <rFont val="Wingdings"/>
            <charset val="2"/>
          </rPr>
          <t xml:space="preserve"> </t>
        </r>
        <r>
          <rPr>
            <sz val="8"/>
            <color indexed="81"/>
            <rFont val="Tahoma"/>
            <family val="2"/>
          </rPr>
          <t xml:space="preserve">gib einfach </t>
        </r>
        <r>
          <rPr>
            <b/>
            <sz val="8"/>
            <color indexed="10"/>
            <rFont val="Tahoma"/>
            <family val="2"/>
          </rPr>
          <t>=summe(</t>
        </r>
        <r>
          <rPr>
            <sz val="8"/>
            <color indexed="81"/>
            <rFont val="Tahoma"/>
            <family val="2"/>
          </rPr>
          <t xml:space="preserve"> ein
</t>
        </r>
        <r>
          <rPr>
            <sz val="8"/>
            <color indexed="81"/>
            <rFont val="Wingdings"/>
            <charset val="2"/>
          </rPr>
          <t xml:space="preserve"> </t>
        </r>
        <r>
          <rPr>
            <sz val="8"/>
            <color indexed="81"/>
            <rFont val="Tahoma"/>
            <family val="2"/>
          </rPr>
          <t xml:space="preserve">markiere dann die gewünschten Zellen, z.B. </t>
        </r>
        <r>
          <rPr>
            <b/>
            <sz val="8"/>
            <color indexed="10"/>
            <rFont val="Tahoma"/>
            <family val="2"/>
          </rPr>
          <t>A1:A9</t>
        </r>
        <r>
          <rPr>
            <sz val="8"/>
            <color indexed="81"/>
            <rFont val="Tahoma"/>
            <family val="2"/>
          </rPr>
          <t xml:space="preserve">
</t>
        </r>
        <r>
          <rPr>
            <sz val="8"/>
            <color indexed="81"/>
            <rFont val="Wingdings"/>
            <charset val="2"/>
          </rPr>
          <t xml:space="preserve"> </t>
        </r>
        <r>
          <rPr>
            <sz val="8"/>
            <color indexed="81"/>
            <rFont val="Tahoma"/>
            <family val="2"/>
          </rPr>
          <t xml:space="preserve">und gib zuletzt noch </t>
        </r>
        <r>
          <rPr>
            <b/>
            <sz val="8"/>
            <color indexed="10"/>
            <rFont val="Tahoma"/>
            <family val="2"/>
          </rPr>
          <t>)</t>
        </r>
        <r>
          <rPr>
            <sz val="8"/>
            <color indexed="81"/>
            <rFont val="Tahoma"/>
            <family val="2"/>
          </rPr>
          <t xml:space="preserve"> ein.
So sieht dann die komplette Formel aus: </t>
        </r>
        <r>
          <rPr>
            <b/>
            <sz val="8"/>
            <color indexed="10"/>
            <rFont val="Tahoma"/>
            <family val="2"/>
          </rPr>
          <t>=summe(A1:A9)</t>
        </r>
        <r>
          <rPr>
            <sz val="8"/>
            <color indexed="81"/>
            <rFont val="Tahoma"/>
            <family val="2"/>
          </rPr>
          <t xml:space="preserve">
Schließe diesen Vorgang mit </t>
        </r>
        <r>
          <rPr>
            <b/>
            <sz val="8"/>
            <color indexed="10"/>
            <rFont val="Tahoma"/>
            <family val="2"/>
          </rPr>
          <t>Enter</t>
        </r>
        <r>
          <rPr>
            <sz val="8"/>
            <color indexed="81"/>
            <rFont val="Tahoma"/>
            <family val="2"/>
          </rPr>
          <t xml:space="preserve"> ab.</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Wolfgang Harasleben</author>
  </authors>
  <commentList>
    <comment ref="A1" authorId="0" shapeId="0" xr:uid="{00000000-0006-0000-0C00-000001000000}">
      <text>
        <r>
          <rPr>
            <b/>
            <sz val="8"/>
            <color indexed="81"/>
            <rFont val="Tahoma"/>
            <family val="2"/>
          </rPr>
          <t xml:space="preserve">Tipp: </t>
        </r>
        <r>
          <rPr>
            <sz val="8"/>
            <color indexed="81"/>
            <rFont val="Tahoma"/>
            <family val="2"/>
          </rPr>
          <t xml:space="preserve">Wenn du die Summenformel benötigst, solltest du folgendermaßen vorgehen:
</t>
        </r>
        <r>
          <rPr>
            <sz val="8"/>
            <color indexed="81"/>
            <rFont val="Wingdings"/>
            <charset val="2"/>
          </rPr>
          <t xml:space="preserve"> </t>
        </r>
        <r>
          <rPr>
            <sz val="8"/>
            <color indexed="81"/>
            <rFont val="Tahoma"/>
            <family val="2"/>
          </rPr>
          <t xml:space="preserve">gib einfach </t>
        </r>
        <r>
          <rPr>
            <b/>
            <sz val="8"/>
            <color indexed="10"/>
            <rFont val="Tahoma"/>
            <family val="2"/>
          </rPr>
          <t>=summe(</t>
        </r>
        <r>
          <rPr>
            <sz val="8"/>
            <color indexed="81"/>
            <rFont val="Tahoma"/>
            <family val="2"/>
          </rPr>
          <t xml:space="preserve"> ein
</t>
        </r>
        <r>
          <rPr>
            <sz val="8"/>
            <color indexed="81"/>
            <rFont val="Wingdings"/>
            <charset val="2"/>
          </rPr>
          <t xml:space="preserve"> </t>
        </r>
        <r>
          <rPr>
            <sz val="8"/>
            <color indexed="81"/>
            <rFont val="Tahoma"/>
            <family val="2"/>
          </rPr>
          <t xml:space="preserve">markiere dann die gewünschten Zellen, z.B. </t>
        </r>
        <r>
          <rPr>
            <b/>
            <sz val="8"/>
            <color indexed="10"/>
            <rFont val="Tahoma"/>
            <family val="2"/>
          </rPr>
          <t>A1:A9</t>
        </r>
        <r>
          <rPr>
            <sz val="8"/>
            <color indexed="81"/>
            <rFont val="Tahoma"/>
            <family val="2"/>
          </rPr>
          <t xml:space="preserve">
</t>
        </r>
        <r>
          <rPr>
            <sz val="8"/>
            <color indexed="81"/>
            <rFont val="Wingdings"/>
            <charset val="2"/>
          </rPr>
          <t xml:space="preserve"> </t>
        </r>
        <r>
          <rPr>
            <sz val="8"/>
            <color indexed="81"/>
            <rFont val="Tahoma"/>
            <family val="2"/>
          </rPr>
          <t xml:space="preserve">und gib zuletzt noch </t>
        </r>
        <r>
          <rPr>
            <b/>
            <sz val="8"/>
            <color indexed="10"/>
            <rFont val="Tahoma"/>
            <family val="2"/>
          </rPr>
          <t>)</t>
        </r>
        <r>
          <rPr>
            <sz val="8"/>
            <color indexed="81"/>
            <rFont val="Tahoma"/>
            <family val="2"/>
          </rPr>
          <t xml:space="preserve"> ein.
So sieht dann die komplette Formel aus: </t>
        </r>
        <r>
          <rPr>
            <b/>
            <sz val="8"/>
            <color indexed="10"/>
            <rFont val="Tahoma"/>
            <family val="2"/>
          </rPr>
          <t>=summe(A1:A9)</t>
        </r>
        <r>
          <rPr>
            <sz val="8"/>
            <color indexed="81"/>
            <rFont val="Tahoma"/>
            <family val="2"/>
          </rPr>
          <t xml:space="preserve">
Schließe diesen Vorgang mit </t>
        </r>
        <r>
          <rPr>
            <b/>
            <sz val="8"/>
            <color indexed="10"/>
            <rFont val="Tahoma"/>
            <family val="2"/>
          </rPr>
          <t>Enter</t>
        </r>
        <r>
          <rPr>
            <sz val="8"/>
            <color indexed="81"/>
            <rFont val="Tahoma"/>
            <family val="2"/>
          </rPr>
          <t xml:space="preserve"> ab.</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Wolfgang Harasleben</author>
  </authors>
  <commentList>
    <comment ref="A1" authorId="0" shapeId="0" xr:uid="{00000000-0006-0000-0D00-000001000000}">
      <text>
        <r>
          <rPr>
            <b/>
            <sz val="8"/>
            <color indexed="81"/>
            <rFont val="Tahoma"/>
            <family val="2"/>
          </rPr>
          <t>Tipp:</t>
        </r>
        <r>
          <rPr>
            <sz val="8"/>
            <color indexed="81"/>
            <rFont val="Tahoma"/>
            <family val="2"/>
          </rPr>
          <t xml:space="preserve"> Wenn du die Summenformel benötigst, solltest du folgendermaßen vorgehen:
◙ </t>
        </r>
        <r>
          <rPr>
            <sz val="8"/>
            <color indexed="81"/>
            <rFont val="Arial"/>
            <family val="2"/>
          </rPr>
          <t>gib</t>
        </r>
        <r>
          <rPr>
            <sz val="8"/>
            <color indexed="81"/>
            <rFont val="Tahoma"/>
            <family val="2"/>
          </rPr>
          <t xml:space="preserve"> einfach </t>
        </r>
        <r>
          <rPr>
            <b/>
            <sz val="8"/>
            <color indexed="10"/>
            <rFont val="Tahoma"/>
            <family val="2"/>
          </rPr>
          <t>=summe(</t>
        </r>
        <r>
          <rPr>
            <sz val="8"/>
            <color indexed="81"/>
            <rFont val="Tahoma"/>
            <family val="2"/>
          </rPr>
          <t xml:space="preserve"> ein
◙ markiere dann die gewünschten Zellen, z.B. </t>
        </r>
        <r>
          <rPr>
            <b/>
            <sz val="8"/>
            <color indexed="10"/>
            <rFont val="Tahoma"/>
            <family val="2"/>
          </rPr>
          <t>A1:A9</t>
        </r>
        <r>
          <rPr>
            <sz val="8"/>
            <color indexed="81"/>
            <rFont val="Tahoma"/>
            <family val="2"/>
          </rPr>
          <t xml:space="preserve">
◙ und gib zuletzt noch </t>
        </r>
        <r>
          <rPr>
            <sz val="8"/>
            <color indexed="10"/>
            <rFont val="Tahoma"/>
            <family val="2"/>
          </rPr>
          <t>)</t>
        </r>
        <r>
          <rPr>
            <sz val="8"/>
            <color indexed="81"/>
            <rFont val="Tahoma"/>
            <family val="2"/>
          </rPr>
          <t xml:space="preserve"> ein.
So sieht dann die komplette Formel aus: </t>
        </r>
        <r>
          <rPr>
            <b/>
            <sz val="8"/>
            <color indexed="10"/>
            <rFont val="Tahoma"/>
            <family val="2"/>
          </rPr>
          <t>=summe(A1:A9)</t>
        </r>
        <r>
          <rPr>
            <sz val="8"/>
            <color indexed="81"/>
            <rFont val="Tahoma"/>
            <family val="2"/>
          </rPr>
          <t xml:space="preserve">
Schließe diesen Vorgang mit </t>
        </r>
        <r>
          <rPr>
            <b/>
            <sz val="8"/>
            <color indexed="10"/>
            <rFont val="Tahoma"/>
            <family val="2"/>
          </rPr>
          <t>Enter</t>
        </r>
        <r>
          <rPr>
            <sz val="8"/>
            <color indexed="81"/>
            <rFont val="Tahoma"/>
            <family val="2"/>
          </rPr>
          <t xml:space="preserve"> ab.</t>
        </r>
      </text>
    </comment>
    <comment ref="D13" authorId="0" shapeId="0" xr:uid="{00000000-0006-0000-0D00-000002000000}">
      <text>
        <r>
          <rPr>
            <sz val="7"/>
            <color indexed="81"/>
            <rFont val="Wingdings"/>
            <charset val="2"/>
          </rPr>
          <t>l</t>
        </r>
        <r>
          <rPr>
            <sz val="7"/>
            <color indexed="81"/>
            <rFont val="Tahoma"/>
            <family val="2"/>
          </rPr>
          <t xml:space="preserve"> </t>
        </r>
        <r>
          <rPr>
            <b/>
            <sz val="7"/>
            <color indexed="81"/>
            <rFont val="Tahoma"/>
            <family val="2"/>
          </rPr>
          <t>Formel</t>
        </r>
        <r>
          <rPr>
            <sz val="7"/>
            <color indexed="81"/>
            <rFont val="Tahoma"/>
            <family val="2"/>
          </rPr>
          <t xml:space="preserve"> eingeben oder
</t>
        </r>
        <r>
          <rPr>
            <sz val="7"/>
            <color indexed="81"/>
            <rFont val="Wingdings"/>
            <charset val="2"/>
          </rPr>
          <t>l</t>
        </r>
        <r>
          <rPr>
            <sz val="7"/>
            <color indexed="81"/>
            <rFont val="Tahoma"/>
            <family val="2"/>
          </rPr>
          <t xml:space="preserve"> </t>
        </r>
        <r>
          <rPr>
            <b/>
            <sz val="7"/>
            <color indexed="81"/>
            <rFont val="Tahoma"/>
            <family val="2"/>
          </rPr>
          <t>betrieblichen Wert</t>
        </r>
        <r>
          <rPr>
            <sz val="7"/>
            <color indexed="81"/>
            <rFont val="Tahoma"/>
            <family val="2"/>
          </rPr>
          <t xml:space="preserve"> überrnehmen!
</t>
        </r>
        <r>
          <rPr>
            <sz val="8"/>
            <color indexed="81"/>
            <rFont val="Tahoma"/>
            <family val="2"/>
          </rPr>
          <t xml:space="preserve">
</t>
        </r>
        <r>
          <rPr>
            <b/>
            <sz val="8"/>
            <color indexed="10"/>
            <rFont val="Tahoma"/>
            <family val="2"/>
          </rPr>
          <t>ACHTUNG:</t>
        </r>
        <r>
          <rPr>
            <sz val="8"/>
            <color indexed="81"/>
            <rFont val="Tahoma"/>
            <family val="2"/>
          </rPr>
          <t xml:space="preserve">
</t>
        </r>
        <r>
          <rPr>
            <b/>
            <sz val="8"/>
            <color indexed="81"/>
            <rFont val="Tahoma"/>
            <family val="2"/>
          </rPr>
          <t>Betriebliche Werte</t>
        </r>
        <r>
          <rPr>
            <sz val="8"/>
            <color indexed="81"/>
            <rFont val="Tahoma"/>
            <family val="2"/>
          </rPr>
          <t xml:space="preserve"> haben </t>
        </r>
        <r>
          <rPr>
            <b/>
            <sz val="8"/>
            <color indexed="10"/>
            <rFont val="Tahoma"/>
            <family val="2"/>
          </rPr>
          <t>Vorrang!</t>
        </r>
      </text>
    </comment>
    <comment ref="D14" authorId="0" shapeId="0" xr:uid="{00000000-0006-0000-0D00-000003000000}">
      <text>
        <r>
          <rPr>
            <sz val="7"/>
            <color indexed="81"/>
            <rFont val="Wingdings"/>
            <charset val="2"/>
          </rPr>
          <t>l</t>
        </r>
        <r>
          <rPr>
            <sz val="7"/>
            <color indexed="81"/>
            <rFont val="Tahoma"/>
            <family val="2"/>
          </rPr>
          <t xml:space="preserve"> </t>
        </r>
        <r>
          <rPr>
            <b/>
            <sz val="7"/>
            <color indexed="81"/>
            <rFont val="Tahoma"/>
            <family val="2"/>
          </rPr>
          <t>Formel</t>
        </r>
        <r>
          <rPr>
            <sz val="7"/>
            <color indexed="81"/>
            <rFont val="Tahoma"/>
            <family val="2"/>
          </rPr>
          <t xml:space="preserve"> eingeben oder
</t>
        </r>
        <r>
          <rPr>
            <sz val="7"/>
            <color indexed="81"/>
            <rFont val="Wingdings"/>
            <charset val="2"/>
          </rPr>
          <t>l</t>
        </r>
        <r>
          <rPr>
            <sz val="7"/>
            <color indexed="81"/>
            <rFont val="Tahoma"/>
            <family val="2"/>
          </rPr>
          <t xml:space="preserve"> </t>
        </r>
        <r>
          <rPr>
            <b/>
            <sz val="7"/>
            <color indexed="81"/>
            <rFont val="Tahoma"/>
            <family val="2"/>
          </rPr>
          <t>betrieblichen Wert</t>
        </r>
        <r>
          <rPr>
            <sz val="7"/>
            <color indexed="81"/>
            <rFont val="Tahoma"/>
            <family val="2"/>
          </rPr>
          <t xml:space="preserve"> überrnehmen!
</t>
        </r>
        <r>
          <rPr>
            <sz val="8"/>
            <color indexed="81"/>
            <rFont val="Tahoma"/>
            <family val="2"/>
          </rPr>
          <t xml:space="preserve">
</t>
        </r>
        <r>
          <rPr>
            <b/>
            <sz val="8"/>
            <color indexed="10"/>
            <rFont val="Tahoma"/>
            <family val="2"/>
          </rPr>
          <t>ACHTUNG:</t>
        </r>
        <r>
          <rPr>
            <sz val="8"/>
            <color indexed="81"/>
            <rFont val="Tahoma"/>
            <family val="2"/>
          </rPr>
          <t xml:space="preserve">
</t>
        </r>
        <r>
          <rPr>
            <b/>
            <sz val="8"/>
            <color indexed="81"/>
            <rFont val="Tahoma"/>
            <family val="2"/>
          </rPr>
          <t>Betriebliche Werte</t>
        </r>
        <r>
          <rPr>
            <sz val="8"/>
            <color indexed="81"/>
            <rFont val="Tahoma"/>
            <family val="2"/>
          </rPr>
          <t xml:space="preserve"> haben </t>
        </r>
        <r>
          <rPr>
            <b/>
            <sz val="8"/>
            <color indexed="10"/>
            <rFont val="Tahoma"/>
            <family val="2"/>
          </rPr>
          <t>Vorrang!</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Wolfgang Harasleben</author>
  </authors>
  <commentList>
    <comment ref="A1" authorId="0" shapeId="0" xr:uid="{00000000-0006-0000-0E00-000001000000}">
      <text>
        <r>
          <rPr>
            <b/>
            <sz val="8"/>
            <color indexed="81"/>
            <rFont val="Tahoma"/>
            <family val="2"/>
          </rPr>
          <t>Tipp:</t>
        </r>
        <r>
          <rPr>
            <sz val="8"/>
            <color indexed="81"/>
            <rFont val="Tahoma"/>
            <family val="2"/>
          </rPr>
          <t xml:space="preserve"> Wenn du die Summenformel benötigst, solltest du folgendermaßen vorgehen:
◙ </t>
        </r>
        <r>
          <rPr>
            <sz val="8"/>
            <color indexed="81"/>
            <rFont val="Arial"/>
            <family val="2"/>
          </rPr>
          <t>gib</t>
        </r>
        <r>
          <rPr>
            <sz val="8"/>
            <color indexed="81"/>
            <rFont val="Tahoma"/>
            <family val="2"/>
          </rPr>
          <t xml:space="preserve"> einfach </t>
        </r>
        <r>
          <rPr>
            <b/>
            <sz val="8"/>
            <color indexed="10"/>
            <rFont val="Tahoma"/>
            <family val="2"/>
          </rPr>
          <t>=summe(</t>
        </r>
        <r>
          <rPr>
            <sz val="8"/>
            <color indexed="81"/>
            <rFont val="Tahoma"/>
            <family val="2"/>
          </rPr>
          <t xml:space="preserve"> ein
◙ markiere dann die gewünschten Zellen, z.B. </t>
        </r>
        <r>
          <rPr>
            <b/>
            <sz val="8"/>
            <color indexed="10"/>
            <rFont val="Tahoma"/>
            <family val="2"/>
          </rPr>
          <t>A1:A9</t>
        </r>
        <r>
          <rPr>
            <sz val="8"/>
            <color indexed="81"/>
            <rFont val="Tahoma"/>
            <family val="2"/>
          </rPr>
          <t xml:space="preserve">
◙ und gib zuletzt noch </t>
        </r>
        <r>
          <rPr>
            <sz val="8"/>
            <color indexed="10"/>
            <rFont val="Tahoma"/>
            <family val="2"/>
          </rPr>
          <t>)</t>
        </r>
        <r>
          <rPr>
            <sz val="8"/>
            <color indexed="81"/>
            <rFont val="Tahoma"/>
            <family val="2"/>
          </rPr>
          <t xml:space="preserve"> ein.
So sieht dann die komplette Formel aus: </t>
        </r>
        <r>
          <rPr>
            <b/>
            <sz val="8"/>
            <color indexed="10"/>
            <rFont val="Tahoma"/>
            <family val="2"/>
          </rPr>
          <t>=summe(A1:A9)</t>
        </r>
        <r>
          <rPr>
            <sz val="8"/>
            <color indexed="81"/>
            <rFont val="Tahoma"/>
            <family val="2"/>
          </rPr>
          <t xml:space="preserve">
Schließe diesen Vorgang mit </t>
        </r>
        <r>
          <rPr>
            <b/>
            <sz val="8"/>
            <color indexed="10"/>
            <rFont val="Tahoma"/>
            <family val="2"/>
          </rPr>
          <t>Enter</t>
        </r>
        <r>
          <rPr>
            <sz val="8"/>
            <color indexed="81"/>
            <rFont val="Tahoma"/>
            <family val="2"/>
          </rPr>
          <t xml:space="preserve"> ab.</t>
        </r>
      </text>
    </comment>
    <comment ref="D13" authorId="0" shapeId="0" xr:uid="{00000000-0006-0000-0E00-000002000000}">
      <text>
        <r>
          <rPr>
            <sz val="7"/>
            <color indexed="81"/>
            <rFont val="Wingdings"/>
            <charset val="2"/>
          </rPr>
          <t>l</t>
        </r>
        <r>
          <rPr>
            <sz val="7"/>
            <color indexed="81"/>
            <rFont val="Tahoma"/>
            <family val="2"/>
          </rPr>
          <t xml:space="preserve"> </t>
        </r>
        <r>
          <rPr>
            <b/>
            <sz val="7"/>
            <color indexed="81"/>
            <rFont val="Tahoma"/>
            <family val="2"/>
          </rPr>
          <t>Formel</t>
        </r>
        <r>
          <rPr>
            <sz val="7"/>
            <color indexed="81"/>
            <rFont val="Tahoma"/>
            <family val="2"/>
          </rPr>
          <t xml:space="preserve"> eingeben oder
</t>
        </r>
        <r>
          <rPr>
            <sz val="7"/>
            <color indexed="81"/>
            <rFont val="Wingdings"/>
            <charset val="2"/>
          </rPr>
          <t>l</t>
        </r>
        <r>
          <rPr>
            <sz val="7"/>
            <color indexed="81"/>
            <rFont val="Tahoma"/>
            <family val="2"/>
          </rPr>
          <t xml:space="preserve"> </t>
        </r>
        <r>
          <rPr>
            <b/>
            <sz val="7"/>
            <color indexed="81"/>
            <rFont val="Tahoma"/>
            <family val="2"/>
          </rPr>
          <t>betrieblichen Wert</t>
        </r>
        <r>
          <rPr>
            <sz val="7"/>
            <color indexed="81"/>
            <rFont val="Tahoma"/>
            <family val="2"/>
          </rPr>
          <t xml:space="preserve"> überrnehmen!
</t>
        </r>
        <r>
          <rPr>
            <sz val="8"/>
            <color indexed="81"/>
            <rFont val="Tahoma"/>
            <family val="2"/>
          </rPr>
          <t xml:space="preserve">
</t>
        </r>
        <r>
          <rPr>
            <b/>
            <sz val="8"/>
            <color indexed="10"/>
            <rFont val="Tahoma"/>
            <family val="2"/>
          </rPr>
          <t>ACHTUNG:</t>
        </r>
        <r>
          <rPr>
            <sz val="8"/>
            <color indexed="81"/>
            <rFont val="Tahoma"/>
            <family val="2"/>
          </rPr>
          <t xml:space="preserve">
</t>
        </r>
        <r>
          <rPr>
            <b/>
            <sz val="8"/>
            <color indexed="81"/>
            <rFont val="Tahoma"/>
            <family val="2"/>
          </rPr>
          <t>Betriebliche Werte</t>
        </r>
        <r>
          <rPr>
            <sz val="8"/>
            <color indexed="81"/>
            <rFont val="Tahoma"/>
            <family val="2"/>
          </rPr>
          <t xml:space="preserve"> haben </t>
        </r>
        <r>
          <rPr>
            <b/>
            <sz val="8"/>
            <color indexed="10"/>
            <rFont val="Tahoma"/>
            <family val="2"/>
          </rPr>
          <t>Vorrang!</t>
        </r>
      </text>
    </comment>
    <comment ref="D14" authorId="0" shapeId="0" xr:uid="{00000000-0006-0000-0E00-000003000000}">
      <text>
        <r>
          <rPr>
            <sz val="7"/>
            <color indexed="81"/>
            <rFont val="Wingdings"/>
            <charset val="2"/>
          </rPr>
          <t>l</t>
        </r>
        <r>
          <rPr>
            <sz val="7"/>
            <color indexed="81"/>
            <rFont val="Tahoma"/>
            <family val="2"/>
          </rPr>
          <t xml:space="preserve"> </t>
        </r>
        <r>
          <rPr>
            <b/>
            <sz val="7"/>
            <color indexed="81"/>
            <rFont val="Tahoma"/>
            <family val="2"/>
          </rPr>
          <t>Formel</t>
        </r>
        <r>
          <rPr>
            <sz val="7"/>
            <color indexed="81"/>
            <rFont val="Tahoma"/>
            <family val="2"/>
          </rPr>
          <t xml:space="preserve"> eingeben oder
</t>
        </r>
        <r>
          <rPr>
            <sz val="7"/>
            <color indexed="81"/>
            <rFont val="Wingdings"/>
            <charset val="2"/>
          </rPr>
          <t>l</t>
        </r>
        <r>
          <rPr>
            <sz val="7"/>
            <color indexed="81"/>
            <rFont val="Tahoma"/>
            <family val="2"/>
          </rPr>
          <t xml:space="preserve"> </t>
        </r>
        <r>
          <rPr>
            <b/>
            <sz val="7"/>
            <color indexed="81"/>
            <rFont val="Tahoma"/>
            <family val="2"/>
          </rPr>
          <t>betrieblichen Wert</t>
        </r>
        <r>
          <rPr>
            <sz val="7"/>
            <color indexed="81"/>
            <rFont val="Tahoma"/>
            <family val="2"/>
          </rPr>
          <t xml:space="preserve"> überrnehmen!
</t>
        </r>
        <r>
          <rPr>
            <sz val="8"/>
            <color indexed="81"/>
            <rFont val="Tahoma"/>
            <family val="2"/>
          </rPr>
          <t xml:space="preserve">
</t>
        </r>
        <r>
          <rPr>
            <b/>
            <sz val="8"/>
            <color indexed="10"/>
            <rFont val="Tahoma"/>
            <family val="2"/>
          </rPr>
          <t>ACHTUNG:</t>
        </r>
        <r>
          <rPr>
            <sz val="8"/>
            <color indexed="81"/>
            <rFont val="Tahoma"/>
            <family val="2"/>
          </rPr>
          <t xml:space="preserve">
</t>
        </r>
        <r>
          <rPr>
            <b/>
            <sz val="8"/>
            <color indexed="81"/>
            <rFont val="Tahoma"/>
            <family val="2"/>
          </rPr>
          <t>Betriebliche Werte</t>
        </r>
        <r>
          <rPr>
            <sz val="8"/>
            <color indexed="81"/>
            <rFont val="Tahoma"/>
            <family val="2"/>
          </rPr>
          <t xml:space="preserve"> haben </t>
        </r>
        <r>
          <rPr>
            <b/>
            <sz val="8"/>
            <color indexed="10"/>
            <rFont val="Tahoma"/>
            <family val="2"/>
          </rPr>
          <t>Vorrang!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Wolfgang Harasleben</author>
  </authors>
  <commentList>
    <comment ref="A1" authorId="0" shapeId="0" xr:uid="{00000000-0006-0000-0300-000001000000}">
      <text>
        <r>
          <rPr>
            <b/>
            <sz val="8"/>
            <color indexed="81"/>
            <rFont val="Tahoma"/>
            <family val="2"/>
          </rPr>
          <t xml:space="preserve">Tipp: </t>
        </r>
        <r>
          <rPr>
            <sz val="8"/>
            <color indexed="81"/>
            <rFont val="Tahoma"/>
            <family val="2"/>
          </rPr>
          <t xml:space="preserve">Wenn du die Summenformel benötigst, solltest du folgendermaßen vorgehen:
</t>
        </r>
        <r>
          <rPr>
            <sz val="8"/>
            <color indexed="81"/>
            <rFont val="Wingdings"/>
            <charset val="2"/>
          </rPr>
          <t xml:space="preserve"> </t>
        </r>
        <r>
          <rPr>
            <sz val="8"/>
            <color indexed="81"/>
            <rFont val="Tahoma"/>
            <family val="2"/>
          </rPr>
          <t xml:space="preserve">gib einfach </t>
        </r>
        <r>
          <rPr>
            <b/>
            <sz val="8"/>
            <color indexed="10"/>
            <rFont val="Tahoma"/>
            <family val="2"/>
          </rPr>
          <t>=summe(</t>
        </r>
        <r>
          <rPr>
            <sz val="8"/>
            <color indexed="81"/>
            <rFont val="Tahoma"/>
            <family val="2"/>
          </rPr>
          <t xml:space="preserve"> ein
</t>
        </r>
        <r>
          <rPr>
            <sz val="8"/>
            <color indexed="81"/>
            <rFont val="Wingdings"/>
            <charset val="2"/>
          </rPr>
          <t xml:space="preserve"> </t>
        </r>
        <r>
          <rPr>
            <sz val="8"/>
            <color indexed="81"/>
            <rFont val="Tahoma"/>
            <family val="2"/>
          </rPr>
          <t xml:space="preserve">markiere dann die gewünschten Zellen, z.B. </t>
        </r>
        <r>
          <rPr>
            <b/>
            <sz val="8"/>
            <color indexed="10"/>
            <rFont val="Tahoma"/>
            <family val="2"/>
          </rPr>
          <t>A1:A9</t>
        </r>
        <r>
          <rPr>
            <sz val="8"/>
            <color indexed="81"/>
            <rFont val="Tahoma"/>
            <family val="2"/>
          </rPr>
          <t xml:space="preserve">
</t>
        </r>
        <r>
          <rPr>
            <sz val="8"/>
            <color indexed="81"/>
            <rFont val="Wingdings"/>
            <charset val="2"/>
          </rPr>
          <t xml:space="preserve"> </t>
        </r>
        <r>
          <rPr>
            <sz val="8"/>
            <color indexed="81"/>
            <rFont val="Tahoma"/>
            <family val="2"/>
          </rPr>
          <t xml:space="preserve">und gib zuletzt noch </t>
        </r>
        <r>
          <rPr>
            <b/>
            <sz val="8"/>
            <color indexed="10"/>
            <rFont val="Tahoma"/>
            <family val="2"/>
          </rPr>
          <t>)</t>
        </r>
        <r>
          <rPr>
            <sz val="8"/>
            <color indexed="81"/>
            <rFont val="Tahoma"/>
            <family val="2"/>
          </rPr>
          <t xml:space="preserve"> ein.
So sieht dann die komplette Formel aus: </t>
        </r>
        <r>
          <rPr>
            <b/>
            <sz val="8"/>
            <color indexed="10"/>
            <rFont val="Tahoma"/>
            <family val="2"/>
          </rPr>
          <t>=summe(A1:A9)</t>
        </r>
        <r>
          <rPr>
            <sz val="8"/>
            <color indexed="81"/>
            <rFont val="Tahoma"/>
            <family val="2"/>
          </rPr>
          <t xml:space="preserve">
Schließe diesen Vorgang mit </t>
        </r>
        <r>
          <rPr>
            <b/>
            <sz val="8"/>
            <color indexed="10"/>
            <rFont val="Tahoma"/>
            <family val="2"/>
          </rPr>
          <t>Enter</t>
        </r>
        <r>
          <rPr>
            <sz val="8"/>
            <color indexed="81"/>
            <rFont val="Tahoma"/>
            <family val="2"/>
          </rPr>
          <t xml:space="preserve"> ab.</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Wolfgang Harasleben</author>
  </authors>
  <commentList>
    <comment ref="A1" authorId="0" shapeId="0" xr:uid="{00000000-0006-0000-0400-000001000000}">
      <text>
        <r>
          <rPr>
            <b/>
            <sz val="8"/>
            <color indexed="81"/>
            <rFont val="Tahoma"/>
            <family val="2"/>
          </rPr>
          <t xml:space="preserve">Tipp: </t>
        </r>
        <r>
          <rPr>
            <sz val="8"/>
            <color indexed="81"/>
            <rFont val="Tahoma"/>
            <family val="2"/>
          </rPr>
          <t xml:space="preserve">Wenn du die Summenformel benötigst, solltest du folgendermaßen vorgehen:
</t>
        </r>
        <r>
          <rPr>
            <sz val="8"/>
            <color indexed="81"/>
            <rFont val="Wingdings"/>
            <charset val="2"/>
          </rPr>
          <t xml:space="preserve"> </t>
        </r>
        <r>
          <rPr>
            <sz val="8"/>
            <color indexed="81"/>
            <rFont val="Tahoma"/>
            <family val="2"/>
          </rPr>
          <t xml:space="preserve">gib einfach </t>
        </r>
        <r>
          <rPr>
            <b/>
            <sz val="8"/>
            <color indexed="10"/>
            <rFont val="Tahoma"/>
            <family val="2"/>
          </rPr>
          <t>=summe(</t>
        </r>
        <r>
          <rPr>
            <sz val="8"/>
            <color indexed="81"/>
            <rFont val="Tahoma"/>
            <family val="2"/>
          </rPr>
          <t xml:space="preserve"> ein
</t>
        </r>
        <r>
          <rPr>
            <sz val="8"/>
            <color indexed="81"/>
            <rFont val="Wingdings"/>
            <charset val="2"/>
          </rPr>
          <t xml:space="preserve"> </t>
        </r>
        <r>
          <rPr>
            <sz val="8"/>
            <color indexed="81"/>
            <rFont val="Tahoma"/>
            <family val="2"/>
          </rPr>
          <t xml:space="preserve">markiere dann die gewünschten Zellen, z.B. </t>
        </r>
        <r>
          <rPr>
            <b/>
            <sz val="8"/>
            <color indexed="10"/>
            <rFont val="Tahoma"/>
            <family val="2"/>
          </rPr>
          <t>A1:A9</t>
        </r>
        <r>
          <rPr>
            <sz val="8"/>
            <color indexed="81"/>
            <rFont val="Tahoma"/>
            <family val="2"/>
          </rPr>
          <t xml:space="preserve">
</t>
        </r>
        <r>
          <rPr>
            <sz val="8"/>
            <color indexed="81"/>
            <rFont val="Wingdings"/>
            <charset val="2"/>
          </rPr>
          <t xml:space="preserve"> </t>
        </r>
        <r>
          <rPr>
            <sz val="8"/>
            <color indexed="81"/>
            <rFont val="Tahoma"/>
            <family val="2"/>
          </rPr>
          <t xml:space="preserve">und gib zuletzt noch </t>
        </r>
        <r>
          <rPr>
            <b/>
            <sz val="8"/>
            <color indexed="10"/>
            <rFont val="Tahoma"/>
            <family val="2"/>
          </rPr>
          <t>)</t>
        </r>
        <r>
          <rPr>
            <sz val="8"/>
            <color indexed="81"/>
            <rFont val="Tahoma"/>
            <family val="2"/>
          </rPr>
          <t xml:space="preserve"> ein.
So sieht dann die komplette Formel aus: </t>
        </r>
        <r>
          <rPr>
            <b/>
            <sz val="8"/>
            <color indexed="10"/>
            <rFont val="Tahoma"/>
            <family val="2"/>
          </rPr>
          <t>=summe(A1:A9)</t>
        </r>
        <r>
          <rPr>
            <sz val="8"/>
            <color indexed="81"/>
            <rFont val="Tahoma"/>
            <family val="2"/>
          </rPr>
          <t xml:space="preserve">
Schließe diesen Vorgang mit </t>
        </r>
        <r>
          <rPr>
            <b/>
            <sz val="8"/>
            <color indexed="10"/>
            <rFont val="Tahoma"/>
            <family val="2"/>
          </rPr>
          <t>Enter</t>
        </r>
        <r>
          <rPr>
            <sz val="8"/>
            <color indexed="81"/>
            <rFont val="Tahoma"/>
            <family val="2"/>
          </rPr>
          <t xml:space="preserve"> ab.</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Wolfgang Harasleben</author>
  </authors>
  <commentList>
    <comment ref="A1" authorId="0" shapeId="0" xr:uid="{00000000-0006-0000-0500-000001000000}">
      <text>
        <r>
          <rPr>
            <b/>
            <sz val="8"/>
            <color indexed="81"/>
            <rFont val="Tahoma"/>
            <family val="2"/>
          </rPr>
          <t>Tipp:</t>
        </r>
        <r>
          <rPr>
            <sz val="8"/>
            <color indexed="81"/>
            <rFont val="Tahoma"/>
            <family val="2"/>
          </rPr>
          <t xml:space="preserve"> Wenn du die Summenformel benötigst, solltest du folgendermaßen vorgehen:
◙ gib einfach </t>
        </r>
        <r>
          <rPr>
            <b/>
            <sz val="8"/>
            <color indexed="10"/>
            <rFont val="Tahoma"/>
            <family val="2"/>
          </rPr>
          <t>=summe(</t>
        </r>
        <r>
          <rPr>
            <sz val="8"/>
            <color indexed="81"/>
            <rFont val="Tahoma"/>
            <family val="2"/>
          </rPr>
          <t xml:space="preserve"> ein
◙ markiere dann die gewünschten Zellen, z.B. </t>
        </r>
        <r>
          <rPr>
            <b/>
            <sz val="8"/>
            <color indexed="10"/>
            <rFont val="Tahoma"/>
            <family val="2"/>
          </rPr>
          <t>A1:A9</t>
        </r>
        <r>
          <rPr>
            <sz val="8"/>
            <color indexed="81"/>
            <rFont val="Tahoma"/>
            <family val="2"/>
          </rPr>
          <t xml:space="preserve">
◙ und gib zuletzt noch </t>
        </r>
        <r>
          <rPr>
            <b/>
            <sz val="8"/>
            <color indexed="10"/>
            <rFont val="Tahoma"/>
            <family val="2"/>
          </rPr>
          <t>)</t>
        </r>
        <r>
          <rPr>
            <sz val="8"/>
            <color indexed="81"/>
            <rFont val="Tahoma"/>
            <family val="2"/>
          </rPr>
          <t xml:space="preserve"> ein.
So sieht dann die komplette Formel aus: </t>
        </r>
        <r>
          <rPr>
            <b/>
            <sz val="8"/>
            <color indexed="10"/>
            <rFont val="Tahoma"/>
            <family val="2"/>
          </rPr>
          <t>=summe(A1:A9)</t>
        </r>
        <r>
          <rPr>
            <sz val="8"/>
            <color indexed="81"/>
            <rFont val="Tahoma"/>
            <family val="2"/>
          </rPr>
          <t xml:space="preserve">
Schließe diesen Vorgang mit Enter ab.</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Wolfgang Harasleben</author>
  </authors>
  <commentList>
    <comment ref="A1" authorId="0" shapeId="0" xr:uid="{00000000-0006-0000-0600-000001000000}">
      <text>
        <r>
          <rPr>
            <b/>
            <sz val="8"/>
            <color indexed="81"/>
            <rFont val="Tahoma"/>
            <family val="2"/>
          </rPr>
          <t>Tipp:</t>
        </r>
        <r>
          <rPr>
            <sz val="8"/>
            <color indexed="81"/>
            <rFont val="Tahoma"/>
            <family val="2"/>
          </rPr>
          <t xml:space="preserve"> Wenn du die Summenformel benötigst, solltest du folgendermaßen vorgehen:
◙ gib einfach </t>
        </r>
        <r>
          <rPr>
            <b/>
            <sz val="8"/>
            <color indexed="10"/>
            <rFont val="Tahoma"/>
            <family val="2"/>
          </rPr>
          <t>=summe(</t>
        </r>
        <r>
          <rPr>
            <sz val="8"/>
            <color indexed="81"/>
            <rFont val="Tahoma"/>
            <family val="2"/>
          </rPr>
          <t xml:space="preserve"> ein
◙ markiere dann die gewünschten Zellen, z.B. </t>
        </r>
        <r>
          <rPr>
            <b/>
            <sz val="8"/>
            <color indexed="10"/>
            <rFont val="Tahoma"/>
            <family val="2"/>
          </rPr>
          <t>A1:A9</t>
        </r>
        <r>
          <rPr>
            <sz val="8"/>
            <color indexed="81"/>
            <rFont val="Tahoma"/>
            <family val="2"/>
          </rPr>
          <t xml:space="preserve">
◙ und gib zuletzt noch </t>
        </r>
        <r>
          <rPr>
            <b/>
            <sz val="8"/>
            <color indexed="10"/>
            <rFont val="Tahoma"/>
            <family val="2"/>
          </rPr>
          <t>)</t>
        </r>
        <r>
          <rPr>
            <sz val="8"/>
            <color indexed="81"/>
            <rFont val="Tahoma"/>
            <family val="2"/>
          </rPr>
          <t xml:space="preserve"> ein.
So sieht dann die komplette Formel aus: </t>
        </r>
        <r>
          <rPr>
            <b/>
            <sz val="8"/>
            <color indexed="10"/>
            <rFont val="Tahoma"/>
            <family val="2"/>
          </rPr>
          <t>=summe(A1:A9)</t>
        </r>
        <r>
          <rPr>
            <sz val="8"/>
            <color indexed="81"/>
            <rFont val="Tahoma"/>
            <family val="2"/>
          </rPr>
          <t xml:space="preserve">
Schließe diesen Vorgang mit Enter ab.</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Wolfgang Harasleben</author>
  </authors>
  <commentList>
    <comment ref="A1" authorId="0" shapeId="0" xr:uid="{00000000-0006-0000-0700-000001000000}">
      <text>
        <r>
          <rPr>
            <b/>
            <sz val="8"/>
            <color indexed="81"/>
            <rFont val="Tahoma"/>
            <family val="2"/>
          </rPr>
          <t>Tipp:</t>
        </r>
        <r>
          <rPr>
            <sz val="8"/>
            <color indexed="81"/>
            <rFont val="Tahoma"/>
            <family val="2"/>
          </rPr>
          <t xml:space="preserve"> Wenn du die Summenformel benötigst, solltest du folgendermaßen vorgehen:
◙ gib einfach </t>
        </r>
        <r>
          <rPr>
            <b/>
            <sz val="8"/>
            <color indexed="10"/>
            <rFont val="Tahoma"/>
            <family val="2"/>
          </rPr>
          <t>=summe(</t>
        </r>
        <r>
          <rPr>
            <sz val="8"/>
            <color indexed="81"/>
            <rFont val="Tahoma"/>
            <family val="2"/>
          </rPr>
          <t xml:space="preserve"> ein
◙ markiere dann die gewünschten Zellen, z.B. </t>
        </r>
        <r>
          <rPr>
            <b/>
            <sz val="8"/>
            <color indexed="10"/>
            <rFont val="Tahoma"/>
            <family val="2"/>
          </rPr>
          <t>A1:A9</t>
        </r>
        <r>
          <rPr>
            <sz val="8"/>
            <color indexed="81"/>
            <rFont val="Tahoma"/>
            <family val="2"/>
          </rPr>
          <t xml:space="preserve">
◙ und gib zuletzt noch </t>
        </r>
        <r>
          <rPr>
            <b/>
            <sz val="8"/>
            <color indexed="10"/>
            <rFont val="Tahoma"/>
            <family val="2"/>
          </rPr>
          <t>)</t>
        </r>
        <r>
          <rPr>
            <sz val="8"/>
            <color indexed="81"/>
            <rFont val="Tahoma"/>
            <family val="2"/>
          </rPr>
          <t xml:space="preserve"> ein.
So sieht dann die komplette Formel aus: </t>
        </r>
        <r>
          <rPr>
            <b/>
            <sz val="8"/>
            <color indexed="10"/>
            <rFont val="Tahoma"/>
            <family val="2"/>
          </rPr>
          <t>=summe(A1:A9)</t>
        </r>
        <r>
          <rPr>
            <sz val="8"/>
            <color indexed="81"/>
            <rFont val="Tahoma"/>
            <family val="2"/>
          </rPr>
          <t xml:space="preserve">
Schließe diesen Vorgang mit Enter ab.</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Wolfgang Harasleben</author>
  </authors>
  <commentList>
    <comment ref="A1" authorId="0" shapeId="0" xr:uid="{00000000-0006-0000-0800-000001000000}">
      <text>
        <r>
          <rPr>
            <b/>
            <sz val="8"/>
            <color indexed="81"/>
            <rFont val="Tahoma"/>
            <family val="2"/>
          </rPr>
          <t>Tipp:</t>
        </r>
        <r>
          <rPr>
            <sz val="8"/>
            <color indexed="81"/>
            <rFont val="Tahoma"/>
            <family val="2"/>
          </rPr>
          <t xml:space="preserve"> Wenn du die Summenformel benötigst, solltest du folgendermaßen vorgehen:
◙ gib einfach </t>
        </r>
        <r>
          <rPr>
            <b/>
            <sz val="8"/>
            <color indexed="10"/>
            <rFont val="Tahoma"/>
            <family val="2"/>
          </rPr>
          <t>=summe(</t>
        </r>
        <r>
          <rPr>
            <sz val="8"/>
            <color indexed="81"/>
            <rFont val="Tahoma"/>
            <family val="2"/>
          </rPr>
          <t xml:space="preserve"> ein
◙ markiere dann die gewünschten Zellen, z.B. </t>
        </r>
        <r>
          <rPr>
            <b/>
            <sz val="8"/>
            <color indexed="10"/>
            <rFont val="Tahoma"/>
            <family val="2"/>
          </rPr>
          <t>A1:A9</t>
        </r>
        <r>
          <rPr>
            <sz val="8"/>
            <color indexed="81"/>
            <rFont val="Tahoma"/>
            <family val="2"/>
          </rPr>
          <t xml:space="preserve">
◙ und gib zuletzt noch </t>
        </r>
        <r>
          <rPr>
            <b/>
            <sz val="8"/>
            <color indexed="10"/>
            <rFont val="Tahoma"/>
            <family val="2"/>
          </rPr>
          <t>)</t>
        </r>
        <r>
          <rPr>
            <sz val="8"/>
            <color indexed="81"/>
            <rFont val="Tahoma"/>
            <family val="2"/>
          </rPr>
          <t xml:space="preserve"> ein.
So sieht dann die komplette Formel aus: </t>
        </r>
        <r>
          <rPr>
            <b/>
            <sz val="8"/>
            <color indexed="10"/>
            <rFont val="Tahoma"/>
            <family val="2"/>
          </rPr>
          <t>=summe(A1:A9)</t>
        </r>
        <r>
          <rPr>
            <sz val="8"/>
            <color indexed="81"/>
            <rFont val="Tahoma"/>
            <family val="2"/>
          </rPr>
          <t xml:space="preserve">
Schließe diesen Vorgang mit Enter ab.</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Wolfgang Harasleben</author>
  </authors>
  <commentList>
    <comment ref="A1" authorId="0" shapeId="0" xr:uid="{00000000-0006-0000-0900-000001000000}">
      <text>
        <r>
          <rPr>
            <b/>
            <sz val="8"/>
            <color indexed="81"/>
            <rFont val="Tahoma"/>
            <family val="2"/>
          </rPr>
          <t>Tipp:</t>
        </r>
        <r>
          <rPr>
            <sz val="8"/>
            <color indexed="81"/>
            <rFont val="Tahoma"/>
            <family val="2"/>
          </rPr>
          <t xml:space="preserve"> Wenn du die Summenformel benötigst, solltest du folgendermaßen vorgehen:
◙ gib einfach </t>
        </r>
        <r>
          <rPr>
            <b/>
            <sz val="8"/>
            <color indexed="10"/>
            <rFont val="Tahoma"/>
            <family val="2"/>
          </rPr>
          <t>=summe(</t>
        </r>
        <r>
          <rPr>
            <sz val="8"/>
            <color indexed="81"/>
            <rFont val="Tahoma"/>
            <family val="2"/>
          </rPr>
          <t xml:space="preserve"> ein
◙ markiere dann die gewünschten Zellen, z.B. </t>
        </r>
        <r>
          <rPr>
            <b/>
            <sz val="8"/>
            <color indexed="10"/>
            <rFont val="Tahoma"/>
            <family val="2"/>
          </rPr>
          <t>A1:A9</t>
        </r>
        <r>
          <rPr>
            <sz val="8"/>
            <color indexed="81"/>
            <rFont val="Tahoma"/>
            <family val="2"/>
          </rPr>
          <t xml:space="preserve">
◙ und gib zuletzt noch </t>
        </r>
        <r>
          <rPr>
            <b/>
            <sz val="8"/>
            <color indexed="10"/>
            <rFont val="Tahoma"/>
            <family val="2"/>
          </rPr>
          <t>)</t>
        </r>
        <r>
          <rPr>
            <sz val="8"/>
            <color indexed="81"/>
            <rFont val="Tahoma"/>
            <family val="2"/>
          </rPr>
          <t xml:space="preserve"> ein.
So sieht dann die komplette Formel aus: </t>
        </r>
        <r>
          <rPr>
            <b/>
            <sz val="8"/>
            <color indexed="10"/>
            <rFont val="Tahoma"/>
            <family val="2"/>
          </rPr>
          <t>=summe(A1:A9)</t>
        </r>
        <r>
          <rPr>
            <sz val="8"/>
            <color indexed="81"/>
            <rFont val="Tahoma"/>
            <family val="2"/>
          </rPr>
          <t xml:space="preserve">
Schließe diesen Vorgang mit Enter ab.</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Wolfgang Harasleben</author>
  </authors>
  <commentList>
    <comment ref="A1" authorId="0" shapeId="0" xr:uid="{00000000-0006-0000-0A00-000001000000}">
      <text>
        <r>
          <rPr>
            <b/>
            <sz val="8"/>
            <color indexed="81"/>
            <rFont val="Tahoma"/>
            <family val="2"/>
          </rPr>
          <t xml:space="preserve">Tipp: </t>
        </r>
        <r>
          <rPr>
            <sz val="8"/>
            <color indexed="81"/>
            <rFont val="Tahoma"/>
            <family val="2"/>
          </rPr>
          <t xml:space="preserve">Wenn du die Summenformel benötigst, solltest du folgendermaßen vorgehen:
</t>
        </r>
        <r>
          <rPr>
            <sz val="8"/>
            <color indexed="81"/>
            <rFont val="Wingdings"/>
            <charset val="2"/>
          </rPr>
          <t xml:space="preserve"> </t>
        </r>
        <r>
          <rPr>
            <sz val="8"/>
            <color indexed="81"/>
            <rFont val="Tahoma"/>
            <family val="2"/>
          </rPr>
          <t xml:space="preserve">gib einfach </t>
        </r>
        <r>
          <rPr>
            <b/>
            <sz val="8"/>
            <color indexed="10"/>
            <rFont val="Tahoma"/>
            <family val="2"/>
          </rPr>
          <t>=summe(</t>
        </r>
        <r>
          <rPr>
            <sz val="8"/>
            <color indexed="81"/>
            <rFont val="Tahoma"/>
            <family val="2"/>
          </rPr>
          <t xml:space="preserve"> ein
</t>
        </r>
        <r>
          <rPr>
            <sz val="8"/>
            <color indexed="81"/>
            <rFont val="Wingdings"/>
            <charset val="2"/>
          </rPr>
          <t xml:space="preserve"> </t>
        </r>
        <r>
          <rPr>
            <sz val="8"/>
            <color indexed="81"/>
            <rFont val="Tahoma"/>
            <family val="2"/>
          </rPr>
          <t xml:space="preserve">markiere dann die gewünschten Zellen, z.B. </t>
        </r>
        <r>
          <rPr>
            <b/>
            <sz val="8"/>
            <color indexed="10"/>
            <rFont val="Tahoma"/>
            <family val="2"/>
          </rPr>
          <t>A1:A9</t>
        </r>
        <r>
          <rPr>
            <sz val="8"/>
            <color indexed="81"/>
            <rFont val="Tahoma"/>
            <family val="2"/>
          </rPr>
          <t xml:space="preserve">
</t>
        </r>
        <r>
          <rPr>
            <sz val="8"/>
            <color indexed="81"/>
            <rFont val="Wingdings"/>
            <charset val="2"/>
          </rPr>
          <t xml:space="preserve"> </t>
        </r>
        <r>
          <rPr>
            <sz val="8"/>
            <color indexed="81"/>
            <rFont val="Tahoma"/>
            <family val="2"/>
          </rPr>
          <t xml:space="preserve">und gib zuletzt noch </t>
        </r>
        <r>
          <rPr>
            <b/>
            <sz val="8"/>
            <color indexed="10"/>
            <rFont val="Tahoma"/>
            <family val="2"/>
          </rPr>
          <t>)</t>
        </r>
        <r>
          <rPr>
            <sz val="8"/>
            <color indexed="81"/>
            <rFont val="Tahoma"/>
            <family val="2"/>
          </rPr>
          <t xml:space="preserve"> ein.
So sieht dann die komplette Formel aus: </t>
        </r>
        <r>
          <rPr>
            <b/>
            <sz val="8"/>
            <color indexed="10"/>
            <rFont val="Tahoma"/>
            <family val="2"/>
          </rPr>
          <t>=summe(A1:A9)</t>
        </r>
        <r>
          <rPr>
            <sz val="8"/>
            <color indexed="81"/>
            <rFont val="Tahoma"/>
            <family val="2"/>
          </rPr>
          <t xml:space="preserve">
Schließe diesen Vorgang mit </t>
        </r>
        <r>
          <rPr>
            <b/>
            <sz val="8"/>
            <color indexed="10"/>
            <rFont val="Tahoma"/>
            <family val="2"/>
          </rPr>
          <t>Enter</t>
        </r>
        <r>
          <rPr>
            <sz val="8"/>
            <color indexed="81"/>
            <rFont val="Tahoma"/>
            <family val="2"/>
          </rPr>
          <t xml:space="preserve"> ab.</t>
        </r>
      </text>
    </comment>
  </commentList>
</comments>
</file>

<file path=xl/sharedStrings.xml><?xml version="1.0" encoding="utf-8"?>
<sst xmlns="http://schemas.openxmlformats.org/spreadsheetml/2006/main" count="1413" uniqueCount="678">
  <si>
    <t>Korrekturblatt</t>
  </si>
  <si>
    <t>unabhängige Ergebnisse</t>
  </si>
  <si>
    <t>abhängige Ergebnisse (werden wenn die Formel korrekt ist, als Folgefehler mit 0,5 Punkten bewertet)</t>
  </si>
  <si>
    <t>IST-ORGANISATION</t>
  </si>
  <si>
    <t>Ergebnis</t>
  </si>
  <si>
    <t>Formel-
prüfung</t>
  </si>
  <si>
    <t>Deine Be-rechnung</t>
  </si>
  <si>
    <t>Punkte</t>
  </si>
  <si>
    <t>Berechnen?</t>
  </si>
  <si>
    <t>1.</t>
  </si>
  <si>
    <t>Deckungsbeitrag / Variable Kosten</t>
  </si>
  <si>
    <t>x</t>
  </si>
  <si>
    <t>2.</t>
  </si>
  <si>
    <t>Ertrag / Bedarf MJ NEL</t>
  </si>
  <si>
    <t>3.</t>
  </si>
  <si>
    <t>Jahresarbeitszeit</t>
  </si>
  <si>
    <t>Gesamt Akh</t>
  </si>
  <si>
    <t>4.</t>
  </si>
  <si>
    <t>Einkommensermittlung</t>
  </si>
  <si>
    <t>5.</t>
  </si>
  <si>
    <t>Ermittlung der Kapitaldienstgrenze</t>
  </si>
  <si>
    <t>Plan</t>
  </si>
  <si>
    <t>Sonstige Einkommensbestandteile</t>
  </si>
  <si>
    <t>6.</t>
  </si>
  <si>
    <t>7.</t>
  </si>
  <si>
    <t>Vergleich</t>
  </si>
  <si>
    <t>Leistung und Kosten der Investition</t>
  </si>
  <si>
    <t>Beurteilung der Wirtschaftlichkeit</t>
  </si>
  <si>
    <t>Kapitaltilgung</t>
  </si>
  <si>
    <t>Schuldzinsen</t>
  </si>
  <si>
    <t>1. Milchleistung</t>
  </si>
  <si>
    <t>Grundfutterleistung</t>
  </si>
  <si>
    <t xml:space="preserve">Leistung aus Ergänzungsfutter </t>
  </si>
  <si>
    <t>2. Milchäquivalent</t>
  </si>
  <si>
    <t>Rohertrag</t>
  </si>
  <si>
    <t>VK-Ermittlung</t>
  </si>
  <si>
    <t>Variabele Grundfutterkosten</t>
  </si>
  <si>
    <t>Deckungsbeiträge und Förderungen</t>
  </si>
  <si>
    <t>Arbeitszeitermittlung und DB/Akh</t>
  </si>
  <si>
    <t>DB Mutterkuh</t>
  </si>
  <si>
    <t>1. Futterbedarf</t>
  </si>
  <si>
    <t>2. Rohgertrag</t>
  </si>
  <si>
    <t>3. Variable Kosten</t>
  </si>
  <si>
    <t>4. Variable Grundfutterkosten</t>
  </si>
  <si>
    <t>5. Förderungen</t>
  </si>
  <si>
    <t>6. Arbeitszeitbedarf</t>
  </si>
  <si>
    <t>DB je AK/Stunde</t>
  </si>
  <si>
    <t>Arbeitszeit pro Fuhre in Akh</t>
  </si>
  <si>
    <t>Arbeitszeit je 100 dt in Akh</t>
  </si>
  <si>
    <t>Variable Kosten und Arbeitszeitbedarf</t>
  </si>
  <si>
    <t>Arbeitsgänge - 1x pro Jahr</t>
  </si>
  <si>
    <t>Zwischensumme I</t>
  </si>
  <si>
    <t>Arbeitsgänge - 1x je Schnitt</t>
  </si>
  <si>
    <t>Zwischensumme II</t>
  </si>
  <si>
    <t>Variable Traktorkosten</t>
  </si>
  <si>
    <t>Zwischensumme III</t>
  </si>
  <si>
    <t>Variable Kosten der Trocknung</t>
  </si>
  <si>
    <t>Ertrag</t>
  </si>
  <si>
    <t>Nettoernergie in MJ NEL je kg TM</t>
  </si>
  <si>
    <t>Nettoernergie in MJ NEL gesamt</t>
  </si>
  <si>
    <t>Variable Kosten</t>
  </si>
  <si>
    <t>MASCHINEN-KORE - MASCHINE 1</t>
  </si>
  <si>
    <t>Alter und Zeitwert</t>
  </si>
  <si>
    <t>Alter (bisherige Nutzungsdauer)</t>
  </si>
  <si>
    <t>Fixkosten</t>
  </si>
  <si>
    <t>Jährliche Afa</t>
  </si>
  <si>
    <t>Unterbringung in €</t>
  </si>
  <si>
    <t>Versicherung in €</t>
  </si>
  <si>
    <t>Verzinsung in €</t>
  </si>
  <si>
    <t>Summe Fixkosten pro Jahr</t>
  </si>
  <si>
    <t>Energie pro Jahr</t>
  </si>
  <si>
    <t>Reparatur je 100 Stunden</t>
  </si>
  <si>
    <t>Reparatur pro Jahr</t>
  </si>
  <si>
    <t>Summe variable Kosten pro Jahr</t>
  </si>
  <si>
    <t>Durchschnitts- oder Stückkosten</t>
  </si>
  <si>
    <t>FK pro Stunde</t>
  </si>
  <si>
    <t>VK pro Stunde</t>
  </si>
  <si>
    <t>GK pro Stunde</t>
  </si>
  <si>
    <t>MASCHINEN-KORE - MASCHINE 2</t>
  </si>
  <si>
    <t>Vollkostenrechnung</t>
  </si>
  <si>
    <t>Anlagevermögen</t>
  </si>
  <si>
    <t>Bisherige Nutzungsdauer</t>
  </si>
  <si>
    <t>Zeitwert 1. Jänner</t>
  </si>
  <si>
    <t>Zeitwert 31. Dezember</t>
  </si>
  <si>
    <t>Umlaufvermögen</t>
  </si>
  <si>
    <t>Wert 1. Jänner</t>
  </si>
  <si>
    <t>Wert 31. Dezember</t>
  </si>
  <si>
    <t>Mehrwert/Minderwert</t>
  </si>
  <si>
    <t>Kreuze an!</t>
  </si>
  <si>
    <t>Gebäudebewertung</t>
  </si>
  <si>
    <t>Teil 1</t>
  </si>
  <si>
    <t>Teil 2</t>
  </si>
  <si>
    <t>Teil 3</t>
  </si>
  <si>
    <t>Teil 4</t>
  </si>
  <si>
    <t>Teil 5</t>
  </si>
  <si>
    <t>Reduktion</t>
  </si>
  <si>
    <t>Gesamtpunktezahl</t>
  </si>
  <si>
    <t>Note</t>
  </si>
  <si>
    <t>Abstufung 1</t>
  </si>
  <si>
    <t>Abstufung 2</t>
  </si>
  <si>
    <t>Abstufung:</t>
  </si>
  <si>
    <t>Notizen/
Nebenrechnungen</t>
  </si>
  <si>
    <t>Ergebnisinterpretation</t>
  </si>
  <si>
    <t>(1.)</t>
  </si>
  <si>
    <t>Analyse der betriebliche Ausganssituation (IST)</t>
  </si>
  <si>
    <t>b.</t>
  </si>
  <si>
    <t>Beschreibe die finanzielle Situation des Betriebes vor Umsetzung des Projektes!</t>
  </si>
  <si>
    <t>Gesamteinkommen:</t>
  </si>
  <si>
    <t>/</t>
  </si>
  <si>
    <t>Lebenhaltungskosten:</t>
  </si>
  <si>
    <t>Kapitaldienstgrenze:</t>
  </si>
  <si>
    <t>Kapitaldienst-IST:</t>
  </si>
  <si>
    <t>c.</t>
  </si>
  <si>
    <t>Wie beurteilst du diese Zahlen?</t>
  </si>
  <si>
    <t>VglKD_KDG</t>
  </si>
  <si>
    <t>(2.)</t>
  </si>
  <si>
    <t>Interpretation der künftigen betrieblichen Entwicklung (PLAN und FINANZ)</t>
  </si>
  <si>
    <t>a.</t>
  </si>
  <si>
    <t>Ist die Umsetzung des Projektes wirtschaftlich?</t>
  </si>
  <si>
    <t>Ankreuzen</t>
  </si>
  <si>
    <t xml:space="preserve"> ja</t>
  </si>
  <si>
    <t xml:space="preserve"> nein</t>
  </si>
  <si>
    <t>Leistung der Investition</t>
  </si>
  <si>
    <t>Kapitalkosten der Investition</t>
  </si>
  <si>
    <t>Differenz</t>
  </si>
  <si>
    <t>Begründung:</t>
  </si>
  <si>
    <t>Wirtschaftlichkeit</t>
  </si>
  <si>
    <t>Kannst du das Projekt auch finanzieren?</t>
  </si>
  <si>
    <t>Kapitaldienstgrenze bei Plan-Variante</t>
  </si>
  <si>
    <t>Kapitaldienst für die Investition</t>
  </si>
  <si>
    <t>Finanzierbarkeit</t>
  </si>
  <si>
    <t>künftiger Akh-Bedarf</t>
  </si>
  <si>
    <t>Künftige AK-Ausstattung</t>
  </si>
  <si>
    <t>das sind etwa</t>
  </si>
  <si>
    <t>Arbeitskräfte</t>
  </si>
  <si>
    <t>d.</t>
  </si>
  <si>
    <t>Kannst du den Energiebedarf durch den geänderten Viehbestand mit wirtschaftseigenem Grundfutter abdecken oder musst du Futter zukaufen?</t>
  </si>
  <si>
    <t xml:space="preserve"> kann mit Grundfutter gedeckt werden</t>
  </si>
  <si>
    <t>Energiebilanz</t>
  </si>
  <si>
    <t>MJ NEL</t>
  </si>
  <si>
    <t>(3.)</t>
  </si>
  <si>
    <t>Erstelle bie Eröffnungsbilanz deines Betriebes für das Jahr !</t>
  </si>
  <si>
    <t xml:space="preserve">Eröffnungsbilanz 1. 1. </t>
  </si>
  <si>
    <t>Aktiva</t>
  </si>
  <si>
    <t>Passiva</t>
  </si>
  <si>
    <t>Fremdkapital</t>
  </si>
  <si>
    <t>Eigenkapital =</t>
  </si>
  <si>
    <t>Summe Aktiva</t>
  </si>
  <si>
    <t>Summe Passiva</t>
  </si>
  <si>
    <t>Punkte:</t>
  </si>
  <si>
    <t>Betriebliche Ausgangssituation</t>
  </si>
  <si>
    <t>Produktions-verfahren</t>
  </si>
  <si>
    <t>Anzahl:
ha, Stk.</t>
  </si>
  <si>
    <t>Deckungsbeitrag (+) bzw. Variable Kosten (-)</t>
  </si>
  <si>
    <t>Ertrag (+) bzw Bedarf (-) an KStE oder MJ NEL</t>
  </si>
  <si>
    <t>Jahresarbeits-
zeit in Akh</t>
  </si>
  <si>
    <t>verfahren</t>
  </si>
  <si>
    <t>ha;Stk</t>
  </si>
  <si>
    <t>bzw. VK (-)</t>
  </si>
  <si>
    <t>(-) an KStE oder NEL</t>
  </si>
  <si>
    <t>bedarf in AKh</t>
  </si>
  <si>
    <t>je ha; Stk.</t>
  </si>
  <si>
    <t>gesamt</t>
  </si>
  <si>
    <t>je ha; Stk</t>
  </si>
  <si>
    <t>Gesamt DB</t>
  </si>
  <si>
    <t>Sonstige betriebliche Erträge       +</t>
  </si>
  <si>
    <t>Energie- und Arbeitszeitbilanz</t>
  </si>
  <si>
    <t xml:space="preserve"> +/- Ges.
Energie</t>
  </si>
  <si>
    <t>Gesamt
Akh</t>
  </si>
  <si>
    <t>Summe Sonstige Erträge</t>
  </si>
  <si>
    <t>Förderungen</t>
  </si>
  <si>
    <t>+</t>
  </si>
  <si>
    <t>Kapitaldienstgrenze</t>
  </si>
  <si>
    <t>Gesamteinkommen</t>
  </si>
  <si>
    <t>Lebenshaltungskosten</t>
  </si>
  <si>
    <t>Kapitaldienst für bestehende Kredite</t>
  </si>
  <si>
    <t>Vorläufige Kapitaldienstgrenze</t>
  </si>
  <si>
    <t>Afa für Gebäude und Maschinen, die während der Kreditlaufzeit nicht erneuert werden müssen.</t>
  </si>
  <si>
    <t>SUMME FÖRDERUNGEN</t>
  </si>
  <si>
    <t>GDB einschl. Förd. und sonst. Erträge</t>
  </si>
  <si>
    <t>Feste Kosten bei IST-Organisation</t>
  </si>
  <si>
    <t>LANDWIRTSCHAFTLICHES EINKOMMEN - Gesamt</t>
  </si>
  <si>
    <t>SOZIALEINKOMMEN</t>
  </si>
  <si>
    <t>NEBEEINKOMMEN</t>
  </si>
  <si>
    <t>GESAMTEINKOMMEN</t>
  </si>
  <si>
    <t>Berechnung geplanten Investition</t>
  </si>
  <si>
    <t>Investitionsvolumen</t>
  </si>
  <si>
    <t>Art der Investition</t>
  </si>
  <si>
    <t>Betrag</t>
  </si>
  <si>
    <t>Nd/Jahre</t>
  </si>
  <si>
    <t>Jährl. Afa</t>
  </si>
  <si>
    <t>Kapitalart</t>
  </si>
  <si>
    <t>Zinssatz</t>
  </si>
  <si>
    <t>Laufzeit</t>
  </si>
  <si>
    <t>Investitionssumme</t>
  </si>
  <si>
    <t>Finanzbedarf</t>
  </si>
  <si>
    <t>Steigerung der DB's</t>
  </si>
  <si>
    <t>Arbeitszeiteffekte</t>
  </si>
  <si>
    <t>Verringerung der VK's</t>
  </si>
  <si>
    <t>Steigerung der Energieausbeute</t>
  </si>
  <si>
    <t>Produktionsverfahren</t>
  </si>
  <si>
    <t>Jahresarbeitszeit 
in Akh</t>
  </si>
  <si>
    <t>Kapitaldienstgrenze bei IST-Organisation</t>
  </si>
  <si>
    <t>Kapitaldienstgrenze bei PLAN-Variante</t>
  </si>
  <si>
    <t>Kapitaldienst bei PLAN-Variante</t>
  </si>
  <si>
    <t>Kapitalbedarf für die Investition</t>
  </si>
  <si>
    <t>Davon Fremdkapital</t>
  </si>
  <si>
    <t>Afa für geplante Investition</t>
  </si>
  <si>
    <t>Schuldzinsen für geplante Investition</t>
  </si>
  <si>
    <t>Landwirtschaftliches Einkommen ohne Förderungen</t>
  </si>
  <si>
    <t>Einfache Methode: Kreditlaufzeit und Nutzungsdauer sind identisch!</t>
  </si>
  <si>
    <t>(also wieviel kostet mich die Investition pro Jahr - Rückgewinnung des eingesetzten Kapitals und Zinsen)</t>
  </si>
  <si>
    <t>Annuitäten-
faktor</t>
  </si>
  <si>
    <t>Nd</t>
  </si>
  <si>
    <t>Annuität</t>
  </si>
  <si>
    <t>SUMME DER ANNUITÄTEN = KAPITALKOSTEN</t>
  </si>
  <si>
    <t>Berechnung der Leistung der Investition</t>
  </si>
  <si>
    <t>= LEISTUNG DER INVESTITION</t>
  </si>
  <si>
    <t>VERGLEICH</t>
  </si>
  <si>
    <t>LEISTUNG DER INVESTITION          -</t>
  </si>
  <si>
    <t>KOSTEN DER INVESTITION</t>
  </si>
  <si>
    <t>Gesamtdeckungsbeitrag</t>
  </si>
  <si>
    <t>Landwirtschaftliches Einkommen</t>
  </si>
  <si>
    <t>-</t>
  </si>
  <si>
    <t xml:space="preserve"> =</t>
  </si>
  <si>
    <t>Ist diese Investition nun wirtschaftlich?</t>
  </si>
  <si>
    <t>Ja</t>
  </si>
  <si>
    <t>Nein</t>
  </si>
  <si>
    <t>Kreuze bitte zutreffendes an! Tippe dazu einfach ein x ein!</t>
  </si>
  <si>
    <t>Ermittlung des Kapitaldienstes</t>
  </si>
  <si>
    <t>(also wie viel muss ich jährlich dem Kreditinstitut überweisen)</t>
  </si>
  <si>
    <t>Fremdkapitalart</t>
  </si>
  <si>
    <t>Summe Annuität = Kapitaldienst</t>
  </si>
  <si>
    <t>Ermittlung der jährlichen Schuldzinsen</t>
  </si>
  <si>
    <t>jährlicher Kapitaldienst</t>
  </si>
  <si>
    <t>davon Kapitaltilgung</t>
  </si>
  <si>
    <t>daher Schuldzinsen</t>
  </si>
  <si>
    <t>Summe</t>
  </si>
  <si>
    <t>Die durchschnittlichen Schuldzinsen betragen für das erforderliche Fremdkapital</t>
  </si>
  <si>
    <t>Deckungsbeitragsermittlung für Milchkühe</t>
  </si>
  <si>
    <t>Zu erhebende Ausgagnsdaten:</t>
  </si>
  <si>
    <t>Futterbedarfserhebung</t>
  </si>
  <si>
    <t>Gesamt/Tag</t>
  </si>
  <si>
    <t>Betrieb</t>
  </si>
  <si>
    <t>je/Kuh</t>
  </si>
  <si>
    <t>Gesamtenergiebedarf</t>
  </si>
  <si>
    <t>Gehaltswerte</t>
  </si>
  <si>
    <t>NST-Ergänzungsfutter</t>
  </si>
  <si>
    <t xml:space="preserve">Milchleistung </t>
  </si>
  <si>
    <t>Grundfutter-
leistung</t>
  </si>
  <si>
    <t xml:space="preserve">Leistung aus Ergänzungs-
futter </t>
  </si>
  <si>
    <t>kg Milch</t>
  </si>
  <si>
    <t>Gehaltswerte der Milch</t>
  </si>
  <si>
    <t>Milchverwertung</t>
  </si>
  <si>
    <t>Lieferung an Molkerei</t>
  </si>
  <si>
    <t>Kontrolle</t>
  </si>
  <si>
    <t>Produkterzeugung - Verarbeitungsmilch</t>
  </si>
  <si>
    <t>kg Milchä-quivalent</t>
  </si>
  <si>
    <t>am HOF</t>
  </si>
  <si>
    <t>Almprodukte</t>
  </si>
  <si>
    <t>Zeit in h/100
kg ver. Milch</t>
  </si>
  <si>
    <t>Verwertungs-
schlüssel</t>
  </si>
  <si>
    <t>Magermilch</t>
  </si>
  <si>
    <t>Futtermilch</t>
  </si>
  <si>
    <t>Vollmilch</t>
  </si>
  <si>
    <t>Rohertragsdaten</t>
  </si>
  <si>
    <t>VK eigene Bestadnesergänzung</t>
  </si>
  <si>
    <t>ROHERTRAG:</t>
  </si>
  <si>
    <t>Preis/Einheit</t>
  </si>
  <si>
    <t>Gesamt</t>
  </si>
  <si>
    <t>Summe Milcherlös</t>
  </si>
  <si>
    <t>Altkuherlös</t>
  </si>
  <si>
    <t>Kälbererlös</t>
  </si>
  <si>
    <t>SUMME ROHERTRAG</t>
  </si>
  <si>
    <t>VK Ermittlung</t>
  </si>
  <si>
    <t>VK</t>
  </si>
  <si>
    <t>Menge</t>
  </si>
  <si>
    <t>SUMME VK</t>
  </si>
  <si>
    <t>DBK  Kalkulation (vorläufiger DB)</t>
  </si>
  <si>
    <t>VK-Eigene Futtermittel</t>
  </si>
  <si>
    <t>Grundfutter:</t>
  </si>
  <si>
    <t>Rationsanteil</t>
  </si>
  <si>
    <t>VK je MJ NEL</t>
  </si>
  <si>
    <t>in %</t>
  </si>
  <si>
    <t>in MJ NEL</t>
  </si>
  <si>
    <t>Summe Grundfutterkosten</t>
  </si>
  <si>
    <t>DB mit Berücksichtigung der Futterkosten</t>
  </si>
  <si>
    <t>DB mit Berücksichtigung der Futterkosten und Förderungen</t>
  </si>
  <si>
    <t>Arbeitszeitermittlung (DB je Akh)</t>
  </si>
  <si>
    <t>Stallarbeitszeit</t>
  </si>
  <si>
    <t>Min/Tag</t>
  </si>
  <si>
    <t>Verarbeitungszeit</t>
  </si>
  <si>
    <t>Gesamtstunden an Arbeitszeit</t>
  </si>
  <si>
    <t>Deckungsbeitragsermittlung für Mutterkuhhaltung</t>
  </si>
  <si>
    <t>BETRIEBSDATEN</t>
  </si>
  <si>
    <t>Futterbedarf</t>
  </si>
  <si>
    <t>Leistungsdaten</t>
  </si>
  <si>
    <t>Variantenzu-/-abschläge</t>
  </si>
  <si>
    <t>MJ NEL/Tag</t>
  </si>
  <si>
    <t>Bedarf/Tag</t>
  </si>
  <si>
    <t>Bedarf je Mutterkuh</t>
  </si>
  <si>
    <t>Geschlechterverhältnis</t>
  </si>
  <si>
    <t>Jahresbedarf ink. Nachkommen</t>
  </si>
  <si>
    <t>Weiblich</t>
  </si>
  <si>
    <t>Männlich</t>
  </si>
  <si>
    <t>Wichtige Kenndaten der zu verkaufenden Nakommen</t>
  </si>
  <si>
    <t>Fleischpreise</t>
  </si>
  <si>
    <t>Metzgereivermarktung</t>
  </si>
  <si>
    <t>€/kg Lebendgewicht-Altkuh</t>
  </si>
  <si>
    <t>Ausschlachtung und Ernährungszustand</t>
  </si>
  <si>
    <t/>
  </si>
  <si>
    <t>Lebend-
gewicht</t>
  </si>
  <si>
    <t>Ernährungs-
zustand</t>
  </si>
  <si>
    <t>Ausschlacht-
ung in %</t>
  </si>
  <si>
    <t>Direktvermarktung</t>
  </si>
  <si>
    <t>€/kg Schlachtgewicht</t>
  </si>
  <si>
    <t>Variante</t>
  </si>
  <si>
    <t>Gewicht</t>
  </si>
  <si>
    <t>ø</t>
  </si>
  <si>
    <t>Kalbin</t>
  </si>
  <si>
    <t>Stier</t>
  </si>
  <si>
    <t>Preis</t>
  </si>
  <si>
    <t>Bestandsergänzung</t>
  </si>
  <si>
    <t>DB ohne Grundfutterkosten und Förderungen</t>
  </si>
  <si>
    <t>Variable Grundfutterkosten</t>
  </si>
  <si>
    <t>DB mit Grundfutterkosten</t>
  </si>
  <si>
    <t>DB inkl Förderungen für MUKUH</t>
  </si>
  <si>
    <t>Arbeitszeitbedarf</t>
  </si>
  <si>
    <t>DB/Stunde</t>
  </si>
  <si>
    <t>VK-Ermittlung: Wirtschaftsdüngerausbringung</t>
  </si>
  <si>
    <t>Ladeleistung</t>
  </si>
  <si>
    <t xml:space="preserve"> Min</t>
  </si>
  <si>
    <t>Leistung</t>
  </si>
  <si>
    <t>min.</t>
  </si>
  <si>
    <t>Akh</t>
  </si>
  <si>
    <t>€/h</t>
  </si>
  <si>
    <t>€ gesamt</t>
  </si>
  <si>
    <t>Laden</t>
  </si>
  <si>
    <t>Transport</t>
  </si>
  <si>
    <t>Ausbringung</t>
  </si>
  <si>
    <t>Summe variable Maschinenkosten inkl. MWSt</t>
  </si>
  <si>
    <t>Aufschlag für Rüstzeit</t>
  </si>
  <si>
    <t>Ausbringungsmenge/ha und Jahr</t>
  </si>
  <si>
    <t>Netto (ohne MWSt)</t>
  </si>
  <si>
    <t>Brutto</t>
  </si>
  <si>
    <t>Arbeitszeit/ha und Jahr</t>
  </si>
  <si>
    <t>Leistung/KW</t>
  </si>
  <si>
    <t>Min.</t>
  </si>
  <si>
    <t>Warnung!</t>
  </si>
  <si>
    <t>Fläche</t>
  </si>
  <si>
    <t xml:space="preserve"> ha</t>
  </si>
  <si>
    <t>Gesamtstickstoff pro Hektar und Jahr</t>
  </si>
  <si>
    <t xml:space="preserve"> kg Rein-N</t>
  </si>
  <si>
    <t>ARBEITSBEDARF UND VARIABLE MASCHINENKOSTEN</t>
  </si>
  <si>
    <t>Produktionsverfahren:</t>
  </si>
  <si>
    <t>Anzahl der Schnitte:</t>
  </si>
  <si>
    <t>Arbeitsgänge</t>
  </si>
  <si>
    <t>AKh</t>
  </si>
  <si>
    <t>Traktorstunden pro ha</t>
  </si>
  <si>
    <t>Mh</t>
  </si>
  <si>
    <t>Variable Maschinenkosten</t>
  </si>
  <si>
    <t>1 x pro Jahr   → 1 x</t>
  </si>
  <si>
    <t>pro ha</t>
  </si>
  <si>
    <t>€/Mh</t>
  </si>
  <si>
    <t>Trh</t>
  </si>
  <si>
    <t>€/Trh</t>
  </si>
  <si>
    <t>kg TM</t>
  </si>
  <si>
    <t>€/kg TM</t>
  </si>
  <si>
    <t>Zwischensumme IV</t>
  </si>
  <si>
    <t xml:space="preserve"> MWSt)</t>
  </si>
  <si>
    <t>Ermittlung des Rohertrages für 1 ha Feldfutter</t>
  </si>
  <si>
    <t>je kg</t>
  </si>
  <si>
    <t>je ha</t>
  </si>
  <si>
    <t>Bruttoertrag</t>
  </si>
  <si>
    <t xml:space="preserve"> Bruttoenergiegehalt in MJ NEL</t>
  </si>
  <si>
    <t>Verluste</t>
  </si>
  <si>
    <t xml:space="preserve"> Nettoertrag in MJ NEL</t>
  </si>
  <si>
    <t>Ermittlung der variablen Kosten für 1 ha Feldfutter</t>
  </si>
  <si>
    <t>VK Maschinen</t>
  </si>
  <si>
    <t>VK Aussaat/Übersaat</t>
  </si>
  <si>
    <t>Summe Aussaat/Übersaat</t>
  </si>
  <si>
    <t>VK Minaeraldüngung</t>
  </si>
  <si>
    <t>Summe Mineraldünger</t>
  </si>
  <si>
    <t>Sonstige variable Kosten</t>
  </si>
  <si>
    <t>Summe sonstige variable Kosten</t>
  </si>
  <si>
    <t>Ergebnisse</t>
  </si>
  <si>
    <t>Umgelegt auf …</t>
  </si>
  <si>
    <t>Summe variable Kosten</t>
  </si>
  <si>
    <t>AK-Stunden/ha</t>
  </si>
  <si>
    <t>Kosten je MJ NEL/Nettoertrag</t>
  </si>
  <si>
    <t>Maschinenkostenrechnung:</t>
  </si>
  <si>
    <t>Ausgangsdaten</t>
  </si>
  <si>
    <t>Anschaffungswert</t>
  </si>
  <si>
    <t>Anschaffungsjahr</t>
  </si>
  <si>
    <t>Nutzungsdauer</t>
  </si>
  <si>
    <t>Auslastung/Betriebsstunden</t>
  </si>
  <si>
    <t>Zeitwert 1.1.</t>
  </si>
  <si>
    <t>Eingabe</t>
  </si>
  <si>
    <t>Berechnung</t>
  </si>
  <si>
    <t>Kosten/Jahr</t>
  </si>
  <si>
    <t>Jährliche Afa (A)</t>
  </si>
  <si>
    <t>Fixkosten
pro Jahr</t>
  </si>
  <si>
    <t>Verzinsung (Z)</t>
  </si>
  <si>
    <t>Berechnung/Eingabe</t>
  </si>
  <si>
    <t>Energiekosten/h</t>
  </si>
  <si>
    <t>Variable Kosten pro Jahr</t>
  </si>
  <si>
    <t>Kosten/Stunde</t>
  </si>
  <si>
    <t>Fixkosten pro Betriebsstunde</t>
  </si>
  <si>
    <t>Variable Kosten pro Betriebsstunde</t>
  </si>
  <si>
    <t>Gesamtkosten pro Betriebsstunde</t>
  </si>
  <si>
    <t>Sorte:</t>
  </si>
  <si>
    <t>LEISTUNG</t>
  </si>
  <si>
    <t>in Litern</t>
  </si>
  <si>
    <t>in Gläsern</t>
  </si>
  <si>
    <t>KOSTEN</t>
  </si>
  <si>
    <t>Spezialkosten</t>
  </si>
  <si>
    <t>Preis/
Einheit</t>
  </si>
  <si>
    <t>Kosten 
pro Glas</t>
  </si>
  <si>
    <t>Rohstoffkosten</t>
  </si>
  <si>
    <t>Summe Rohstoffkosten</t>
  </si>
  <si>
    <t>Verarbeitungskosten</t>
  </si>
  <si>
    <t>Preis /</t>
  </si>
  <si>
    <t>Einheit</t>
  </si>
  <si>
    <t>pro Woche</t>
  </si>
  <si>
    <t>pro Stk.</t>
  </si>
  <si>
    <t>Summe Verarbeitungskosten</t>
  </si>
  <si>
    <t>Arbeitskosten</t>
  </si>
  <si>
    <t>Menge od. Preis /</t>
  </si>
  <si>
    <t>Summe Arbeitskosten</t>
  </si>
  <si>
    <t>Summe Fixkosten</t>
  </si>
  <si>
    <t>Herstellungskosten</t>
  </si>
  <si>
    <t>Gemein- und Vermarktungskosten</t>
  </si>
  <si>
    <t>Vollkosten</t>
  </si>
  <si>
    <t>Preisuntergrenze</t>
  </si>
  <si>
    <t>Fixkostenart</t>
  </si>
  <si>
    <t>€/Jahr</t>
  </si>
  <si>
    <t>Verzeichnis des Umlaufvermögens und der Finanzbestände</t>
  </si>
  <si>
    <t>Bestand am 01. 01.</t>
  </si>
  <si>
    <t>Bestand am 31. 12.</t>
  </si>
  <si>
    <t>Mehr- Minderwert</t>
  </si>
  <si>
    <t>V IEHBESTAND</t>
  </si>
  <si>
    <t>€/Stück</t>
  </si>
  <si>
    <t>Mehrwert</t>
  </si>
  <si>
    <t>Kreuze zutreffendes an! (ACHTUNG: Nur eine Antwort ist richtig!!)</t>
  </si>
  <si>
    <t>gleich geblieben</t>
  </si>
  <si>
    <t>Minderwert</t>
  </si>
  <si>
    <t>VORRÄTE</t>
  </si>
  <si>
    <t>Selbst erzeugte Vorräte</t>
  </si>
  <si>
    <t>Summe selbst erzeugte Vorräte</t>
  </si>
  <si>
    <t>Zugekaufte Vorräte</t>
  </si>
  <si>
    <t>Summe zugekaufte Vorräte</t>
  </si>
  <si>
    <t>FINANZBESTÄNDE</t>
  </si>
  <si>
    <t>ha; m²</t>
  </si>
  <si>
    <t>Ansch</t>
  </si>
  <si>
    <t>Anschaf-</t>
  </si>
  <si>
    <t>ND</t>
  </si>
  <si>
    <t>betr.</t>
  </si>
  <si>
    <t>Wert 01.01.</t>
  </si>
  <si>
    <t>jährliche</t>
  </si>
  <si>
    <t>Wert 31.12.</t>
  </si>
  <si>
    <t>m³</t>
  </si>
  <si>
    <t>Jahr</t>
  </si>
  <si>
    <t>fungswert</t>
  </si>
  <si>
    <t>Jahre</t>
  </si>
  <si>
    <t>Alter</t>
  </si>
  <si>
    <t>Afa</t>
  </si>
  <si>
    <t>Bewertung von Zweinutzungsgebäuden</t>
  </si>
  <si>
    <t>akt. Jahr =</t>
  </si>
  <si>
    <t>Stalleinbau =</t>
  </si>
  <si>
    <t>AJ =</t>
  </si>
  <si>
    <t>Länge =</t>
  </si>
  <si>
    <t>m</t>
  </si>
  <si>
    <t xml:space="preserve"> m</t>
  </si>
  <si>
    <t>ND =</t>
  </si>
  <si>
    <t xml:space="preserve"> Jahre</t>
  </si>
  <si>
    <t>Breite =</t>
  </si>
  <si>
    <t>Höhe =</t>
  </si>
  <si>
    <t>BK-Richtsatz =</t>
  </si>
  <si>
    <t>€</t>
  </si>
  <si>
    <t xml:space="preserve"> €</t>
  </si>
  <si>
    <t>Kubatur</t>
  </si>
  <si>
    <t>=</t>
  </si>
  <si>
    <t>Formel</t>
  </si>
  <si>
    <r>
      <t>≤</t>
    </r>
    <r>
      <rPr>
        <sz val="8"/>
        <rFont val="Arial"/>
        <family val="2"/>
      </rPr>
      <t xml:space="preserve"> 1/4 Nutzungsdauer</t>
    </r>
  </si>
  <si>
    <t>&gt; 1/4 und &lt;1/2 Nutzungsdauer</t>
  </si>
  <si>
    <t>≥ 1/2 Nutzungsdauer</t>
  </si>
  <si>
    <t>BK-Richtsatz</t>
  </si>
  <si>
    <t>…………..</t>
  </si>
  <si>
    <t>reduzierter BK-Richtsatz</t>
  </si>
  <si>
    <t>WW</t>
  </si>
  <si>
    <t xml:space="preserve"> m³</t>
  </si>
  <si>
    <t>jAfa</t>
  </si>
  <si>
    <t>bAfa</t>
  </si>
  <si>
    <t>Das Anlagegut ist bereits abgeschrieben:</t>
  </si>
  <si>
    <t>Größe</t>
  </si>
  <si>
    <t>Formelliste</t>
  </si>
  <si>
    <t>Operatorenliste</t>
  </si>
  <si>
    <t>AJ</t>
  </si>
  <si>
    <t>akt. Jahr</t>
  </si>
  <si>
    <t>bish. Afa</t>
  </si>
  <si>
    <t>:</t>
  </si>
  <si>
    <t>Breite</t>
  </si>
  <si>
    <t>Höhe</t>
  </si>
  <si>
    <t>jährl. Afa</t>
  </si>
  <si>
    <t>Länge</t>
  </si>
  <si>
    <t>red. BK-Richtsatz</t>
  </si>
  <si>
    <r>
      <t>∑</t>
    </r>
    <r>
      <rPr>
        <b/>
        <i/>
        <sz val="8"/>
        <rFont val="Arial"/>
        <family val="2"/>
      </rPr>
      <t xml:space="preserve"> Afa</t>
    </r>
  </si>
  <si>
    <r>
      <t>Berechnung der Kapitalkosten</t>
    </r>
    <r>
      <rPr>
        <sz val="8"/>
        <color indexed="9"/>
        <rFont val="Arial Black"/>
        <family val="2"/>
      </rPr>
      <t/>
    </r>
  </si>
  <si>
    <r>
      <t>Erhaltung</t>
    </r>
    <r>
      <rPr>
        <sz val="8"/>
        <rFont val="Arial"/>
        <family val="2"/>
      </rPr>
      <t>/Tag</t>
    </r>
  </si>
  <si>
    <r>
      <t>Leistung</t>
    </r>
    <r>
      <rPr>
        <sz val="8"/>
        <rFont val="Arial"/>
        <family val="2"/>
      </rPr>
      <t>/Tag</t>
    </r>
  </si>
  <si>
    <r>
      <t>Variable Traktorkosten</t>
    </r>
    <r>
      <rPr>
        <b/>
        <sz val="8"/>
        <color indexed="43"/>
        <rFont val="Arial"/>
        <family val="2"/>
      </rPr>
      <t xml:space="preserve">   → 1 x</t>
    </r>
  </si>
  <si>
    <r>
      <t xml:space="preserve">Variable Kosten der Trocknung  </t>
    </r>
    <r>
      <rPr>
        <b/>
        <sz val="8"/>
        <color indexed="43"/>
        <rFont val="Arial"/>
        <family val="2"/>
      </rPr>
      <t xml:space="preserve"> → 1 x</t>
    </r>
  </si>
  <si>
    <r>
      <t xml:space="preserve">Variable Kosten insgesamt </t>
    </r>
    <r>
      <rPr>
        <sz val="8"/>
        <rFont val="Arial"/>
        <family val="2"/>
      </rPr>
      <t>bei</t>
    </r>
  </si>
  <si>
    <r>
      <t xml:space="preserve">Variable Kosten insgesamt </t>
    </r>
    <r>
      <rPr>
        <sz val="8"/>
        <rFont val="Arial"/>
        <family val="2"/>
      </rPr>
      <t>(inkl.</t>
    </r>
  </si>
  <si>
    <r>
      <t xml:space="preserve">Alter </t>
    </r>
    <r>
      <rPr>
        <sz val="8"/>
        <rFont val="Arial"/>
        <family val="2"/>
      </rPr>
      <t>(bisherige Nutzungsdauer - bND)</t>
    </r>
  </si>
  <si>
    <r>
      <t xml:space="preserve">m    </t>
    </r>
    <r>
      <rPr>
        <sz val="6"/>
        <rFont val="Arial"/>
        <family val="2"/>
      </rPr>
      <t>(inkl. ½ Dachstuhlhöhe)</t>
    </r>
  </si>
  <si>
    <r>
      <t>ZW</t>
    </r>
    <r>
      <rPr>
        <b/>
        <vertAlign val="subscript"/>
        <sz val="8"/>
        <rFont val="Arial"/>
        <family val="2"/>
      </rPr>
      <t>1.1.</t>
    </r>
  </si>
  <si>
    <r>
      <t>ZW</t>
    </r>
    <r>
      <rPr>
        <b/>
        <vertAlign val="subscript"/>
        <sz val="8"/>
        <rFont val="Arial"/>
        <family val="2"/>
      </rPr>
      <t>31.12.</t>
    </r>
  </si>
  <si>
    <r>
      <t>Zeitwert</t>
    </r>
    <r>
      <rPr>
        <vertAlign val="subscript"/>
        <sz val="8"/>
        <rFont val="Arial"/>
        <family val="2"/>
      </rPr>
      <t>1.1.</t>
    </r>
  </si>
  <si>
    <r>
      <t>Zeitwert</t>
    </r>
    <r>
      <rPr>
        <vertAlign val="subscript"/>
        <sz val="8"/>
        <rFont val="Arial"/>
        <family val="2"/>
      </rPr>
      <t>31.12.</t>
    </r>
  </si>
  <si>
    <r>
      <t>ZW</t>
    </r>
    <r>
      <rPr>
        <vertAlign val="subscript"/>
        <sz val="10"/>
        <rFont val="Arial"/>
        <family val="2"/>
      </rPr>
      <t>1.1.</t>
    </r>
  </si>
  <si>
    <r>
      <t>ZW</t>
    </r>
    <r>
      <rPr>
        <vertAlign val="subscript"/>
        <sz val="10"/>
        <rFont val="Arial"/>
        <family val="2"/>
      </rPr>
      <t>31.12.</t>
    </r>
  </si>
  <si>
    <t>MJ NEL/Jahr</t>
  </si>
  <si>
    <t>U</t>
  </si>
  <si>
    <t>V</t>
  </si>
  <si>
    <t>Z</t>
  </si>
  <si>
    <t>E</t>
  </si>
  <si>
    <t>R</t>
  </si>
  <si>
    <t>│</t>
  </si>
  <si>
    <t xml:space="preserve"> Akh/ha</t>
  </si>
  <si>
    <r>
      <t>LANDWIRTSCHAFTLICHES EINKOMMEN</t>
    </r>
    <r>
      <rPr>
        <sz val="7"/>
        <rFont val="Arial"/>
        <family val="2"/>
      </rPr>
      <t xml:space="preserve"> - EK/Akh</t>
    </r>
  </si>
  <si>
    <r>
      <t xml:space="preserve">Begründung: </t>
    </r>
    <r>
      <rPr>
        <sz val="8"/>
        <color indexed="10"/>
        <rFont val="Arial"/>
        <family val="2"/>
      </rPr>
      <t>Kreuze zutreffendes an. ACHTUNG: Es ist nur eine Antwort richtig!!!</t>
    </r>
  </si>
  <si>
    <t>Kalkulation fertig?</t>
  </si>
  <si>
    <t>Punktezahl</t>
  </si>
  <si>
    <t>*)</t>
  </si>
  <si>
    <r>
      <t xml:space="preserve">Vollarbeitskräfte </t>
    </r>
    <r>
      <rPr>
        <b/>
        <i/>
        <sz val="7"/>
        <color indexed="17"/>
        <rFont val="Arial"/>
        <family val="2"/>
      </rPr>
      <t>(Aus dem Angabentext zu entnehmen!)</t>
    </r>
  </si>
  <si>
    <r>
      <t xml:space="preserve">Arbeitskraftstunden </t>
    </r>
    <r>
      <rPr>
        <b/>
        <i/>
        <sz val="7"/>
        <color indexed="17"/>
        <rFont val="Arial"/>
        <family val="2"/>
      </rPr>
      <t>(Eigene Berechnung)</t>
    </r>
  </si>
  <si>
    <t xml:space="preserve"> ich habe zu wenig Grundfutter</t>
  </si>
  <si>
    <t>Grundfutterbedarf in MJ NEL</t>
  </si>
  <si>
    <t>ACHTUNG: muss negatvi sein!</t>
  </si>
  <si>
    <t>Arbeitszeit je 10 M³ in Akh</t>
  </si>
  <si>
    <t>Bilanz 1.1.</t>
  </si>
  <si>
    <t>V-B</t>
  </si>
  <si>
    <t>V-W</t>
  </si>
  <si>
    <t>K-B</t>
  </si>
  <si>
    <t>K-W</t>
  </si>
  <si>
    <t>AV</t>
  </si>
  <si>
    <t>FK</t>
  </si>
  <si>
    <t>UV</t>
  </si>
  <si>
    <t>EK</t>
  </si>
  <si>
    <t>Summa Aktiv</t>
  </si>
  <si>
    <t>Summe Passiv</t>
  </si>
  <si>
    <t>Fragen zum Grundbuchsauszug</t>
  </si>
  <si>
    <t>Lage</t>
  </si>
  <si>
    <t>Welche Einlagezahl hat diese Liegenschaft und was bedeutet der Begriff Liegenschaft?</t>
  </si>
  <si>
    <t>EZ</t>
  </si>
  <si>
    <t>Trage die entsprechende Einlagezahl ein!</t>
  </si>
  <si>
    <t>Wann wurde die letzte Veränderung an diesem Grundbuchskörper (an dieser Liegenschaft) vorgenommen?</t>
  </si>
  <si>
    <t>Trage das Jahr ein! (z.B. 1978)</t>
  </si>
  <si>
    <t>Wo findest du die Angaben über die Grundstücke einer Liegenschaft?</t>
  </si>
  <si>
    <t>Wähle aus!</t>
  </si>
  <si>
    <t>und die Rechte, die mit dem Besitz der Liegenschaft verbunden sind?</t>
  </si>
  <si>
    <t>e.</t>
  </si>
  <si>
    <t>Wie viele Grundstücke gehören zu dieser Liegenschaft?</t>
  </si>
  <si>
    <t>Trage die richtige Zahl ein!</t>
  </si>
  <si>
    <t>f.</t>
  </si>
  <si>
    <t>Wie groß ist die Gesamtfläche in m² und in ha?</t>
  </si>
  <si>
    <t>g</t>
  </si>
  <si>
    <t>In welchem Teil des Grundbuches findest du Angaben über den/die Eigentümer der Liegenschaft?</t>
  </si>
  <si>
    <t>h.</t>
  </si>
  <si>
    <t>Wie vielen Eigentümern gehört die Liegenschaft, wie heißt die/der erste davon und wie groß ist ihr/sein Anteile?</t>
  </si>
  <si>
    <t>Eigentümer</t>
  </si>
  <si>
    <t>i.</t>
  </si>
  <si>
    <t>Wo sind etwaige Belastungen, die auf der Liegenschaft ruhen, zu finden?</t>
  </si>
  <si>
    <t>Rechte</t>
  </si>
  <si>
    <t>j.</t>
  </si>
  <si>
    <t>Gst</t>
  </si>
  <si>
    <t>Ist nur ein Grundstück betroffen, bleibt diese Zelle leer!</t>
  </si>
  <si>
    <t>Für welches Grundstück der Liegenschaft? (Nenne die entsprechende Grundstücksnummer!)</t>
  </si>
  <si>
    <t>Trifft dieser Punkt zu, schreibe die Gst-Nummer ein!</t>
  </si>
  <si>
    <t>Gesamte Liegenschaft</t>
  </si>
  <si>
    <t>k.</t>
  </si>
  <si>
    <t>Pflichten</t>
  </si>
  <si>
    <t>Begünstigte</t>
  </si>
  <si>
    <t>l.</t>
  </si>
  <si>
    <t>Ausnahme</t>
  </si>
  <si>
    <r>
      <t>ACHTUNG!</t>
    </r>
    <r>
      <rPr>
        <i/>
        <sz val="7"/>
        <color indexed="17"/>
        <rFont val="Arial"/>
        <family val="2"/>
      </rPr>
      <t xml:space="preserve"> Du musst unbedingt die fehlenden Werte aus den Kalkulationen übertragen, sonst werden die Antwortvorgaben ausgeblendet!</t>
    </r>
  </si>
  <si>
    <r>
      <t>Σ</t>
    </r>
    <r>
      <rPr>
        <b/>
        <sz val="9.6"/>
        <rFont val="Arial"/>
        <family val="2"/>
      </rPr>
      <t xml:space="preserve"> Akt</t>
    </r>
  </si>
  <si>
    <r>
      <t>Σ</t>
    </r>
    <r>
      <rPr>
        <b/>
        <sz val="9.6"/>
        <rFont val="Arial"/>
        <family val="2"/>
      </rPr>
      <t xml:space="preserve"> Pas</t>
    </r>
  </si>
  <si>
    <r>
      <t xml:space="preserve">Wo liegt diese Liegenschaft? </t>
    </r>
    <r>
      <rPr>
        <i/>
        <sz val="8"/>
        <color indexed="10"/>
        <rFont val="Arial"/>
        <family val="2"/>
      </rPr>
      <t>(Kreuze zutreffendes an!)</t>
    </r>
  </si>
  <si>
    <r>
      <t xml:space="preserve">Woran erkennst du das? </t>
    </r>
    <r>
      <rPr>
        <i/>
        <sz val="8"/>
        <color indexed="10"/>
        <rFont val="Arial"/>
        <family val="2"/>
      </rPr>
      <t>(Kreuze zutreffendes an!)</t>
    </r>
  </si>
  <si>
    <r>
      <t xml:space="preserve">oder </t>
    </r>
    <r>
      <rPr>
        <i/>
        <sz val="8"/>
        <color indexed="10"/>
        <rFont val="Arial"/>
        <family val="2"/>
      </rPr>
      <t>(Welchen Namen hat der ausgewählte Teil des Grundbuchsauszuges noch?)</t>
    </r>
  </si>
  <si>
    <r>
      <t xml:space="preserve">m² </t>
    </r>
    <r>
      <rPr>
        <i/>
        <sz val="8"/>
        <color indexed="10"/>
        <rFont val="Arial"/>
        <family val="2"/>
      </rPr>
      <t>(Trage den richtigen Wert ein!)</t>
    </r>
  </si>
  <si>
    <r>
      <t xml:space="preserve">ha </t>
    </r>
    <r>
      <rPr>
        <i/>
        <sz val="8"/>
        <color indexed="10"/>
        <rFont val="Arial"/>
        <family val="2"/>
      </rPr>
      <t>(Rechne jetzt in Hektar um!)</t>
    </r>
  </si>
  <si>
    <r>
      <t>Wie viele?</t>
    </r>
    <r>
      <rPr>
        <b/>
        <i/>
        <sz val="8"/>
        <color indexed="17"/>
        <rFont val="Arial"/>
        <family val="2"/>
      </rPr>
      <t xml:space="preserve"> </t>
    </r>
    <r>
      <rPr>
        <i/>
        <sz val="8"/>
        <color indexed="10"/>
        <rFont val="Arial"/>
        <family val="2"/>
      </rPr>
      <t>(Trage die richtige Anzahl ein!)</t>
    </r>
  </si>
  <si>
    <r>
      <t xml:space="preserve">Name: </t>
    </r>
    <r>
      <rPr>
        <i/>
        <sz val="8"/>
        <color indexed="10"/>
        <rFont val="Arial"/>
        <family val="2"/>
      </rPr>
      <t>(Wähle aus!)</t>
    </r>
  </si>
  <si>
    <r>
      <t xml:space="preserve">Anteil: </t>
    </r>
    <r>
      <rPr>
        <i/>
        <sz val="8"/>
        <color indexed="10"/>
        <rFont val="Arial"/>
        <family val="2"/>
      </rPr>
      <t>(Trage den betreffenden Anteil ein!)</t>
    </r>
  </si>
  <si>
    <r>
      <t xml:space="preserve">Recht 1: </t>
    </r>
    <r>
      <rPr>
        <i/>
        <sz val="8"/>
        <color indexed="10"/>
        <rFont val="Arial"/>
        <family val="2"/>
      </rPr>
      <t>(Wähle aus!)</t>
    </r>
  </si>
  <si>
    <r>
      <t xml:space="preserve">An welchem Grundstück? </t>
    </r>
    <r>
      <rPr>
        <i/>
        <sz val="8"/>
        <color indexed="10"/>
        <rFont val="Arial"/>
        <family val="2"/>
      </rPr>
      <t>(Trage die entsprechende(n) Grundstücksnummer(n) ein!)</t>
    </r>
  </si>
  <si>
    <r>
      <t xml:space="preserve">Recht 2: </t>
    </r>
    <r>
      <rPr>
        <i/>
        <sz val="8"/>
        <color indexed="10"/>
        <rFont val="Arial"/>
        <family val="2"/>
      </rPr>
      <t>(Wähle aus!)</t>
    </r>
  </si>
  <si>
    <r>
      <t xml:space="preserve">Für welches Grundstück der Liegenschaft? </t>
    </r>
    <r>
      <rPr>
        <i/>
        <sz val="8"/>
        <color indexed="10"/>
        <rFont val="Arial"/>
        <family val="2"/>
      </rPr>
      <t>(Wähle aus!)</t>
    </r>
  </si>
  <si>
    <r>
      <t xml:space="preserve">Pflicht 1: </t>
    </r>
    <r>
      <rPr>
        <i/>
        <sz val="8"/>
        <color indexed="10"/>
        <rFont val="Arial"/>
        <family val="2"/>
      </rPr>
      <t>(Wähle aus!)</t>
    </r>
  </si>
  <si>
    <r>
      <t xml:space="preserve">Wer hat den Vorteil aus der Verpflichtung? </t>
    </r>
    <r>
      <rPr>
        <i/>
        <sz val="8"/>
        <color indexed="10"/>
        <rFont val="Arial"/>
        <family val="2"/>
      </rPr>
      <t>(Wähle aus?)</t>
    </r>
  </si>
  <si>
    <r>
      <t xml:space="preserve">Pflicht 2: </t>
    </r>
    <r>
      <rPr>
        <i/>
        <sz val="8"/>
        <color indexed="10"/>
        <rFont val="Arial"/>
        <family val="2"/>
      </rPr>
      <t>(Wähle aus!)</t>
    </r>
  </si>
  <si>
    <r>
      <t xml:space="preserve">Pflicht 3: </t>
    </r>
    <r>
      <rPr>
        <i/>
        <sz val="8"/>
        <color indexed="10"/>
        <rFont val="Arial"/>
        <family val="2"/>
      </rPr>
      <t>(Wähle aus!)</t>
    </r>
  </si>
  <si>
    <r>
      <t xml:space="preserve">Pflicht 4: </t>
    </r>
    <r>
      <rPr>
        <i/>
        <sz val="8"/>
        <color indexed="10"/>
        <rFont val="Arial"/>
        <family val="2"/>
      </rPr>
      <t>(Wähle aus!)</t>
    </r>
  </si>
  <si>
    <r>
      <t xml:space="preserve">Nach welcher Rangordnung werden die Pflichten bedient? </t>
    </r>
    <r>
      <rPr>
        <i/>
        <sz val="8"/>
        <color indexed="10"/>
        <rFont val="Arial"/>
        <family val="2"/>
      </rPr>
      <t>(Kreuze zutreffendes an!)</t>
    </r>
  </si>
  <si>
    <r>
      <t xml:space="preserve">Ausnahme: </t>
    </r>
    <r>
      <rPr>
        <i/>
        <sz val="8"/>
        <color indexed="10"/>
        <rFont val="Arial"/>
        <family val="2"/>
      </rPr>
      <t>(Wähle aus!)</t>
    </r>
  </si>
  <si>
    <t>Schüler</t>
  </si>
  <si>
    <t>DB Milchkuhhaltung</t>
  </si>
  <si>
    <t>Welche Pflichten sind mit dem Grundstück verbunden? Nenne zumindest die ersten 4 Pflichten und die jeweiligen Berechtigen!</t>
  </si>
  <si>
    <t>Welche Rechte sind mit dem Eigentum der Liegenschaft verbunden? Nenne die beiden ersten Rechte und beschreibe sie!</t>
  </si>
  <si>
    <t>Arbeitszeit - gesamt</t>
  </si>
  <si>
    <t>Althaler Clemens</t>
  </si>
  <si>
    <t>Brenner Christian</t>
  </si>
  <si>
    <t>Doblander Daniel</t>
  </si>
  <si>
    <t>Eberhart Philipp</t>
  </si>
  <si>
    <t>Ennemoser Daniel</t>
  </si>
  <si>
    <t>Gager Andreas</t>
  </si>
  <si>
    <t>Grall Dominik</t>
  </si>
  <si>
    <t>Grill Mathias</t>
  </si>
  <si>
    <t>Grill Tobias</t>
  </si>
  <si>
    <t>Gröbner Martin</t>
  </si>
  <si>
    <t>Gruber Thomas</t>
  </si>
  <si>
    <t>Hammerle Ewald</t>
  </si>
  <si>
    <t>Haslwanter Gregor</t>
  </si>
  <si>
    <t>Hausegger Patrick</t>
  </si>
  <si>
    <t>Hueber Florian</t>
  </si>
  <si>
    <t>Ingrisch Giulio</t>
  </si>
  <si>
    <t>Jehle Fabian</t>
  </si>
  <si>
    <t>Kathrein Daniel</t>
  </si>
  <si>
    <t>Kluckner Stefan</t>
  </si>
  <si>
    <t>Knapp Markus</t>
  </si>
  <si>
    <t>Krug Christopher</t>
  </si>
  <si>
    <t>Ladner David</t>
  </si>
  <si>
    <t>Larcher Lukas</t>
  </si>
  <si>
    <t>Matt Mario</t>
  </si>
  <si>
    <t>Mößmer Florian</t>
  </si>
  <si>
    <t>Neuner Simon</t>
  </si>
  <si>
    <t>Neururer Peter</t>
  </si>
  <si>
    <t>Röck Christian</t>
  </si>
  <si>
    <t>Röck Michael</t>
  </si>
  <si>
    <t>Sailer Thomas</t>
  </si>
  <si>
    <t>Schmid Gebhard</t>
  </si>
  <si>
    <t>Schöpf Lukas</t>
  </si>
  <si>
    <t>Schuler Patrick</t>
  </si>
  <si>
    <t>Span Marco</t>
  </si>
  <si>
    <t>Spiß Christoph</t>
  </si>
  <si>
    <t>Sprenger Severin</t>
  </si>
  <si>
    <t>Stecher Ferdinand</t>
  </si>
  <si>
    <t>Streit-Maier Martin</t>
  </si>
  <si>
    <t>Triendl Josef</t>
  </si>
  <si>
    <t>Wegscheider Simon</t>
  </si>
  <si>
    <t>Wille Jonas</t>
  </si>
  <si>
    <t>Thema Wirtschaftlichkeit:</t>
  </si>
  <si>
    <t>Kosten der Investition unter Berücksichtigung der höheren Versicherungsleistung</t>
  </si>
  <si>
    <t>Wäre die Investition unter diesen Umständen wirtschaftlich?</t>
  </si>
  <si>
    <t>Thema Finanzierbarkeit</t>
  </si>
  <si>
    <t>Wäre die Investition unter diesen Umständen finanzierbar?</t>
  </si>
  <si>
    <t>Kapitaldienstgrenze unter Berücksichtigung der höheren Versicherungsleistung</t>
  </si>
  <si>
    <t>Tatsächlicher Kapitaldienst unter Berücksichtigung der höheren Versicherungsleistung</t>
  </si>
  <si>
    <t>KDGvsKD</t>
  </si>
  <si>
    <t>Der tatsächliche Kapitaldienst wäre dann größer als die Kapitaldienstgrenze!</t>
  </si>
  <si>
    <t>Der tatsächliche Kapitaldienst wäre dann kleiner als die Kapitaldienstgrenze!</t>
  </si>
  <si>
    <t>Der tatsächliche Kapitaldienst wäre dann gleich hoch wie die Kapitaldienstgrenze!</t>
  </si>
  <si>
    <t>DB I</t>
  </si>
  <si>
    <t>DB II</t>
  </si>
  <si>
    <t>DB III</t>
  </si>
  <si>
    <t>Euer Betrieb soll vergrößert werden. Das bedeutet in der Regel, auch eine höhere Arbeitsbelastung. Einige Rationalisierungsmaßnahmen werden zwar die Arbeitsbelastung pro Einheit verringern, insgesamt wird der Arbeitszeitbedarf jedoch größer werden. Kann euer Betrieb trotz dieser arbeitswirtschaftlichen Veränderung mit der künftig vorhandenen Arbeitskräfteausstattung bewirtschaftet werden?</t>
  </si>
  <si>
    <t>Leistung der Investition unter Berücksichtigung der höheren Versicherungsleistung</t>
  </si>
  <si>
    <t>Gerundet auf:</t>
  </si>
  <si>
    <t>Stellen</t>
  </si>
  <si>
    <t>L-Ergebnis</t>
  </si>
  <si>
    <t>S-Ergebnis</t>
  </si>
  <si>
    <t>VglLHK-GEK</t>
  </si>
  <si>
    <t xml:space="preserve"> MJ NEL</t>
  </si>
  <si>
    <t>X</t>
  </si>
  <si>
    <t>Beurteilung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</si>
</sst>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0">
    <numFmt numFmtId="164" formatCode="_-* #,##0.00\ _D_M_-;\-* #,##0.00\ _D_M_-;_-* &quot;-&quot;??\ _D_M_-;_-@_-"/>
    <numFmt numFmtId="165" formatCode="0.0"/>
    <numFmt numFmtId="166" formatCode="#,##0.0"/>
    <numFmt numFmtId="167" formatCode="#,###"/>
    <numFmt numFmtId="168" formatCode="_-* #,##0.00\ [$€-1]_-;\-* #,##0.00\ [$€-1]_-;_-* &quot;-&quot;??\ [$€-1]_-"/>
    <numFmt numFmtId="169" formatCode="#,##0.\-"/>
    <numFmt numFmtId="170" formatCode="&quot;€&quot;\ #,##0.00"/>
    <numFmt numFmtId="171" formatCode="#,##0.00\ &quot;€&quot;"/>
    <numFmt numFmtId="172" formatCode="#,##0.0?"/>
    <numFmt numFmtId="173" formatCode="0\ %\ &quot;Lieferantenrabatt&quot;"/>
    <numFmt numFmtId="174" formatCode="0\ %\ &quot;Lieferantenskonto&quot;"/>
    <numFmt numFmtId="175" formatCode="#,##0.\-\ &quot;€&quot;"/>
    <numFmt numFmtId="176" formatCode="&quot;Ergebnis in Prozent:&quot;\ 0\ %"/>
    <numFmt numFmtId="177" formatCode="0\ &quot;bis&quot;"/>
    <numFmt numFmtId="178" formatCode="&quot;oder&quot;\ 0\ &quot;Punkte&quot;"/>
    <numFmt numFmtId="179" formatCode="0&quot;%&quot;"/>
    <numFmt numFmtId="180" formatCode="&quot;Reparaturkosten/&quot;0&quot;h&quot;"/>
    <numFmt numFmtId="181" formatCode="0.0%"/>
    <numFmt numFmtId="182" formatCode="0\ &quot;Jahre&quot;"/>
    <numFmt numFmtId="183" formatCode="0\ &quot;h&quot;"/>
    <numFmt numFmtId="184" formatCode="0.0?\ %"/>
    <numFmt numFmtId="185" formatCode="#,##0\ &quot;h&quot;"/>
    <numFmt numFmtId="186" formatCode="#,##0.00\ &quot;€/100 h&quot;"/>
    <numFmt numFmtId="187" formatCode="#,##0&quot;kg&quot;"/>
    <numFmt numFmtId="188" formatCode="#,##0\k\g"/>
    <numFmt numFmtId="189" formatCode="#,##0\ &quot;g/Tag&quot;"/>
    <numFmt numFmtId="190" formatCode="#,##0\ &quot;NEL&quot;"/>
    <numFmt numFmtId="191" formatCode="&quot;€&quot;\ 0.00"/>
    <numFmt numFmtId="192" formatCode="#,##0.000"/>
    <numFmt numFmtId="193" formatCode="0.00\ &quot;Std&quot;"/>
    <numFmt numFmtId="194" formatCode="#,##0\ &quot;kg&quot;"/>
    <numFmt numFmtId="195" formatCode="#,##0.0\ &quot;NEL&quot;"/>
    <numFmt numFmtId="196" formatCode="#,##0.0\ &quot;g&quot;"/>
    <numFmt numFmtId="197" formatCode="0.00\ &quot;kg&quot;"/>
    <numFmt numFmtId="198" formatCode="0.00\ &quot;€/kg Milch&quot;"/>
    <numFmt numFmtId="199" formatCode="0.00\ &quot;€/kg&quot;"/>
    <numFmt numFmtId="200" formatCode="&quot;€&quot;\ #,##0.000"/>
    <numFmt numFmtId="201" formatCode="#,##0\ &quot;MJ NEL&quot;"/>
    <numFmt numFmtId="202" formatCode="#,##0\ %"/>
    <numFmt numFmtId="203" formatCode="[$€-2]\ #,##0.00"/>
    <numFmt numFmtId="204" formatCode="&quot;€&quot;\ #,##0.\-"/>
    <numFmt numFmtId="205" formatCode="&quot;öS&quot;\ #,##0.\-"/>
    <numFmt numFmtId="206" formatCode="0\ %"/>
    <numFmt numFmtId="207" formatCode="&quot;GESAMTE MASCHINENKOSTEN für&quot;\ 0\ &quot;dt&quot;"/>
    <numFmt numFmtId="208" formatCode="#,##0\ &quot;dt&quot;"/>
    <numFmt numFmtId="209" formatCode="#,##0.0#\ &quot;kg Stickstoff/t&quot;"/>
    <numFmt numFmtId="210" formatCode="#,##0.0#\ &quot;kg Rein-N&quot;"/>
    <numFmt numFmtId="211" formatCode="0.0\ &quot;m³&quot;"/>
    <numFmt numFmtId="212" formatCode="0.00\ &quot;kg Stickstoff/t&quot;"/>
    <numFmt numFmtId="213" formatCode="0\ &quot;m³&quot;"/>
    <numFmt numFmtId="214" formatCode="#,##0.0#"/>
    <numFmt numFmtId="215" formatCode="0\ &quot;KW&quot;"/>
    <numFmt numFmtId="216" formatCode="#,##0.000\ &quot;€&quot;"/>
    <numFmt numFmtId="217" formatCode="#,##0.0#\ &quot;kg&quot;"/>
    <numFmt numFmtId="218" formatCode="#,##0\ &quot;Schnitt(e)&quot;"/>
    <numFmt numFmtId="219" formatCode="#,##0\ &quot;kg TM&quot;"/>
    <numFmt numFmtId="220" formatCode="#,##0\ &quot;kg Heu&quot;"/>
    <numFmt numFmtId="221" formatCode="#,##0\ %\ &quot;Trockenmasse&quot;"/>
    <numFmt numFmtId="222" formatCode="#,##0.000\ &quot;€/kg&quot;"/>
    <numFmt numFmtId="223" formatCode="#,##0.0#\ %"/>
    <numFmt numFmtId="224" formatCode="0.000&quot;.&quot;000"/>
    <numFmt numFmtId="225" formatCode="\ \ \ \ \ #,##0.\-"/>
    <numFmt numFmtId="226" formatCode="0.0\ &quot;AKh&quot;"/>
    <numFmt numFmtId="227" formatCode="0.00\ &quot;L Alkohol&quot;"/>
    <numFmt numFmtId="228" formatCode="&quot;je&quot;\ 0\ &quot;kg Obst&quot;"/>
    <numFmt numFmtId="229" formatCode="0\ &quot;kg&quot;"/>
    <numFmt numFmtId="230" formatCode="#,##0\ &quot;Stk.&quot;"/>
    <numFmt numFmtId="231" formatCode="0\ &quot;Gläser&quot;"/>
    <numFmt numFmtId="232" formatCode="#,##0\ &quot;L&quot;"/>
    <numFmt numFmtId="233" formatCode="#,##0\ &quot;Kaffeelöffel&quot;"/>
    <numFmt numFmtId="234" formatCode="0\ &quot;KWh&quot;"/>
    <numFmt numFmtId="235" formatCode="0.00\ &quot;h&quot;"/>
    <numFmt numFmtId="236" formatCode="#,##0.00\ &quot;AKh&quot;"/>
    <numFmt numFmtId="237" formatCode="&quot;Vollkostenrechnung &quot;0"/>
    <numFmt numFmtId="238" formatCode="#,##0.00\ &quot;€/Woche&quot;"/>
    <numFmt numFmtId="239" formatCode="&quot;Pro Glas&quot;"/>
    <numFmt numFmtId="240" formatCode="#,##0.00\ &quot;€/Glas&quot;"/>
    <numFmt numFmtId="241" formatCode="##,##0.00\ &quot;€/Glas&quot;"/>
    <numFmt numFmtId="242" formatCode="0.00\ &quot;lt&quot;"/>
    <numFmt numFmtId="243" formatCode="0.0#\ &quot;lt&quot;"/>
    <numFmt numFmtId="244" formatCode="0.0#\ %"/>
    <numFmt numFmtId="245" formatCode="#,##0\ \k\g"/>
    <numFmt numFmtId="246" formatCode="0\ \k\g"/>
    <numFmt numFmtId="247" formatCode="0\ &quot;AKh&quot;"/>
    <numFmt numFmtId="248" formatCode="0.0?\ &quot;Stk.&quot;"/>
    <numFmt numFmtId="249" formatCode="&quot;Variante&quot;\ 0"/>
    <numFmt numFmtId="250" formatCode="\+\ 0\ %;\-\ 0\ %"/>
    <numFmt numFmtId="251" formatCode="0.0#\ %\ &quot;vom Rohertrag&quot;"/>
    <numFmt numFmtId="252" formatCode="#,##0\ &quot;kg GM&quot;"/>
    <numFmt numFmtId="253" formatCode="&quot;je&quot;\ #,##0.00\ &quot;lt&quot;"/>
  </numFmts>
  <fonts count="132" x14ac:knownFonts="1">
    <font>
      <sz val="10"/>
      <name val="Arial"/>
    </font>
    <font>
      <b/>
      <sz val="10"/>
      <name val="Arial"/>
      <family val="2"/>
    </font>
    <font>
      <sz val="12"/>
      <name val="Arial"/>
      <family val="2"/>
    </font>
    <font>
      <b/>
      <sz val="12"/>
      <name val="Arial"/>
      <family val="2"/>
    </font>
    <font>
      <sz val="8"/>
      <name val="Arial"/>
      <family val="2"/>
    </font>
    <font>
      <sz val="10"/>
      <name val="Arial"/>
      <family val="2"/>
    </font>
    <font>
      <b/>
      <sz val="10"/>
      <color indexed="16"/>
      <name val="Arial"/>
      <family val="2"/>
    </font>
    <font>
      <sz val="12"/>
      <color indexed="9"/>
      <name val="Arial Black"/>
      <family val="2"/>
    </font>
    <font>
      <sz val="10"/>
      <name val="Arial Black"/>
      <family val="2"/>
    </font>
    <font>
      <b/>
      <sz val="8"/>
      <color indexed="12"/>
      <name val="Arial"/>
      <family val="2"/>
    </font>
    <font>
      <b/>
      <sz val="8"/>
      <name val="Arial"/>
      <family val="2"/>
    </font>
    <font>
      <b/>
      <sz val="8"/>
      <color indexed="10"/>
      <name val="Arial"/>
      <family val="2"/>
    </font>
    <font>
      <sz val="8"/>
      <name val="Arial Black"/>
      <family val="2"/>
    </font>
    <font>
      <sz val="6"/>
      <color indexed="12"/>
      <name val="Arial"/>
      <family val="2"/>
    </font>
    <font>
      <sz val="10"/>
      <name val="Helv"/>
    </font>
    <font>
      <b/>
      <sz val="10"/>
      <name val="Helv"/>
    </font>
    <font>
      <b/>
      <sz val="12"/>
      <color indexed="10"/>
      <name val="Arial"/>
      <family val="2"/>
    </font>
    <font>
      <b/>
      <sz val="8"/>
      <color indexed="10"/>
      <name val="Arial"/>
      <family val="2"/>
    </font>
    <font>
      <sz val="14"/>
      <color indexed="9"/>
      <name val="Arial Black"/>
      <family val="2"/>
    </font>
    <font>
      <sz val="18"/>
      <name val="Arial"/>
      <family val="2"/>
    </font>
    <font>
      <b/>
      <sz val="8"/>
      <name val="Helv"/>
    </font>
    <font>
      <sz val="10"/>
      <color indexed="21"/>
      <name val="Helv"/>
    </font>
    <font>
      <b/>
      <sz val="10"/>
      <color indexed="18"/>
      <name val="Helv"/>
    </font>
    <font>
      <b/>
      <i/>
      <sz val="10"/>
      <color indexed="9"/>
      <name val="Helv"/>
    </font>
    <font>
      <sz val="10"/>
      <name val="Times New Roman"/>
      <family val="1"/>
    </font>
    <font>
      <sz val="9"/>
      <color indexed="9"/>
      <name val="Arial Black"/>
      <family val="2"/>
    </font>
    <font>
      <sz val="9"/>
      <name val="Arial"/>
      <family val="2"/>
    </font>
    <font>
      <sz val="10"/>
      <color indexed="12"/>
      <name val="Arial"/>
      <family val="2"/>
    </font>
    <font>
      <sz val="10"/>
      <name val="Arial"/>
      <family val="2"/>
    </font>
    <font>
      <sz val="12"/>
      <color indexed="10"/>
      <name val="Arial Black"/>
      <family val="2"/>
    </font>
    <font>
      <b/>
      <sz val="8"/>
      <name val="Arial"/>
      <family val="2"/>
    </font>
    <font>
      <b/>
      <sz val="10"/>
      <color indexed="17"/>
      <name val="Arial"/>
      <family val="2"/>
    </font>
    <font>
      <b/>
      <sz val="10"/>
      <name val="Arial"/>
      <family val="2"/>
    </font>
    <font>
      <b/>
      <sz val="9"/>
      <name val="Arial"/>
      <family val="2"/>
    </font>
    <font>
      <sz val="8"/>
      <name val="Arial"/>
      <family val="2"/>
    </font>
    <font>
      <sz val="10"/>
      <color indexed="12"/>
      <name val="Arial"/>
      <family val="2"/>
    </font>
    <font>
      <sz val="6"/>
      <name val="Arial"/>
      <family val="2"/>
    </font>
    <font>
      <u/>
      <sz val="8"/>
      <name val="Arial"/>
      <family val="2"/>
    </font>
    <font>
      <sz val="14"/>
      <name val="Arial Black"/>
      <family val="2"/>
    </font>
    <font>
      <b/>
      <sz val="18"/>
      <name val="Wingdings 2"/>
      <family val="1"/>
      <charset val="2"/>
    </font>
    <font>
      <sz val="8"/>
      <color indexed="9"/>
      <name val="Times New Roman"/>
      <family val="1"/>
    </font>
    <font>
      <sz val="9"/>
      <name val="Times New Roman"/>
      <family val="1"/>
    </font>
    <font>
      <b/>
      <sz val="8"/>
      <color indexed="9"/>
      <name val="Arial"/>
      <family val="2"/>
    </font>
    <font>
      <sz val="10"/>
      <color indexed="9"/>
      <name val="Arial Black"/>
      <family val="2"/>
    </font>
    <font>
      <sz val="8"/>
      <color indexed="10"/>
      <name val="Arial"/>
      <family val="2"/>
    </font>
    <font>
      <b/>
      <i/>
      <sz val="8"/>
      <color indexed="12"/>
      <name val="Arial"/>
      <family val="2"/>
    </font>
    <font>
      <b/>
      <sz val="8"/>
      <color indexed="16"/>
      <name val="Arial"/>
      <family val="2"/>
    </font>
    <font>
      <sz val="8"/>
      <color indexed="17"/>
      <name val="Arial"/>
      <family val="2"/>
    </font>
    <font>
      <i/>
      <sz val="8"/>
      <color indexed="16"/>
      <name val="Arial"/>
      <family val="2"/>
    </font>
    <font>
      <sz val="8"/>
      <color indexed="9"/>
      <name val="Arial"/>
      <family val="2"/>
    </font>
    <font>
      <i/>
      <sz val="8"/>
      <color indexed="12"/>
      <name val="Arial"/>
      <family val="2"/>
    </font>
    <font>
      <b/>
      <sz val="8"/>
      <color indexed="43"/>
      <name val="Arial"/>
      <family val="2"/>
    </font>
    <font>
      <b/>
      <i/>
      <sz val="8"/>
      <name val="Arial"/>
      <family val="2"/>
    </font>
    <font>
      <b/>
      <sz val="8"/>
      <color indexed="81"/>
      <name val="Tahoma"/>
      <family val="2"/>
    </font>
    <font>
      <sz val="8"/>
      <color indexed="81"/>
      <name val="Tahoma"/>
      <family val="2"/>
    </font>
    <font>
      <sz val="8"/>
      <color indexed="81"/>
      <name val="Wingdings"/>
      <charset val="2"/>
    </font>
    <font>
      <b/>
      <sz val="8"/>
      <color indexed="10"/>
      <name val="Tahoma"/>
      <family val="2"/>
    </font>
    <font>
      <sz val="8"/>
      <color indexed="9"/>
      <name val="Arial Black"/>
      <family val="2"/>
    </font>
    <font>
      <sz val="14"/>
      <color indexed="9"/>
      <name val="Arial"/>
      <family val="2"/>
    </font>
    <font>
      <b/>
      <sz val="6"/>
      <name val="Arial"/>
      <family val="2"/>
    </font>
    <font>
      <i/>
      <sz val="8"/>
      <name val="Arial"/>
      <family val="2"/>
    </font>
    <font>
      <sz val="6"/>
      <color indexed="43"/>
      <name val="Arial"/>
      <family val="2"/>
    </font>
    <font>
      <sz val="6"/>
      <color indexed="43"/>
      <name val="Wingdings"/>
      <charset val="2"/>
    </font>
    <font>
      <sz val="6"/>
      <name val="Wingdings"/>
      <charset val="2"/>
    </font>
    <font>
      <sz val="18"/>
      <color indexed="9"/>
      <name val="Arial"/>
      <family val="2"/>
    </font>
    <font>
      <sz val="10"/>
      <color indexed="9"/>
      <name val="Arial"/>
      <family val="2"/>
    </font>
    <font>
      <sz val="8"/>
      <color indexed="55"/>
      <name val="Arial"/>
      <family val="2"/>
    </font>
    <font>
      <sz val="6"/>
      <color indexed="54"/>
      <name val="Arial"/>
      <family val="2"/>
    </font>
    <font>
      <sz val="9"/>
      <name val="Arial"/>
      <family val="2"/>
    </font>
    <font>
      <sz val="8"/>
      <color indexed="12"/>
      <name val="Arial"/>
      <family val="2"/>
    </font>
    <font>
      <sz val="16"/>
      <color indexed="9"/>
      <name val="Arial Black"/>
      <family val="2"/>
    </font>
    <font>
      <b/>
      <i/>
      <sz val="10"/>
      <name val="Arial"/>
      <family val="2"/>
    </font>
    <font>
      <b/>
      <i/>
      <sz val="10"/>
      <color indexed="9"/>
      <name val="Arial"/>
      <family val="2"/>
    </font>
    <font>
      <sz val="8"/>
      <color indexed="22"/>
      <name val="Arial"/>
      <family val="2"/>
    </font>
    <font>
      <b/>
      <sz val="14"/>
      <color indexed="9"/>
      <name val="Arial Black"/>
      <family val="2"/>
    </font>
    <font>
      <sz val="6"/>
      <name val="Arial"/>
      <family val="2"/>
    </font>
    <font>
      <i/>
      <sz val="6"/>
      <name val="Arial"/>
      <family val="2"/>
    </font>
    <font>
      <b/>
      <sz val="10"/>
      <color indexed="9"/>
      <name val="Arial"/>
      <family val="2"/>
    </font>
    <font>
      <sz val="5"/>
      <name val="Arial"/>
      <family val="2"/>
    </font>
    <font>
      <sz val="8"/>
      <color indexed="81"/>
      <name val="Arial"/>
      <family val="2"/>
    </font>
    <font>
      <sz val="8"/>
      <color indexed="10"/>
      <name val="Tahoma"/>
      <family val="2"/>
    </font>
    <font>
      <sz val="7"/>
      <color indexed="81"/>
      <name val="Wingdings"/>
      <charset val="2"/>
    </font>
    <font>
      <sz val="7"/>
      <color indexed="81"/>
      <name val="Tahoma"/>
      <family val="2"/>
    </font>
    <font>
      <b/>
      <sz val="7"/>
      <color indexed="81"/>
      <name val="Tahoma"/>
      <family val="2"/>
    </font>
    <font>
      <b/>
      <sz val="7"/>
      <name val="Arial"/>
      <family val="2"/>
    </font>
    <font>
      <sz val="8"/>
      <color indexed="9"/>
      <name val="Arial"/>
      <family val="2"/>
    </font>
    <font>
      <i/>
      <u/>
      <sz val="8"/>
      <name val="Arial"/>
      <family val="2"/>
    </font>
    <font>
      <sz val="14"/>
      <color indexed="9"/>
      <name val="Arial"/>
      <family val="2"/>
    </font>
    <font>
      <sz val="6"/>
      <color indexed="48"/>
      <name val="Arial"/>
      <family val="2"/>
    </font>
    <font>
      <sz val="6"/>
      <color indexed="12"/>
      <name val="Arial"/>
      <family val="2"/>
    </font>
    <font>
      <b/>
      <sz val="8"/>
      <name val="Wingdings 3"/>
      <family val="1"/>
      <charset val="2"/>
    </font>
    <font>
      <b/>
      <sz val="6"/>
      <name val="Arial"/>
      <family val="2"/>
    </font>
    <font>
      <b/>
      <vertAlign val="subscript"/>
      <sz val="8"/>
      <name val="Arial"/>
      <family val="2"/>
    </font>
    <font>
      <vertAlign val="subscript"/>
      <sz val="8"/>
      <name val="Arial"/>
      <family val="2"/>
    </font>
    <font>
      <vertAlign val="subscript"/>
      <sz val="10"/>
      <name val="Arial"/>
      <family val="2"/>
    </font>
    <font>
      <sz val="10"/>
      <color indexed="9"/>
      <name val="Arial"/>
      <family val="2"/>
    </font>
    <font>
      <sz val="12"/>
      <color indexed="9"/>
      <name val="Arial"/>
      <family val="2"/>
    </font>
    <font>
      <sz val="10"/>
      <color indexed="50"/>
      <name val="Arial Black"/>
      <family val="2"/>
    </font>
    <font>
      <sz val="9"/>
      <color indexed="50"/>
      <name val="Arial Black"/>
      <family val="2"/>
    </font>
    <font>
      <sz val="7"/>
      <name val="Arial"/>
      <family val="2"/>
    </font>
    <font>
      <sz val="7"/>
      <color indexed="42"/>
      <name val="Arial"/>
      <family val="2"/>
    </font>
    <font>
      <b/>
      <sz val="7"/>
      <color indexed="43"/>
      <name val="Arial"/>
      <family val="2"/>
    </font>
    <font>
      <sz val="14"/>
      <color indexed="10"/>
      <name val="Arial Black"/>
      <family val="2"/>
    </font>
    <font>
      <b/>
      <sz val="8"/>
      <color indexed="9"/>
      <name val="Arial Black"/>
      <family val="2"/>
    </font>
    <font>
      <sz val="12"/>
      <color indexed="34"/>
      <name val="Arial Black"/>
      <family val="2"/>
    </font>
    <font>
      <b/>
      <sz val="10"/>
      <color indexed="43"/>
      <name val="Arial"/>
      <family val="2"/>
    </font>
    <font>
      <sz val="7"/>
      <color indexed="10"/>
      <name val="Arial"/>
      <family val="2"/>
    </font>
    <font>
      <b/>
      <i/>
      <sz val="7"/>
      <color indexed="17"/>
      <name val="Arial"/>
      <family val="2"/>
    </font>
    <font>
      <b/>
      <sz val="7"/>
      <color indexed="17"/>
      <name val="Arial"/>
      <family val="2"/>
    </font>
    <font>
      <b/>
      <sz val="8"/>
      <color indexed="17"/>
      <name val="Arial"/>
      <family val="2"/>
    </font>
    <font>
      <i/>
      <sz val="7"/>
      <color indexed="17"/>
      <name val="Arial"/>
      <family val="2"/>
    </font>
    <font>
      <i/>
      <u/>
      <sz val="7"/>
      <color indexed="17"/>
      <name val="Arial"/>
      <family val="2"/>
    </font>
    <font>
      <b/>
      <sz val="9.6"/>
      <name val="Arial"/>
      <family val="2"/>
    </font>
    <font>
      <i/>
      <sz val="8"/>
      <color indexed="10"/>
      <name val="Arial"/>
      <family val="2"/>
    </font>
    <font>
      <b/>
      <i/>
      <sz val="8"/>
      <color indexed="17"/>
      <name val="Arial"/>
      <family val="2"/>
    </font>
    <font>
      <i/>
      <sz val="8"/>
      <color indexed="17"/>
      <name val="Arial"/>
      <family val="2"/>
    </font>
    <font>
      <u/>
      <sz val="10"/>
      <name val="Arial"/>
      <family val="2"/>
    </font>
    <font>
      <sz val="16"/>
      <name val="Arial Black"/>
      <family val="2"/>
    </font>
    <font>
      <sz val="12"/>
      <name val="Arial Black"/>
      <family val="2"/>
    </font>
    <font>
      <sz val="24"/>
      <name val="Arial"/>
      <family val="2"/>
    </font>
    <font>
      <sz val="18"/>
      <name val="Arial"/>
      <family val="2"/>
    </font>
    <font>
      <sz val="6"/>
      <color indexed="9"/>
      <name val="Arial"/>
      <family val="2"/>
    </font>
    <font>
      <b/>
      <sz val="8"/>
      <name val="Arial Narrow"/>
      <family val="2"/>
    </font>
    <font>
      <b/>
      <sz val="16"/>
      <color indexed="9"/>
      <name val="Arial"/>
      <family val="2"/>
    </font>
    <font>
      <b/>
      <sz val="8"/>
      <color theme="0"/>
      <name val="Arial"/>
      <family val="2"/>
    </font>
    <font>
      <sz val="10"/>
      <color rgb="FF0000FF"/>
      <name val="Arial"/>
      <family val="2"/>
    </font>
    <font>
      <b/>
      <sz val="8"/>
      <color rgb="FFFF0000"/>
      <name val="Arial"/>
      <family val="2"/>
    </font>
    <font>
      <sz val="8"/>
      <color rgb="FF0000FF"/>
      <name val="Arial"/>
      <family val="2"/>
    </font>
    <font>
      <sz val="8"/>
      <color theme="0"/>
      <name val="Arial"/>
      <family val="2"/>
    </font>
    <font>
      <sz val="8"/>
      <color rgb="FFFF0000"/>
      <name val="Arial"/>
      <family val="2"/>
    </font>
    <font>
      <b/>
      <sz val="10"/>
      <color theme="0"/>
      <name val="Arial"/>
      <family val="2"/>
    </font>
    <font>
      <sz val="10"/>
      <color theme="0"/>
      <name val="Arial"/>
      <family val="2"/>
    </font>
  </fonts>
  <fills count="51">
    <fill>
      <patternFill patternType="none"/>
    </fill>
    <fill>
      <patternFill patternType="gray125"/>
    </fill>
    <fill>
      <patternFill patternType="solid">
        <fgColor indexed="22"/>
      </patternFill>
    </fill>
    <fill>
      <patternFill patternType="solid">
        <fgColor indexed="15"/>
      </patternFill>
    </fill>
    <fill>
      <patternFill patternType="solid">
        <fgColor indexed="13"/>
      </patternFill>
    </fill>
    <fill>
      <patternFill patternType="solid">
        <fgColor indexed="10"/>
      </patternFill>
    </fill>
    <fill>
      <patternFill patternType="solid">
        <fgColor indexed="42"/>
        <bgColor indexed="64"/>
      </patternFill>
    </fill>
    <fill>
      <patternFill patternType="mediumGray">
        <fgColor indexed="21"/>
      </patternFill>
    </fill>
    <fill>
      <patternFill patternType="darkGray">
        <fgColor indexed="22"/>
        <bgColor indexed="11"/>
      </patternFill>
    </fill>
    <fill>
      <patternFill patternType="mediumGray">
        <fgColor indexed="22"/>
        <bgColor indexed="21"/>
      </patternFill>
    </fill>
    <fill>
      <patternFill patternType="solid">
        <fgColor indexed="23"/>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mediumGray">
        <fgColor indexed="22"/>
        <bgColor indexed="10"/>
      </patternFill>
    </fill>
    <fill>
      <patternFill patternType="mediumGray">
        <fgColor indexed="13"/>
      </patternFill>
    </fill>
    <fill>
      <patternFill patternType="solid">
        <fgColor indexed="40"/>
        <bgColor indexed="64"/>
      </patternFill>
    </fill>
    <fill>
      <patternFill patternType="solid">
        <fgColor indexed="8"/>
        <bgColor indexed="64"/>
      </patternFill>
    </fill>
    <fill>
      <patternFill patternType="mediumGray">
        <fgColor indexed="21"/>
        <bgColor indexed="9"/>
      </patternFill>
    </fill>
    <fill>
      <patternFill patternType="mediumGray">
        <fgColor indexed="22"/>
      </patternFill>
    </fill>
    <fill>
      <patternFill patternType="solid">
        <fgColor indexed="23"/>
      </patternFill>
    </fill>
    <fill>
      <patternFill patternType="mediumGray">
        <fgColor indexed="9"/>
        <bgColor indexed="15"/>
      </patternFill>
    </fill>
    <fill>
      <patternFill patternType="lightGray">
        <fgColor indexed="13"/>
        <bgColor indexed="9"/>
      </patternFill>
    </fill>
    <fill>
      <patternFill patternType="lightGray">
        <fgColor indexed="11"/>
      </patternFill>
    </fill>
    <fill>
      <patternFill patternType="mediumGray">
        <fgColor indexed="13"/>
        <bgColor indexed="9"/>
      </patternFill>
    </fill>
    <fill>
      <patternFill patternType="mediumGray">
        <fgColor indexed="15"/>
      </patternFill>
    </fill>
    <fill>
      <patternFill patternType="mediumGray">
        <fgColor indexed="11"/>
        <bgColor indexed="9"/>
      </patternFill>
    </fill>
    <fill>
      <patternFill patternType="lightGray">
        <fgColor indexed="13"/>
      </patternFill>
    </fill>
    <fill>
      <patternFill patternType="solid">
        <fgColor indexed="18"/>
      </patternFill>
    </fill>
    <fill>
      <patternFill patternType="solid">
        <fgColor indexed="15"/>
        <bgColor indexed="64"/>
      </patternFill>
    </fill>
    <fill>
      <patternFill patternType="solid">
        <fgColor indexed="22"/>
        <bgColor indexed="64"/>
      </patternFill>
    </fill>
    <fill>
      <patternFill patternType="solid">
        <fgColor indexed="50"/>
        <bgColor indexed="64"/>
      </patternFill>
    </fill>
    <fill>
      <patternFill patternType="solid">
        <fgColor indexed="51"/>
        <bgColor indexed="64"/>
      </patternFill>
    </fill>
    <fill>
      <patternFill patternType="solid">
        <fgColor indexed="10"/>
        <bgColor indexed="64"/>
      </patternFill>
    </fill>
    <fill>
      <patternFill patternType="solid">
        <fgColor indexed="47"/>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12"/>
        <bgColor indexed="64"/>
      </patternFill>
    </fill>
    <fill>
      <patternFill patternType="solid">
        <fgColor indexed="45"/>
        <bgColor indexed="64"/>
      </patternFill>
    </fill>
    <fill>
      <patternFill patternType="solid">
        <fgColor indexed="17"/>
        <bgColor indexed="64"/>
      </patternFill>
    </fill>
    <fill>
      <patternFill patternType="solid">
        <fgColor indexed="14"/>
        <bgColor indexed="64"/>
      </patternFill>
    </fill>
    <fill>
      <patternFill patternType="solid">
        <fgColor rgb="FFEAEAEA"/>
        <bgColor indexed="64"/>
      </patternFill>
    </fill>
    <fill>
      <patternFill patternType="solid">
        <fgColor theme="1"/>
        <bgColor indexed="64"/>
      </patternFill>
    </fill>
    <fill>
      <patternFill patternType="solid">
        <fgColor theme="0" tint="-4.9989318521683403E-2"/>
        <bgColor indexed="64"/>
      </patternFill>
    </fill>
    <fill>
      <patternFill patternType="solid">
        <fgColor rgb="FF0000FF"/>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FFFF00"/>
        <bgColor indexed="64"/>
      </patternFill>
    </fill>
    <fill>
      <patternFill patternType="solid">
        <fgColor rgb="FFFFFFCC"/>
        <bgColor indexed="64"/>
      </patternFill>
    </fill>
    <fill>
      <patternFill patternType="solid">
        <fgColor rgb="FFFF0000"/>
        <bgColor indexed="64"/>
      </patternFill>
    </fill>
  </fills>
  <borders count="66">
    <border>
      <left/>
      <right/>
      <top/>
      <bottom/>
      <diagonal/>
    </border>
    <border>
      <left style="hair">
        <color indexed="10"/>
      </left>
      <right/>
      <top style="hair">
        <color indexed="10"/>
      </top>
      <bottom/>
      <diagonal/>
    </border>
    <border>
      <left/>
      <right/>
      <top style="hair">
        <color indexed="10"/>
      </top>
      <bottom/>
      <diagonal/>
    </border>
    <border>
      <left style="thin">
        <color indexed="23"/>
      </left>
      <right style="thin">
        <color indexed="22"/>
      </right>
      <top style="thin">
        <color indexed="23"/>
      </top>
      <bottom style="thin">
        <color indexed="22"/>
      </bottom>
      <diagonal/>
    </border>
    <border>
      <left/>
      <right/>
      <top/>
      <bottom style="thin">
        <color indexed="22"/>
      </bottom>
      <diagonal/>
    </border>
    <border>
      <left style="medium">
        <color indexed="64"/>
      </left>
      <right/>
      <top style="thin">
        <color indexed="64"/>
      </top>
      <bottom/>
      <diagonal/>
    </border>
    <border>
      <left style="medium">
        <color indexed="64"/>
      </left>
      <right style="medium">
        <color indexed="64"/>
      </right>
      <top/>
      <bottom/>
      <diagonal/>
    </border>
    <border>
      <left style="thin">
        <color indexed="23"/>
      </left>
      <right/>
      <top style="thin">
        <color indexed="23"/>
      </top>
      <bottom style="thin">
        <color indexed="22"/>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hair">
        <color indexed="64"/>
      </bottom>
      <diagonal/>
    </border>
    <border>
      <left/>
      <right/>
      <top style="thin">
        <color indexed="64"/>
      </top>
      <bottom/>
      <diagonal/>
    </border>
    <border>
      <left/>
      <right/>
      <top/>
      <bottom style="double">
        <color indexed="64"/>
      </bottom>
      <diagonal/>
    </border>
    <border>
      <left/>
      <right style="thin">
        <color indexed="64"/>
      </right>
      <top/>
      <bottom style="double">
        <color indexed="64"/>
      </bottom>
      <diagonal/>
    </border>
    <border>
      <left style="hair">
        <color indexed="64"/>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9"/>
      </left>
      <right/>
      <top/>
      <bottom/>
      <diagonal/>
    </border>
    <border>
      <left style="hair">
        <color indexed="9"/>
      </left>
      <right style="hair">
        <color indexed="9"/>
      </right>
      <top style="hair">
        <color indexed="9"/>
      </top>
      <bottom style="hair">
        <color indexed="9"/>
      </bottom>
      <diagonal/>
    </border>
    <border>
      <left style="hair">
        <color indexed="9"/>
      </left>
      <right style="hair">
        <color indexed="9"/>
      </right>
      <top/>
      <bottom style="hair">
        <color indexed="9"/>
      </bottom>
      <diagonal/>
    </border>
    <border>
      <left style="hair">
        <color indexed="64"/>
      </left>
      <right/>
      <top style="hair">
        <color indexed="64"/>
      </top>
      <bottom/>
      <diagonal/>
    </border>
    <border>
      <left style="thin">
        <color indexed="64"/>
      </left>
      <right/>
      <top style="thin">
        <color indexed="64"/>
      </top>
      <bottom style="thin">
        <color indexed="64"/>
      </bottom>
      <diagonal/>
    </border>
    <border>
      <left/>
      <right style="hair">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hair">
        <color indexed="64"/>
      </left>
      <right/>
      <top/>
      <bottom style="hair">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ck">
        <color indexed="12"/>
      </left>
      <right/>
      <top style="thick">
        <color indexed="12"/>
      </top>
      <bottom style="thick">
        <color indexed="12"/>
      </bottom>
      <diagonal/>
    </border>
    <border>
      <left/>
      <right/>
      <top style="thick">
        <color indexed="12"/>
      </top>
      <bottom style="thick">
        <color indexed="12"/>
      </bottom>
      <diagonal/>
    </border>
    <border>
      <left style="thick">
        <color indexed="12"/>
      </left>
      <right style="thick">
        <color indexed="12"/>
      </right>
      <top style="thick">
        <color indexed="12"/>
      </top>
      <bottom style="thick">
        <color indexed="12"/>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style="medium">
        <color indexed="64"/>
      </top>
      <bottom/>
      <diagonal/>
    </border>
    <border>
      <left style="hair">
        <color indexed="64"/>
      </left>
      <right style="hair">
        <color indexed="64"/>
      </right>
      <top/>
      <bottom style="medium">
        <color indexed="64"/>
      </bottom>
      <diagonal/>
    </border>
    <border>
      <left/>
      <right style="medium">
        <color indexed="64"/>
      </right>
      <top style="medium">
        <color indexed="64"/>
      </top>
      <bottom style="medium">
        <color indexed="64"/>
      </bottom>
      <diagonal/>
    </border>
    <border>
      <left/>
      <right/>
      <top style="hair">
        <color indexed="64"/>
      </top>
      <bottom/>
      <diagonal/>
    </border>
    <border>
      <left style="hair">
        <color indexed="9"/>
      </left>
      <right style="hair">
        <color indexed="9"/>
      </right>
      <top style="hair">
        <color indexed="9"/>
      </top>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s>
  <cellStyleXfs count="72">
    <xf numFmtId="0" fontId="0" fillId="0" borderId="0"/>
    <xf numFmtId="0" fontId="119" fillId="0" borderId="0">
      <alignment horizontal="justify" wrapText="1"/>
    </xf>
    <xf numFmtId="0" fontId="120" fillId="0" borderId="0">
      <alignment horizontal="justify" wrapText="1"/>
    </xf>
    <xf numFmtId="171" fontId="2" fillId="0" borderId="0"/>
    <xf numFmtId="171" fontId="2" fillId="0" borderId="0"/>
    <xf numFmtId="171" fontId="3" fillId="6" borderId="0"/>
    <xf numFmtId="0" fontId="4" fillId="7" borderId="0" applyNumberFormat="0" applyFont="0">
      <alignment horizontal="centerContinuous"/>
    </xf>
    <xf numFmtId="0" fontId="4" fillId="7" borderId="0" applyNumberFormat="0" applyFont="0">
      <alignment horizontal="centerContinuous"/>
    </xf>
    <xf numFmtId="0" fontId="4" fillId="7" borderId="0" applyNumberFormat="0" applyFont="0">
      <alignment horizontal="centerContinuous"/>
    </xf>
    <xf numFmtId="0" fontId="5" fillId="8" borderId="1" applyBorder="0"/>
    <xf numFmtId="40" fontId="6" fillId="9" borderId="2" applyNumberFormat="0" applyBorder="0"/>
    <xf numFmtId="0" fontId="7" fillId="10" borderId="0">
      <alignment vertical="center" wrapText="1"/>
      <protection hidden="1"/>
    </xf>
    <xf numFmtId="0" fontId="8" fillId="11" borderId="0"/>
    <xf numFmtId="0" fontId="9" fillId="0" borderId="0" applyFont="0" applyAlignment="0">
      <alignment vertical="center"/>
      <protection hidden="1"/>
    </xf>
    <xf numFmtId="0" fontId="10" fillId="0" borderId="0">
      <alignment horizontal="left" vertical="center" indent="1"/>
      <protection hidden="1"/>
    </xf>
    <xf numFmtId="171" fontId="11" fillId="12" borderId="3">
      <alignment horizontal="left" vertical="center" wrapText="1"/>
      <protection locked="0"/>
    </xf>
    <xf numFmtId="0" fontId="5" fillId="13" borderId="0">
      <alignment horizontal="justify" vertical="center" wrapText="1"/>
      <protection hidden="1"/>
    </xf>
    <xf numFmtId="0" fontId="12" fillId="13" borderId="4">
      <alignment horizontal="left" wrapText="1"/>
      <protection hidden="1"/>
    </xf>
    <xf numFmtId="0" fontId="13" fillId="13" borderId="0">
      <alignment horizontal="left" vertical="top"/>
      <protection hidden="1"/>
    </xf>
    <xf numFmtId="0" fontId="14" fillId="4" borderId="0" applyNumberFormat="0" applyFont="0" applyBorder="0" applyAlignment="0" applyProtection="0"/>
    <xf numFmtId="0" fontId="15" fillId="14" borderId="5" applyNumberFormat="0" applyBorder="0"/>
    <xf numFmtId="0" fontId="14" fillId="15" borderId="6"/>
    <xf numFmtId="0" fontId="11" fillId="12" borderId="3">
      <alignment horizontal="left" vertical="center" wrapText="1"/>
      <protection locked="0"/>
    </xf>
    <xf numFmtId="182" fontId="11" fillId="12" borderId="3">
      <alignment horizontal="left" vertical="center" wrapText="1"/>
      <protection locked="0"/>
    </xf>
    <xf numFmtId="184" fontId="4" fillId="16" borderId="3">
      <alignment horizontal="left" vertical="center" wrapText="1"/>
      <protection hidden="1"/>
    </xf>
    <xf numFmtId="184" fontId="11" fillId="12" borderId="3">
      <alignment horizontal="left" vertical="center" wrapText="1"/>
      <protection locked="0"/>
    </xf>
    <xf numFmtId="185" fontId="11" fillId="12" borderId="3">
      <alignment horizontal="left" vertical="center" wrapText="1"/>
      <protection locked="0"/>
    </xf>
    <xf numFmtId="0" fontId="16" fillId="12" borderId="7" applyBorder="0">
      <alignment horizontal="left" vertical="center"/>
      <protection locked="0"/>
    </xf>
    <xf numFmtId="0" fontId="16" fillId="12" borderId="7">
      <alignment horizontal="left" vertical="center"/>
      <protection locked="0"/>
    </xf>
    <xf numFmtId="0" fontId="16" fillId="12" borderId="7">
      <alignment horizontal="left" vertical="center"/>
      <protection locked="0"/>
    </xf>
    <xf numFmtId="0" fontId="17" fillId="12" borderId="3">
      <alignment horizontal="left" vertical="center" wrapText="1"/>
      <protection hidden="1"/>
    </xf>
    <xf numFmtId="0" fontId="12" fillId="13" borderId="4" applyBorder="0" applyAlignment="0">
      <alignment horizontal="left" wrapText="1"/>
      <protection hidden="1"/>
    </xf>
    <xf numFmtId="0" fontId="17" fillId="12" borderId="3">
      <alignment horizontal="left" vertical="center" wrapText="1"/>
      <protection hidden="1"/>
    </xf>
    <xf numFmtId="0" fontId="4" fillId="13" borderId="0">
      <alignment horizontal="left" vertical="center" wrapText="1"/>
      <protection hidden="1"/>
    </xf>
    <xf numFmtId="0" fontId="10" fillId="13" borderId="0">
      <alignment horizontal="left" vertical="center" wrapText="1"/>
      <protection hidden="1"/>
    </xf>
    <xf numFmtId="0" fontId="18" fillId="17" borderId="0">
      <alignment horizontal="centerContinuous" vertical="center"/>
      <protection hidden="1"/>
    </xf>
    <xf numFmtId="0" fontId="2" fillId="0" borderId="0">
      <protection hidden="1"/>
    </xf>
    <xf numFmtId="40" fontId="19" fillId="18" borderId="0" applyNumberFormat="0" applyFont="0">
      <alignment horizontal="centerContinuous" vertical="center"/>
    </xf>
    <xf numFmtId="168" fontId="5" fillId="0" borderId="0" applyFont="0" applyFill="0" applyBorder="0" applyAlignment="0" applyProtection="0"/>
    <xf numFmtId="0" fontId="3" fillId="6" borderId="0"/>
    <xf numFmtId="173" fontId="2" fillId="0" borderId="0">
      <alignment horizontal="left"/>
    </xf>
    <xf numFmtId="174" fontId="2" fillId="0" borderId="0">
      <alignment horizontal="left"/>
    </xf>
    <xf numFmtId="0" fontId="2" fillId="0" borderId="0"/>
    <xf numFmtId="0" fontId="5" fillId="19" borderId="0"/>
    <xf numFmtId="0" fontId="5" fillId="8" borderId="0"/>
    <xf numFmtId="164" fontId="5" fillId="0" borderId="0" applyFont="0" applyFill="0" applyBorder="0" applyAlignment="0" applyProtection="0"/>
    <xf numFmtId="0" fontId="14" fillId="20" borderId="0"/>
    <xf numFmtId="0" fontId="14" fillId="21" borderId="8"/>
    <xf numFmtId="0" fontId="14" fillId="22" borderId="8"/>
    <xf numFmtId="0" fontId="14" fillId="23" borderId="0"/>
    <xf numFmtId="0" fontId="15" fillId="24" borderId="9"/>
    <xf numFmtId="0" fontId="20" fillId="25" borderId="8"/>
    <xf numFmtId="0" fontId="14" fillId="26" borderId="10"/>
    <xf numFmtId="0" fontId="14" fillId="3" borderId="0" applyNumberFormat="0" applyFont="0" applyBorder="0"/>
    <xf numFmtId="0" fontId="21" fillId="19" borderId="0"/>
    <xf numFmtId="0" fontId="22" fillId="2" borderId="0"/>
    <xf numFmtId="9" fontId="5" fillId="0" borderId="0" applyFont="0" applyFill="0" applyBorder="0" applyAlignment="0" applyProtection="0"/>
    <xf numFmtId="0" fontId="14" fillId="5" borderId="0"/>
    <xf numFmtId="0" fontId="14" fillId="27" borderId="0" applyNumberFormat="0" applyFont="0" applyBorder="0" applyAlignment="0" applyProtection="0"/>
    <xf numFmtId="0" fontId="14" fillId="27" borderId="0"/>
    <xf numFmtId="0" fontId="14" fillId="4" borderId="0"/>
    <xf numFmtId="0" fontId="5" fillId="0" borderId="0"/>
    <xf numFmtId="0" fontId="2" fillId="0" borderId="0"/>
    <xf numFmtId="0" fontId="5" fillId="0" borderId="0"/>
    <xf numFmtId="0" fontId="2" fillId="0" borderId="0"/>
    <xf numFmtId="0" fontId="14" fillId="7" borderId="0" applyNumberFormat="0" applyFont="0" applyBorder="0" applyAlignment="0" applyProtection="0"/>
    <xf numFmtId="0" fontId="23" fillId="28" borderId="11"/>
    <xf numFmtId="0" fontId="117" fillId="0" borderId="0">
      <alignment horizontal="justify" wrapText="1"/>
    </xf>
    <xf numFmtId="0" fontId="38" fillId="0" borderId="0">
      <alignment horizontal="justify" wrapText="1"/>
    </xf>
    <xf numFmtId="0" fontId="118" fillId="0" borderId="0">
      <alignment horizontal="justify" wrapText="1"/>
    </xf>
    <xf numFmtId="0" fontId="14" fillId="4" borderId="0"/>
    <xf numFmtId="40" fontId="6" fillId="9" borderId="0" applyBorder="0"/>
  </cellStyleXfs>
  <cellXfs count="1207">
    <xf numFmtId="0" fontId="0" fillId="0" borderId="0" xfId="0"/>
    <xf numFmtId="0" fontId="0" fillId="0" borderId="0" xfId="0" applyProtection="1">
      <protection hidden="1"/>
    </xf>
    <xf numFmtId="0" fontId="0" fillId="0" borderId="12" xfId="0" applyBorder="1" applyProtection="1">
      <protection hidden="1"/>
    </xf>
    <xf numFmtId="0" fontId="4" fillId="0" borderId="0" xfId="0" applyFont="1" applyProtection="1">
      <protection hidden="1"/>
    </xf>
    <xf numFmtId="0" fontId="4" fillId="0" borderId="0" xfId="0" applyFont="1" applyFill="1" applyProtection="1">
      <protection hidden="1"/>
    </xf>
    <xf numFmtId="0" fontId="26" fillId="0" borderId="0" xfId="0" applyFont="1" applyFill="1" applyProtection="1">
      <protection hidden="1"/>
    </xf>
    <xf numFmtId="0" fontId="0" fillId="0" borderId="0" xfId="0" applyFill="1" applyProtection="1">
      <protection hidden="1"/>
    </xf>
    <xf numFmtId="0" fontId="27" fillId="0" borderId="0" xfId="0" applyFont="1" applyFill="1" applyProtection="1">
      <protection hidden="1"/>
    </xf>
    <xf numFmtId="0" fontId="28" fillId="0" borderId="0" xfId="0" applyFont="1" applyFill="1" applyAlignment="1" applyProtection="1">
      <alignment horizontal="center"/>
      <protection hidden="1"/>
    </xf>
    <xf numFmtId="0" fontId="0" fillId="29" borderId="12" xfId="0" applyFill="1" applyBorder="1" applyProtection="1">
      <protection hidden="1"/>
    </xf>
    <xf numFmtId="0" fontId="29" fillId="13" borderId="0" xfId="0" applyFont="1" applyFill="1" applyAlignment="1" applyProtection="1">
      <alignment vertical="center"/>
      <protection hidden="1"/>
    </xf>
    <xf numFmtId="0" fontId="2" fillId="13" borderId="0" xfId="0" applyFont="1" applyFill="1" applyAlignment="1" applyProtection="1">
      <alignment vertical="center"/>
      <protection hidden="1"/>
    </xf>
    <xf numFmtId="0" fontId="0" fillId="13" borderId="0" xfId="0" applyFill="1" applyAlignment="1" applyProtection="1">
      <alignment vertical="center"/>
      <protection hidden="1"/>
    </xf>
    <xf numFmtId="0" fontId="30" fillId="13" borderId="0" xfId="0" applyFont="1" applyFill="1" applyAlignment="1" applyProtection="1">
      <alignment horizontal="center" vertical="center"/>
      <protection hidden="1"/>
    </xf>
    <xf numFmtId="0" fontId="30" fillId="13" borderId="0" xfId="0" applyFont="1" applyFill="1" applyAlignment="1" applyProtection="1">
      <alignment horizontal="center" vertical="center" wrapText="1"/>
      <protection hidden="1"/>
    </xf>
    <xf numFmtId="0" fontId="11" fillId="13" borderId="0" xfId="0" quotePrefix="1" applyFont="1" applyFill="1" applyAlignment="1" applyProtection="1">
      <alignment horizontal="center" vertical="center"/>
      <protection hidden="1"/>
    </xf>
    <xf numFmtId="0" fontId="9" fillId="13" borderId="0" xfId="0" applyFont="1" applyFill="1" applyAlignment="1" applyProtection="1">
      <alignment horizontal="centerContinuous" vertical="center"/>
      <protection hidden="1"/>
    </xf>
    <xf numFmtId="0" fontId="32" fillId="0" borderId="0" xfId="0" applyFont="1" applyProtection="1">
      <protection hidden="1"/>
    </xf>
    <xf numFmtId="0" fontId="28" fillId="0" borderId="0" xfId="0" applyFont="1" applyProtection="1">
      <protection hidden="1"/>
    </xf>
    <xf numFmtId="0" fontId="4" fillId="16" borderId="0" xfId="0" applyFont="1" applyFill="1" applyProtection="1">
      <protection hidden="1"/>
    </xf>
    <xf numFmtId="0" fontId="33" fillId="0" borderId="0" xfId="0" applyFont="1" applyProtection="1">
      <protection hidden="1"/>
    </xf>
    <xf numFmtId="0" fontId="27" fillId="30" borderId="0" xfId="0" applyFont="1" applyFill="1" applyProtection="1">
      <protection hidden="1"/>
    </xf>
    <xf numFmtId="0" fontId="0" fillId="30" borderId="0" xfId="0" applyFill="1" applyProtection="1">
      <protection hidden="1"/>
    </xf>
    <xf numFmtId="0" fontId="28" fillId="30" borderId="0" xfId="0" applyFont="1" applyFill="1" applyAlignment="1" applyProtection="1">
      <alignment horizontal="center"/>
      <protection hidden="1"/>
    </xf>
    <xf numFmtId="0" fontId="0" fillId="30" borderId="0" xfId="0" applyFill="1" applyAlignment="1" applyProtection="1">
      <alignment horizontal="center"/>
      <protection hidden="1"/>
    </xf>
    <xf numFmtId="3" fontId="34" fillId="0" borderId="0" xfId="0" applyNumberFormat="1" applyFont="1" applyProtection="1">
      <protection hidden="1"/>
    </xf>
    <xf numFmtId="4" fontId="4" fillId="16" borderId="12" xfId="0" applyNumberFormat="1" applyFont="1" applyFill="1" applyBorder="1" applyProtection="1">
      <protection hidden="1"/>
    </xf>
    <xf numFmtId="4" fontId="4" fillId="0" borderId="0" xfId="0" applyNumberFormat="1" applyFont="1" applyFill="1" applyBorder="1" applyProtection="1">
      <protection hidden="1"/>
    </xf>
    <xf numFmtId="4" fontId="33" fillId="0" borderId="12" xfId="0" applyNumberFormat="1" applyFont="1" applyBorder="1" applyProtection="1">
      <protection hidden="1"/>
    </xf>
    <xf numFmtId="0" fontId="35" fillId="30" borderId="0" xfId="0" applyFont="1" applyFill="1" applyAlignment="1" applyProtection="1">
      <alignment horizontal="center"/>
      <protection hidden="1"/>
    </xf>
    <xf numFmtId="0" fontId="27" fillId="30" borderId="13" xfId="0" applyNumberFormat="1" applyFont="1" applyFill="1" applyBorder="1" applyAlignment="1" applyProtection="1">
      <alignment horizontal="center"/>
      <protection hidden="1"/>
    </xf>
    <xf numFmtId="4" fontId="4" fillId="29" borderId="12" xfId="0" applyNumberFormat="1" applyFont="1" applyFill="1" applyBorder="1" applyProtection="1">
      <protection hidden="1"/>
    </xf>
    <xf numFmtId="4" fontId="4" fillId="31" borderId="0" xfId="0" applyNumberFormat="1" applyFont="1" applyFill="1" applyBorder="1" applyProtection="1">
      <protection hidden="1"/>
    </xf>
    <xf numFmtId="4" fontId="33" fillId="29" borderId="12" xfId="0" applyNumberFormat="1" applyFont="1" applyFill="1" applyBorder="1" applyProtection="1">
      <protection hidden="1"/>
    </xf>
    <xf numFmtId="4" fontId="4" fillId="16" borderId="0" xfId="0" applyNumberFormat="1" applyFont="1" applyFill="1" applyBorder="1" applyProtection="1">
      <protection hidden="1"/>
    </xf>
    <xf numFmtId="4" fontId="33" fillId="0" borderId="0" xfId="0" applyNumberFormat="1" applyFont="1" applyBorder="1" applyProtection="1">
      <protection hidden="1"/>
    </xf>
    <xf numFmtId="0" fontId="34" fillId="0" borderId="0" xfId="0" applyFont="1" applyProtection="1">
      <protection hidden="1"/>
    </xf>
    <xf numFmtId="3" fontId="32" fillId="0" borderId="0" xfId="0" applyNumberFormat="1" applyFont="1" applyProtection="1">
      <protection hidden="1"/>
    </xf>
    <xf numFmtId="0" fontId="36" fillId="0" borderId="0" xfId="0" applyFont="1" applyAlignment="1" applyProtection="1">
      <alignment horizontal="center" vertical="center"/>
      <protection hidden="1"/>
    </xf>
    <xf numFmtId="4" fontId="32" fillId="0" borderId="12" xfId="0" applyNumberFormat="1" applyFont="1" applyBorder="1" applyProtection="1">
      <protection hidden="1"/>
    </xf>
    <xf numFmtId="4" fontId="32" fillId="29" borderId="12" xfId="0" applyNumberFormat="1" applyFont="1" applyFill="1" applyBorder="1" applyProtection="1">
      <protection hidden="1"/>
    </xf>
    <xf numFmtId="4" fontId="32" fillId="0" borderId="0" xfId="0" applyNumberFormat="1" applyFont="1" applyBorder="1" applyProtection="1">
      <protection hidden="1"/>
    </xf>
    <xf numFmtId="0" fontId="36" fillId="0" borderId="0" xfId="0" applyFont="1" applyProtection="1">
      <protection hidden="1"/>
    </xf>
    <xf numFmtId="0" fontId="32" fillId="0" borderId="0" xfId="63" applyFont="1" applyProtection="1">
      <protection hidden="1"/>
    </xf>
    <xf numFmtId="0" fontId="36" fillId="0" borderId="0" xfId="63" applyFont="1" applyProtection="1">
      <protection hidden="1"/>
    </xf>
    <xf numFmtId="0" fontId="4" fillId="16" borderId="0" xfId="63" applyFont="1" applyFill="1" applyProtection="1">
      <protection hidden="1"/>
    </xf>
    <xf numFmtId="0" fontId="5" fillId="0" borderId="0" xfId="63" applyProtection="1">
      <protection hidden="1"/>
    </xf>
    <xf numFmtId="0" fontId="33" fillId="0" borderId="0" xfId="63" applyFont="1" applyProtection="1">
      <protection hidden="1"/>
    </xf>
    <xf numFmtId="0" fontId="27" fillId="30" borderId="0" xfId="63" applyFont="1" applyFill="1" applyProtection="1">
      <protection hidden="1"/>
    </xf>
    <xf numFmtId="3" fontId="34" fillId="0" borderId="0" xfId="63" applyNumberFormat="1" applyFont="1" applyProtection="1">
      <protection hidden="1"/>
    </xf>
    <xf numFmtId="4" fontId="4" fillId="16" borderId="12" xfId="63" applyNumberFormat="1" applyFont="1" applyFill="1" applyBorder="1" applyProtection="1">
      <protection hidden="1"/>
    </xf>
    <xf numFmtId="4" fontId="4" fillId="0" borderId="0" xfId="63" applyNumberFormat="1" applyFont="1" applyFill="1" applyBorder="1" applyProtection="1">
      <protection hidden="1"/>
    </xf>
    <xf numFmtId="4" fontId="33" fillId="0" borderId="12" xfId="63" applyNumberFormat="1" applyFont="1" applyBorder="1" applyProtection="1">
      <protection hidden="1"/>
    </xf>
    <xf numFmtId="0" fontId="35" fillId="30" borderId="0" xfId="63" applyFont="1" applyFill="1" applyAlignment="1" applyProtection="1">
      <alignment horizontal="center"/>
      <protection hidden="1"/>
    </xf>
    <xf numFmtId="3" fontId="30" fillId="0" borderId="0" xfId="63" applyNumberFormat="1" applyFont="1" applyProtection="1">
      <protection hidden="1"/>
    </xf>
    <xf numFmtId="4" fontId="4" fillId="29" borderId="12" xfId="63" applyNumberFormat="1" applyFont="1" applyFill="1" applyBorder="1" applyProtection="1">
      <protection hidden="1"/>
    </xf>
    <xf numFmtId="4" fontId="4" fillId="31" borderId="0" xfId="63" applyNumberFormat="1" applyFont="1" applyFill="1" applyBorder="1" applyProtection="1">
      <protection hidden="1"/>
    </xf>
    <xf numFmtId="4" fontId="33" fillId="29" borderId="12" xfId="63" applyNumberFormat="1" applyFont="1" applyFill="1" applyBorder="1" applyProtection="1">
      <protection hidden="1"/>
    </xf>
    <xf numFmtId="0" fontId="28" fillId="0" borderId="0" xfId="63" applyFont="1" applyProtection="1">
      <protection hidden="1"/>
    </xf>
    <xf numFmtId="192" fontId="4" fillId="29" borderId="12" xfId="63" applyNumberFormat="1" applyFont="1" applyFill="1" applyBorder="1" applyProtection="1">
      <protection hidden="1"/>
    </xf>
    <xf numFmtId="192" fontId="4" fillId="31" borderId="0" xfId="63" applyNumberFormat="1" applyFont="1" applyFill="1" applyBorder="1" applyProtection="1">
      <protection hidden="1"/>
    </xf>
    <xf numFmtId="192" fontId="33" fillId="29" borderId="12" xfId="63" applyNumberFormat="1" applyFont="1" applyFill="1" applyBorder="1" applyProtection="1">
      <protection hidden="1"/>
    </xf>
    <xf numFmtId="0" fontId="32" fillId="0" borderId="0" xfId="62" applyFont="1" applyProtection="1">
      <protection hidden="1"/>
    </xf>
    <xf numFmtId="0" fontId="28" fillId="0" borderId="0" xfId="62" applyFont="1" applyProtection="1">
      <protection hidden="1"/>
    </xf>
    <xf numFmtId="0" fontId="4" fillId="16" borderId="0" xfId="62" applyFont="1" applyFill="1" applyProtection="1">
      <protection hidden="1"/>
    </xf>
    <xf numFmtId="0" fontId="2" fillId="0" borderId="0" xfId="62" applyProtection="1">
      <protection hidden="1"/>
    </xf>
    <xf numFmtId="0" fontId="33" fillId="0" borderId="0" xfId="62" applyFont="1" applyProtection="1">
      <protection hidden="1"/>
    </xf>
    <xf numFmtId="0" fontId="27" fillId="30" borderId="0" xfId="62" applyFont="1" applyFill="1" applyProtection="1">
      <protection hidden="1"/>
    </xf>
    <xf numFmtId="4" fontId="4" fillId="16" borderId="12" xfId="62" applyNumberFormat="1" applyFont="1" applyFill="1" applyBorder="1" applyProtection="1">
      <protection hidden="1"/>
    </xf>
    <xf numFmtId="4" fontId="4" fillId="0" borderId="0" xfId="62" applyNumberFormat="1" applyFont="1" applyFill="1" applyBorder="1" applyProtection="1">
      <protection hidden="1"/>
    </xf>
    <xf numFmtId="4" fontId="33" fillId="0" borderId="12" xfId="62" applyNumberFormat="1" applyFont="1" applyBorder="1" applyProtection="1">
      <protection hidden="1"/>
    </xf>
    <xf numFmtId="0" fontId="35" fillId="30" borderId="0" xfId="62" applyFont="1" applyFill="1" applyAlignment="1" applyProtection="1">
      <alignment horizontal="center"/>
      <protection hidden="1"/>
    </xf>
    <xf numFmtId="4" fontId="4" fillId="29" borderId="12" xfId="62" applyNumberFormat="1" applyFont="1" applyFill="1" applyBorder="1" applyProtection="1">
      <protection hidden="1"/>
    </xf>
    <xf numFmtId="4" fontId="4" fillId="31" borderId="0" xfId="62" applyNumberFormat="1" applyFont="1" applyFill="1" applyBorder="1" applyProtection="1">
      <protection hidden="1"/>
    </xf>
    <xf numFmtId="4" fontId="33" fillId="29" borderId="12" xfId="62" applyNumberFormat="1" applyFont="1" applyFill="1" applyBorder="1" applyProtection="1">
      <protection hidden="1"/>
    </xf>
    <xf numFmtId="0" fontId="26" fillId="0" borderId="0" xfId="62" applyFont="1" applyProtection="1">
      <protection hidden="1"/>
    </xf>
    <xf numFmtId="0" fontId="32" fillId="0" borderId="0" xfId="64" applyFont="1" applyProtection="1">
      <protection hidden="1"/>
    </xf>
    <xf numFmtId="0" fontId="28" fillId="0" borderId="0" xfId="64" applyFont="1" applyProtection="1">
      <protection hidden="1"/>
    </xf>
    <xf numFmtId="0" fontId="4" fillId="16" borderId="0" xfId="64" applyFont="1" applyFill="1" applyProtection="1">
      <protection hidden="1"/>
    </xf>
    <xf numFmtId="0" fontId="2" fillId="0" borderId="0" xfId="64" applyProtection="1">
      <protection hidden="1"/>
    </xf>
    <xf numFmtId="0" fontId="33" fillId="0" borderId="0" xfId="64" applyFont="1" applyProtection="1">
      <protection hidden="1"/>
    </xf>
    <xf numFmtId="0" fontId="27" fillId="30" borderId="0" xfId="64" applyFont="1" applyFill="1" applyProtection="1">
      <protection hidden="1"/>
    </xf>
    <xf numFmtId="3" fontId="34" fillId="0" borderId="0" xfId="64" applyNumberFormat="1" applyFont="1" applyProtection="1">
      <protection hidden="1"/>
    </xf>
    <xf numFmtId="4" fontId="4" fillId="16" borderId="12" xfId="64" applyNumberFormat="1" applyFont="1" applyFill="1" applyBorder="1" applyProtection="1">
      <protection hidden="1"/>
    </xf>
    <xf numFmtId="4" fontId="4" fillId="0" borderId="0" xfId="64" applyNumberFormat="1" applyFont="1" applyFill="1" applyBorder="1" applyProtection="1">
      <protection hidden="1"/>
    </xf>
    <xf numFmtId="4" fontId="33" fillId="0" borderId="12" xfId="64" applyNumberFormat="1" applyFont="1" applyBorder="1" applyProtection="1">
      <protection hidden="1"/>
    </xf>
    <xf numFmtId="0" fontId="35" fillId="30" borderId="0" xfId="64" applyFont="1" applyFill="1" applyAlignment="1" applyProtection="1">
      <alignment horizontal="center"/>
      <protection hidden="1"/>
    </xf>
    <xf numFmtId="0" fontId="34" fillId="0" borderId="0" xfId="64" applyFont="1" applyProtection="1">
      <protection hidden="1"/>
    </xf>
    <xf numFmtId="4" fontId="4" fillId="29" borderId="12" xfId="64" applyNumberFormat="1" applyFont="1" applyFill="1" applyBorder="1" applyProtection="1">
      <protection hidden="1"/>
    </xf>
    <xf numFmtId="4" fontId="4" fillId="31" borderId="0" xfId="64" applyNumberFormat="1" applyFont="1" applyFill="1" applyBorder="1" applyProtection="1">
      <protection hidden="1"/>
    </xf>
    <xf numFmtId="4" fontId="33" fillId="29" borderId="12" xfId="64" applyNumberFormat="1" applyFont="1" applyFill="1" applyBorder="1" applyProtection="1">
      <protection hidden="1"/>
    </xf>
    <xf numFmtId="0" fontId="30" fillId="0" borderId="0" xfId="64" applyFont="1" applyProtection="1">
      <protection hidden="1"/>
    </xf>
    <xf numFmtId="0" fontId="30" fillId="0" borderId="0" xfId="0" applyFont="1" applyProtection="1">
      <protection hidden="1"/>
    </xf>
    <xf numFmtId="0" fontId="36" fillId="0" borderId="0" xfId="0" applyFont="1" applyAlignment="1" applyProtection="1">
      <alignment vertical="center"/>
      <protection hidden="1"/>
    </xf>
    <xf numFmtId="4" fontId="26" fillId="16" borderId="12" xfId="0" applyNumberFormat="1" applyFont="1" applyFill="1" applyBorder="1" applyProtection="1">
      <protection hidden="1"/>
    </xf>
    <xf numFmtId="3" fontId="37" fillId="0" borderId="0" xfId="0" applyNumberFormat="1" applyFont="1" applyProtection="1">
      <protection hidden="1"/>
    </xf>
    <xf numFmtId="4" fontId="26" fillId="0" borderId="12" xfId="0" applyNumberFormat="1" applyFont="1" applyFill="1" applyBorder="1" applyProtection="1">
      <protection hidden="1"/>
    </xf>
    <xf numFmtId="4" fontId="26" fillId="29" borderId="12" xfId="0" applyNumberFormat="1" applyFont="1" applyFill="1" applyBorder="1" applyProtection="1">
      <protection hidden="1"/>
    </xf>
    <xf numFmtId="3" fontId="4" fillId="0" borderId="0" xfId="0" applyNumberFormat="1" applyFont="1" applyProtection="1">
      <protection hidden="1"/>
    </xf>
    <xf numFmtId="3" fontId="30" fillId="0" borderId="0" xfId="0" applyNumberFormat="1" applyFont="1" applyProtection="1">
      <protection hidden="1"/>
    </xf>
    <xf numFmtId="0" fontId="37" fillId="0" borderId="0" xfId="0" applyFont="1" applyProtection="1">
      <protection hidden="1"/>
    </xf>
    <xf numFmtId="4" fontId="4" fillId="29" borderId="0" xfId="0" applyNumberFormat="1" applyFont="1" applyFill="1" applyBorder="1" applyProtection="1">
      <protection hidden="1"/>
    </xf>
    <xf numFmtId="0" fontId="27" fillId="30" borderId="0" xfId="0" applyNumberFormat="1" applyFont="1" applyFill="1" applyBorder="1" applyAlignment="1" applyProtection="1">
      <alignment horizontal="center"/>
      <protection hidden="1"/>
    </xf>
    <xf numFmtId="0" fontId="8" fillId="31" borderId="0" xfId="0" applyFont="1" applyFill="1" applyAlignment="1" applyProtection="1">
      <alignment vertical="top"/>
      <protection hidden="1"/>
    </xf>
    <xf numFmtId="0" fontId="8" fillId="31" borderId="0" xfId="0" applyFont="1" applyFill="1" applyAlignment="1" applyProtection="1">
      <alignment wrapText="1"/>
      <protection hidden="1"/>
    </xf>
    <xf numFmtId="165" fontId="8" fillId="31" borderId="0" xfId="0" applyNumberFormat="1" applyFont="1" applyFill="1" applyAlignment="1" applyProtection="1">
      <alignment horizontal="left" wrapText="1"/>
      <protection hidden="1"/>
    </xf>
    <xf numFmtId="165" fontId="8" fillId="31" borderId="0" xfId="0" applyNumberFormat="1" applyFont="1" applyFill="1" applyAlignment="1" applyProtection="1">
      <alignment horizontal="right" wrapText="1"/>
      <protection hidden="1"/>
    </xf>
    <xf numFmtId="0" fontId="28" fillId="31" borderId="0" xfId="0" applyFont="1" applyFill="1" applyAlignment="1" applyProtection="1">
      <alignment horizontal="center"/>
      <protection hidden="1"/>
    </xf>
    <xf numFmtId="0" fontId="0" fillId="31" borderId="13" xfId="0" applyFill="1" applyBorder="1" applyProtection="1">
      <protection hidden="1"/>
    </xf>
    <xf numFmtId="0" fontId="4" fillId="31" borderId="13" xfId="0" applyFont="1" applyFill="1" applyBorder="1" applyProtection="1">
      <protection hidden="1"/>
    </xf>
    <xf numFmtId="0" fontId="26" fillId="31" borderId="13" xfId="0" applyFont="1" applyFill="1" applyBorder="1" applyProtection="1">
      <protection hidden="1"/>
    </xf>
    <xf numFmtId="0" fontId="27" fillId="31" borderId="13" xfId="0" applyFont="1" applyFill="1" applyBorder="1" applyProtection="1">
      <protection hidden="1"/>
    </xf>
    <xf numFmtId="0" fontId="26" fillId="0" borderId="0" xfId="0" applyFont="1" applyProtection="1">
      <protection hidden="1"/>
    </xf>
    <xf numFmtId="0" fontId="38" fillId="13" borderId="0" xfId="0" applyFont="1" applyFill="1" applyProtection="1">
      <protection hidden="1"/>
    </xf>
    <xf numFmtId="0" fontId="0" fillId="13" borderId="0" xfId="0" applyFill="1" applyProtection="1">
      <protection hidden="1"/>
    </xf>
    <xf numFmtId="176" fontId="0" fillId="13" borderId="0" xfId="0" applyNumberFormat="1" applyFill="1" applyAlignment="1" applyProtection="1">
      <alignment horizontal="left"/>
      <protection hidden="1"/>
    </xf>
    <xf numFmtId="176" fontId="0" fillId="0" borderId="0" xfId="0" applyNumberFormat="1" applyAlignment="1" applyProtection="1">
      <alignment horizontal="left"/>
      <protection hidden="1"/>
    </xf>
    <xf numFmtId="9" fontId="0" fillId="0" borderId="0" xfId="0" applyNumberFormat="1" applyProtection="1">
      <protection hidden="1"/>
    </xf>
    <xf numFmtId="177" fontId="5" fillId="0" borderId="0" xfId="63" applyNumberFormat="1" applyFont="1" applyProtection="1">
      <protection hidden="1"/>
    </xf>
    <xf numFmtId="1" fontId="5" fillId="0" borderId="0" xfId="0" applyNumberFormat="1" applyFont="1" applyAlignment="1" applyProtection="1">
      <alignment horizontal="left"/>
      <protection hidden="1"/>
    </xf>
    <xf numFmtId="0" fontId="39" fillId="0" borderId="0" xfId="63" applyFont="1" applyAlignment="1" applyProtection="1">
      <alignment horizontal="center"/>
      <protection hidden="1"/>
    </xf>
    <xf numFmtId="1" fontId="28" fillId="0" borderId="0" xfId="63" applyNumberFormat="1" applyFont="1" applyProtection="1">
      <protection hidden="1"/>
    </xf>
    <xf numFmtId="0" fontId="34" fillId="0" borderId="0" xfId="63" applyFont="1" applyProtection="1">
      <protection hidden="1"/>
    </xf>
    <xf numFmtId="0" fontId="0" fillId="0" borderId="0" xfId="0" applyAlignment="1" applyProtection="1">
      <alignment horizontal="center"/>
      <protection hidden="1"/>
    </xf>
    <xf numFmtId="0" fontId="5" fillId="0" borderId="0" xfId="0" applyFont="1" applyAlignment="1" applyProtection="1">
      <alignment horizontal="left"/>
      <protection hidden="1"/>
    </xf>
    <xf numFmtId="0" fontId="40" fillId="0" borderId="0" xfId="0" applyFont="1" applyAlignment="1" applyProtection="1">
      <protection hidden="1"/>
    </xf>
    <xf numFmtId="177" fontId="5" fillId="0" borderId="0" xfId="0" applyNumberFormat="1" applyFont="1" applyProtection="1">
      <protection hidden="1"/>
    </xf>
    <xf numFmtId="0" fontId="24" fillId="0" borderId="0" xfId="0" applyFont="1" applyProtection="1">
      <protection hidden="1"/>
    </xf>
    <xf numFmtId="0" fontId="41" fillId="0" borderId="0" xfId="0" applyFont="1" applyProtection="1">
      <protection hidden="1"/>
    </xf>
    <xf numFmtId="0" fontId="26" fillId="13" borderId="0" xfId="0" applyFont="1" applyFill="1" applyProtection="1">
      <protection hidden="1"/>
    </xf>
    <xf numFmtId="0" fontId="18" fillId="32" borderId="0" xfId="0" applyFont="1" applyFill="1" applyBorder="1" applyAlignment="1" applyProtection="1">
      <alignment vertical="center" wrapText="1"/>
      <protection hidden="1"/>
    </xf>
    <xf numFmtId="0" fontId="34" fillId="32" borderId="0" xfId="0" applyFont="1" applyFill="1" applyBorder="1" applyAlignment="1" applyProtection="1">
      <alignment vertical="center"/>
      <protection hidden="1"/>
    </xf>
    <xf numFmtId="0" fontId="44" fillId="0" borderId="0" xfId="0" applyFont="1" applyAlignment="1" applyProtection="1">
      <alignment horizontal="center" vertical="center"/>
      <protection hidden="1"/>
    </xf>
    <xf numFmtId="0" fontId="34" fillId="0" borderId="0" xfId="0" applyFont="1" applyAlignment="1" applyProtection="1">
      <alignment horizontal="center" vertical="center"/>
      <protection hidden="1"/>
    </xf>
    <xf numFmtId="0" fontId="34" fillId="0" borderId="0" xfId="0" applyFont="1" applyFill="1" applyBorder="1" applyAlignment="1" applyProtection="1">
      <alignment vertical="center"/>
      <protection locked="0"/>
    </xf>
    <xf numFmtId="4" fontId="45" fillId="0" borderId="14" xfId="0" applyNumberFormat="1" applyFont="1" applyFill="1" applyBorder="1" applyProtection="1">
      <protection locked="0"/>
    </xf>
    <xf numFmtId="0" fontId="11" fillId="0" borderId="13" xfId="0" applyFont="1" applyBorder="1" applyAlignment="1" applyProtection="1">
      <alignment horizontal="center" vertical="center"/>
      <protection hidden="1"/>
    </xf>
    <xf numFmtId="0" fontId="46" fillId="0" borderId="0" xfId="0" applyFont="1" applyProtection="1">
      <protection hidden="1"/>
    </xf>
    <xf numFmtId="0" fontId="34" fillId="0" borderId="0" xfId="0" applyFont="1" applyFill="1" applyProtection="1">
      <protection hidden="1"/>
    </xf>
    <xf numFmtId="0" fontId="34" fillId="0" borderId="0" xfId="0" applyFont="1" applyBorder="1" applyAlignment="1" applyProtection="1">
      <alignment wrapText="1"/>
      <protection hidden="1"/>
    </xf>
    <xf numFmtId="0" fontId="47" fillId="0" borderId="0" xfId="0" applyFont="1" applyProtection="1">
      <protection hidden="1"/>
    </xf>
    <xf numFmtId="165" fontId="49" fillId="32" borderId="0" xfId="0" applyNumberFormat="1" applyFont="1" applyFill="1" applyBorder="1" applyAlignment="1" applyProtection="1">
      <alignment vertical="center"/>
      <protection hidden="1"/>
    </xf>
    <xf numFmtId="0" fontId="50" fillId="0" borderId="14" xfId="0" applyFont="1" applyFill="1" applyBorder="1" applyAlignment="1" applyProtection="1">
      <alignment horizontal="center" vertical="center"/>
      <protection locked="0"/>
    </xf>
    <xf numFmtId="169" fontId="49" fillId="32" borderId="0" xfId="0" applyNumberFormat="1" applyFont="1" applyFill="1" applyBorder="1" applyAlignment="1" applyProtection="1">
      <alignment vertical="center"/>
      <protection hidden="1"/>
    </xf>
    <xf numFmtId="4" fontId="50" fillId="0" borderId="14" xfId="0" applyNumberFormat="1" applyFont="1" applyFill="1" applyBorder="1" applyProtection="1">
      <protection locked="0"/>
    </xf>
    <xf numFmtId="0" fontId="30" fillId="0" borderId="0" xfId="0" applyFont="1" applyBorder="1" applyProtection="1">
      <protection hidden="1"/>
    </xf>
    <xf numFmtId="0" fontId="34" fillId="0" borderId="0" xfId="0" applyFont="1" applyBorder="1" applyProtection="1">
      <protection hidden="1"/>
    </xf>
    <xf numFmtId="0" fontId="30" fillId="0" borderId="15" xfId="0" applyFont="1" applyBorder="1" applyProtection="1">
      <protection hidden="1"/>
    </xf>
    <xf numFmtId="0" fontId="30" fillId="0" borderId="16" xfId="0" applyFont="1" applyBorder="1" applyProtection="1">
      <protection hidden="1"/>
    </xf>
    <xf numFmtId="4" fontId="45" fillId="0" borderId="12" xfId="0" applyNumberFormat="1" applyFont="1" applyFill="1" applyBorder="1" applyProtection="1">
      <protection locked="0"/>
    </xf>
    <xf numFmtId="0" fontId="44" fillId="0" borderId="0" xfId="0" applyFont="1" applyProtection="1">
      <protection hidden="1"/>
    </xf>
    <xf numFmtId="0" fontId="34" fillId="0" borderId="0" xfId="0" applyFont="1" applyAlignment="1" applyProtection="1">
      <alignment vertical="top"/>
      <protection hidden="1"/>
    </xf>
    <xf numFmtId="172" fontId="50" fillId="0" borderId="14" xfId="0" applyNumberFormat="1" applyFont="1" applyFill="1" applyBorder="1" applyProtection="1">
      <protection locked="0"/>
    </xf>
    <xf numFmtId="0" fontId="34" fillId="0" borderId="0" xfId="0" applyFont="1" applyAlignment="1" applyProtection="1">
      <alignment horizontal="left"/>
      <protection hidden="1"/>
    </xf>
    <xf numFmtId="0" fontId="34" fillId="0" borderId="0" xfId="0" applyFont="1" applyAlignment="1" applyProtection="1">
      <alignment horizontal="right"/>
      <protection hidden="1"/>
    </xf>
    <xf numFmtId="0" fontId="34" fillId="0" borderId="0" xfId="0" applyFont="1" applyAlignment="1" applyProtection="1">
      <protection hidden="1"/>
    </xf>
    <xf numFmtId="0" fontId="9" fillId="0" borderId="0" xfId="0" applyFont="1" applyAlignment="1" applyProtection="1">
      <alignment horizontal="right"/>
      <protection hidden="1"/>
    </xf>
    <xf numFmtId="3" fontId="50" fillId="0" borderId="14" xfId="0" applyNumberFormat="1" applyFont="1" applyFill="1" applyBorder="1" applyAlignment="1" applyProtection="1">
      <alignment horizontal="right"/>
      <protection locked="0"/>
    </xf>
    <xf numFmtId="0" fontId="49" fillId="0" borderId="0" xfId="0" applyFont="1" applyFill="1" applyAlignment="1" applyProtection="1">
      <alignment horizontal="left" vertical="top" wrapText="1"/>
      <protection hidden="1"/>
    </xf>
    <xf numFmtId="0" fontId="30" fillId="10" borderId="0" xfId="0" applyFont="1" applyFill="1" applyAlignment="1" applyProtection="1">
      <alignment horizontal="centerContinuous"/>
      <protection hidden="1"/>
    </xf>
    <xf numFmtId="0" fontId="30" fillId="10" borderId="13" xfId="0" applyFont="1" applyFill="1" applyBorder="1" applyProtection="1">
      <protection hidden="1"/>
    </xf>
    <xf numFmtId="0" fontId="30" fillId="10" borderId="13" xfId="0" applyFont="1" applyFill="1" applyBorder="1" applyAlignment="1" applyProtection="1">
      <alignment horizontal="right"/>
      <protection hidden="1"/>
    </xf>
    <xf numFmtId="0" fontId="34" fillId="0" borderId="17" xfId="0" applyFont="1" applyBorder="1" applyProtection="1">
      <protection hidden="1"/>
    </xf>
    <xf numFmtId="0" fontId="50" fillId="0" borderId="18" xfId="0" applyFont="1" applyFill="1" applyBorder="1" applyProtection="1">
      <protection locked="0"/>
    </xf>
    <xf numFmtId="4" fontId="34" fillId="0" borderId="0" xfId="0" applyNumberFormat="1" applyFont="1" applyProtection="1">
      <protection hidden="1"/>
    </xf>
    <xf numFmtId="4" fontId="50" fillId="0" borderId="12" xfId="0" applyNumberFormat="1" applyFont="1" applyFill="1" applyBorder="1" applyProtection="1">
      <protection locked="0"/>
    </xf>
    <xf numFmtId="0" fontId="34" fillId="0" borderId="19" xfId="0" applyFont="1" applyBorder="1" applyProtection="1">
      <protection hidden="1"/>
    </xf>
    <xf numFmtId="0" fontId="34" fillId="0" borderId="20" xfId="0" applyFont="1" applyBorder="1" applyProtection="1">
      <protection hidden="1"/>
    </xf>
    <xf numFmtId="0" fontId="34" fillId="0" borderId="21" xfId="0" applyFont="1" applyBorder="1" applyProtection="1">
      <protection hidden="1"/>
    </xf>
    <xf numFmtId="0" fontId="30" fillId="6" borderId="0" xfId="0" applyFont="1" applyFill="1" applyProtection="1">
      <protection hidden="1"/>
    </xf>
    <xf numFmtId="0" fontId="30" fillId="6" borderId="0" xfId="0" applyFont="1" applyFill="1" applyBorder="1" applyAlignment="1" applyProtection="1">
      <alignment wrapText="1"/>
      <protection hidden="1"/>
    </xf>
    <xf numFmtId="0" fontId="11" fillId="6" borderId="0" xfId="0" applyFont="1" applyFill="1" applyAlignment="1" applyProtection="1">
      <alignment horizontal="center" vertical="center"/>
      <protection hidden="1"/>
    </xf>
    <xf numFmtId="0" fontId="30" fillId="6" borderId="0" xfId="0" quotePrefix="1" applyFont="1" applyFill="1" applyAlignment="1" applyProtection="1">
      <alignment horizontal="center" vertical="center"/>
      <protection hidden="1"/>
    </xf>
    <xf numFmtId="0" fontId="30" fillId="6" borderId="0" xfId="0" applyFont="1" applyFill="1" applyAlignment="1" applyProtection="1">
      <alignment horizontal="center" vertical="center"/>
      <protection hidden="1"/>
    </xf>
    <xf numFmtId="0" fontId="30" fillId="6" borderId="13" xfId="0" applyFont="1" applyFill="1" applyBorder="1" applyProtection="1">
      <protection hidden="1"/>
    </xf>
    <xf numFmtId="0" fontId="30" fillId="6" borderId="13" xfId="0" applyFont="1" applyFill="1" applyBorder="1" applyAlignment="1" applyProtection="1">
      <alignment wrapText="1"/>
      <protection hidden="1"/>
    </xf>
    <xf numFmtId="0" fontId="11" fillId="6" borderId="13" xfId="0" applyFont="1" applyFill="1" applyBorder="1" applyAlignment="1" applyProtection="1">
      <alignment horizontal="center" vertical="center"/>
      <protection hidden="1"/>
    </xf>
    <xf numFmtId="0" fontId="30" fillId="6" borderId="13" xfId="0" quotePrefix="1" applyFont="1" applyFill="1" applyBorder="1" applyAlignment="1" applyProtection="1">
      <alignment horizontal="center" vertical="center"/>
      <protection hidden="1"/>
    </xf>
    <xf numFmtId="0" fontId="30" fillId="6" borderId="13" xfId="0" applyFont="1" applyFill="1" applyBorder="1" applyAlignment="1" applyProtection="1">
      <alignment horizontal="center" vertical="center"/>
      <protection hidden="1"/>
    </xf>
    <xf numFmtId="0" fontId="34" fillId="0" borderId="0" xfId="0" applyFont="1" applyBorder="1" applyAlignment="1" applyProtection="1">
      <alignment vertical="center"/>
      <protection hidden="1"/>
    </xf>
    <xf numFmtId="0" fontId="18" fillId="33" borderId="0" xfId="0" applyFont="1" applyFill="1" applyBorder="1" applyAlignment="1" applyProtection="1">
      <alignment vertical="center" wrapText="1"/>
      <protection hidden="1"/>
    </xf>
    <xf numFmtId="0" fontId="18" fillId="33" borderId="0" xfId="0" applyFont="1" applyFill="1" applyBorder="1" applyAlignment="1" applyProtection="1">
      <alignment vertical="center"/>
      <protection hidden="1"/>
    </xf>
    <xf numFmtId="0" fontId="30" fillId="10" borderId="0" xfId="0" applyFont="1" applyFill="1" applyBorder="1" applyAlignment="1" applyProtection="1">
      <alignment horizontal="center" vertical="center" wrapText="1"/>
      <protection hidden="1"/>
    </xf>
    <xf numFmtId="0" fontId="30" fillId="10" borderId="0" xfId="0" applyFont="1" applyFill="1" applyBorder="1" applyAlignment="1" applyProtection="1">
      <alignment horizontal="center" vertical="center"/>
      <protection hidden="1"/>
    </xf>
    <xf numFmtId="0" fontId="34" fillId="30" borderId="0" xfId="0" applyFont="1" applyFill="1" applyBorder="1" applyAlignment="1" applyProtection="1">
      <alignment vertical="center"/>
      <protection hidden="1"/>
    </xf>
    <xf numFmtId="167" fontId="34" fillId="0" borderId="14" xfId="0" applyNumberFormat="1" applyFont="1" applyFill="1" applyBorder="1" applyAlignment="1" applyProtection="1">
      <alignment horizontal="center" vertical="center"/>
      <protection hidden="1"/>
    </xf>
    <xf numFmtId="169" fontId="34" fillId="0" borderId="22" xfId="0" applyNumberFormat="1" applyFont="1" applyFill="1" applyBorder="1" applyAlignment="1" applyProtection="1">
      <alignment vertical="center"/>
      <protection hidden="1"/>
    </xf>
    <xf numFmtId="169" fontId="34" fillId="16" borderId="23" xfId="0" applyNumberFormat="1" applyFont="1" applyFill="1" applyBorder="1" applyAlignment="1" applyProtection="1">
      <alignment vertical="center"/>
      <protection locked="0"/>
    </xf>
    <xf numFmtId="3" fontId="34" fillId="0" borderId="24" xfId="0" applyNumberFormat="1" applyFont="1" applyFill="1" applyBorder="1" applyAlignment="1" applyProtection="1">
      <alignment vertical="center"/>
      <protection hidden="1"/>
    </xf>
    <xf numFmtId="3" fontId="34" fillId="16" borderId="23" xfId="0" applyNumberFormat="1" applyFont="1" applyFill="1" applyBorder="1" applyAlignment="1" applyProtection="1">
      <alignment vertical="center"/>
      <protection locked="0"/>
    </xf>
    <xf numFmtId="166" fontId="34" fillId="16" borderId="23" xfId="0" applyNumberFormat="1" applyFont="1" applyFill="1" applyBorder="1" applyAlignment="1" applyProtection="1">
      <alignment vertical="center"/>
      <protection locked="0"/>
    </xf>
    <xf numFmtId="172" fontId="34" fillId="0" borderId="14" xfId="0" applyNumberFormat="1" applyFont="1" applyFill="1" applyBorder="1" applyAlignment="1" applyProtection="1">
      <alignment horizontal="center" vertical="center"/>
      <protection hidden="1"/>
    </xf>
    <xf numFmtId="3" fontId="34" fillId="0" borderId="0" xfId="0" applyNumberFormat="1" applyFont="1" applyFill="1" applyBorder="1" applyAlignment="1" applyProtection="1">
      <alignment vertical="center"/>
      <protection hidden="1"/>
    </xf>
    <xf numFmtId="0" fontId="52" fillId="34" borderId="0" xfId="0" applyFont="1" applyFill="1" applyBorder="1" applyAlignment="1" applyProtection="1">
      <alignment vertical="center"/>
      <protection hidden="1"/>
    </xf>
    <xf numFmtId="0" fontId="30" fillId="10" borderId="0" xfId="0" applyFont="1" applyFill="1" applyBorder="1" applyAlignment="1" applyProtection="1">
      <alignment vertical="center"/>
      <protection hidden="1"/>
    </xf>
    <xf numFmtId="3" fontId="30" fillId="10" borderId="0" xfId="0" applyNumberFormat="1" applyFont="1" applyFill="1" applyBorder="1" applyAlignment="1" applyProtection="1">
      <alignment horizontal="center" vertical="center"/>
      <protection hidden="1"/>
    </xf>
    <xf numFmtId="165" fontId="49" fillId="0" borderId="0" xfId="0" applyNumberFormat="1" applyFont="1" applyBorder="1" applyAlignment="1" applyProtection="1">
      <alignment vertical="center"/>
      <protection hidden="1"/>
    </xf>
    <xf numFmtId="0" fontId="30" fillId="30" borderId="0" xfId="0" applyFont="1" applyFill="1" applyBorder="1" applyAlignment="1" applyProtection="1">
      <alignment vertical="center"/>
      <protection hidden="1"/>
    </xf>
    <xf numFmtId="170" fontId="34" fillId="0" borderId="14" xfId="0" applyNumberFormat="1" applyFont="1" applyFill="1" applyBorder="1" applyAlignment="1" applyProtection="1">
      <alignment vertical="center"/>
      <protection hidden="1"/>
    </xf>
    <xf numFmtId="170" fontId="34" fillId="0" borderId="25" xfId="0" applyNumberFormat="1" applyFont="1" applyFill="1" applyBorder="1" applyAlignment="1" applyProtection="1">
      <alignment vertical="center"/>
      <protection hidden="1"/>
    </xf>
    <xf numFmtId="0" fontId="30" fillId="34" borderId="0" xfId="0" applyFont="1" applyFill="1" applyBorder="1" applyAlignment="1" applyProtection="1">
      <alignment vertical="center"/>
      <protection hidden="1"/>
    </xf>
    <xf numFmtId="3" fontId="52" fillId="30" borderId="0" xfId="0" applyNumberFormat="1" applyFont="1" applyFill="1" applyBorder="1" applyAlignment="1" applyProtection="1">
      <alignment horizontal="left" vertical="center"/>
      <protection hidden="1"/>
    </xf>
    <xf numFmtId="169" fontId="34" fillId="0" borderId="14" xfId="0" applyNumberFormat="1" applyFont="1" applyFill="1" applyBorder="1" applyAlignment="1" applyProtection="1">
      <alignment vertical="center"/>
      <protection hidden="1"/>
    </xf>
    <xf numFmtId="169" fontId="49" fillId="0" borderId="0" xfId="0" applyNumberFormat="1" applyFont="1" applyBorder="1" applyAlignment="1" applyProtection="1">
      <alignment vertical="center"/>
      <protection hidden="1"/>
    </xf>
    <xf numFmtId="3" fontId="34" fillId="30" borderId="0" xfId="0" applyNumberFormat="1" applyFont="1" applyFill="1" applyBorder="1" applyAlignment="1" applyProtection="1">
      <alignment horizontal="left" vertical="center"/>
      <protection hidden="1"/>
    </xf>
    <xf numFmtId="3" fontId="52" fillId="34" borderId="0" xfId="0" applyNumberFormat="1" applyFont="1" applyFill="1" applyBorder="1" applyAlignment="1" applyProtection="1">
      <alignment horizontal="left" vertical="center"/>
      <protection hidden="1"/>
    </xf>
    <xf numFmtId="0" fontId="30" fillId="11" borderId="0" xfId="0" applyFont="1" applyFill="1" applyBorder="1" applyAlignment="1" applyProtection="1">
      <alignment vertical="center"/>
      <protection hidden="1"/>
    </xf>
    <xf numFmtId="3" fontId="52" fillId="11" borderId="0" xfId="0" applyNumberFormat="1" applyFont="1" applyFill="1" applyBorder="1" applyAlignment="1" applyProtection="1">
      <alignment horizontal="center" vertical="center"/>
      <protection hidden="1"/>
    </xf>
    <xf numFmtId="169" fontId="52" fillId="35" borderId="23" xfId="0" applyNumberFormat="1" applyFont="1" applyFill="1" applyBorder="1" applyAlignment="1" applyProtection="1">
      <alignment vertical="center"/>
      <protection locked="0"/>
    </xf>
    <xf numFmtId="169" fontId="34" fillId="0" borderId="0" xfId="0" applyNumberFormat="1" applyFont="1" applyBorder="1" applyAlignment="1" applyProtection="1">
      <alignment vertical="center"/>
      <protection hidden="1"/>
    </xf>
    <xf numFmtId="0" fontId="34" fillId="30" borderId="0" xfId="0" applyFont="1" applyFill="1" applyBorder="1" applyAlignment="1" applyProtection="1">
      <alignment horizontal="left" vertical="center"/>
      <protection hidden="1"/>
    </xf>
    <xf numFmtId="0" fontId="34" fillId="30" borderId="0" xfId="0" applyFont="1" applyFill="1" applyBorder="1" applyAlignment="1" applyProtection="1">
      <alignment horizontal="centerContinuous" vertical="center"/>
      <protection hidden="1"/>
    </xf>
    <xf numFmtId="169" fontId="34" fillId="0" borderId="25" xfId="0" applyNumberFormat="1" applyFont="1" applyFill="1" applyBorder="1" applyAlignment="1" applyProtection="1">
      <alignment vertical="center"/>
      <protection hidden="1"/>
    </xf>
    <xf numFmtId="169" fontId="52" fillId="36" borderId="23" xfId="0" applyNumberFormat="1" applyFont="1" applyFill="1" applyBorder="1" applyAlignment="1" applyProtection="1">
      <alignment vertical="center"/>
      <protection locked="0"/>
    </xf>
    <xf numFmtId="0" fontId="34" fillId="30" borderId="0" xfId="0" applyFont="1" applyFill="1" applyBorder="1" applyAlignment="1" applyProtection="1">
      <alignment horizontal="center" vertical="center"/>
      <protection hidden="1"/>
    </xf>
    <xf numFmtId="3" fontId="30" fillId="10" borderId="0" xfId="0" applyNumberFormat="1" applyFont="1" applyFill="1" applyBorder="1" applyAlignment="1" applyProtection="1">
      <alignment vertical="center"/>
      <protection hidden="1"/>
    </xf>
    <xf numFmtId="3" fontId="34" fillId="30" borderId="0" xfId="0" applyNumberFormat="1" applyFont="1" applyFill="1" applyBorder="1" applyAlignment="1" applyProtection="1">
      <alignment vertical="center"/>
      <protection hidden="1"/>
    </xf>
    <xf numFmtId="3" fontId="34" fillId="0" borderId="22" xfId="45" applyNumberFormat="1" applyFont="1" applyFill="1" applyBorder="1" applyAlignment="1" applyProtection="1">
      <alignment horizontal="center" vertical="center"/>
      <protection hidden="1"/>
    </xf>
    <xf numFmtId="10" fontId="34" fillId="0" borderId="14" xfId="0" applyNumberFormat="1" applyFont="1" applyFill="1" applyBorder="1" applyAlignment="1" applyProtection="1">
      <alignment vertical="center"/>
      <protection hidden="1"/>
    </xf>
    <xf numFmtId="3" fontId="34" fillId="0" borderId="14" xfId="45" applyNumberFormat="1" applyFont="1" applyFill="1" applyBorder="1" applyAlignment="1" applyProtection="1">
      <alignment horizontal="center" vertical="center"/>
      <protection hidden="1"/>
    </xf>
    <xf numFmtId="0" fontId="34" fillId="0" borderId="0" xfId="0" applyFont="1" applyFill="1" applyBorder="1" applyAlignment="1" applyProtection="1">
      <alignment vertical="center"/>
      <protection hidden="1"/>
    </xf>
    <xf numFmtId="169" fontId="34" fillId="0" borderId="0" xfId="0" applyNumberFormat="1" applyFont="1" applyFill="1" applyBorder="1" applyAlignment="1" applyProtection="1">
      <alignment horizontal="center" vertical="center"/>
      <protection hidden="1"/>
    </xf>
    <xf numFmtId="3" fontId="34" fillId="0" borderId="0" xfId="0" applyNumberFormat="1" applyFont="1" applyFill="1" applyBorder="1" applyAlignment="1" applyProtection="1">
      <alignment horizontal="center" vertical="center"/>
      <protection hidden="1"/>
    </xf>
    <xf numFmtId="169" fontId="30" fillId="0" borderId="0" xfId="0" applyNumberFormat="1" applyFont="1" applyFill="1" applyBorder="1" applyAlignment="1" applyProtection="1">
      <alignment vertical="center"/>
      <protection hidden="1"/>
    </xf>
    <xf numFmtId="3" fontId="52" fillId="34" borderId="0" xfId="0" applyNumberFormat="1" applyFont="1" applyFill="1" applyBorder="1" applyAlignment="1" applyProtection="1">
      <alignment vertical="center"/>
      <protection hidden="1"/>
    </xf>
    <xf numFmtId="3" fontId="30" fillId="34" borderId="0" xfId="45" applyNumberFormat="1" applyFont="1" applyFill="1" applyBorder="1" applyAlignment="1" applyProtection="1">
      <alignment horizontal="right" vertical="center"/>
      <protection hidden="1"/>
    </xf>
    <xf numFmtId="223" fontId="34" fillId="0" borderId="14" xfId="0" applyNumberFormat="1" applyFont="1" applyBorder="1" applyAlignment="1" applyProtection="1">
      <alignment vertical="center"/>
      <protection hidden="1"/>
    </xf>
    <xf numFmtId="169" fontId="34" fillId="0" borderId="26" xfId="0" applyNumberFormat="1" applyFont="1" applyFill="1" applyBorder="1" applyAlignment="1" applyProtection="1">
      <alignment vertical="center"/>
      <protection hidden="1"/>
    </xf>
    <xf numFmtId="169" fontId="52" fillId="34" borderId="25" xfId="0" applyNumberFormat="1" applyFont="1" applyFill="1" applyBorder="1" applyAlignment="1" applyProtection="1">
      <alignment vertical="center"/>
      <protection hidden="1"/>
    </xf>
    <xf numFmtId="0" fontId="34" fillId="6" borderId="0" xfId="0" applyFont="1" applyFill="1" applyBorder="1" applyAlignment="1" applyProtection="1">
      <alignment vertical="center"/>
      <protection hidden="1"/>
    </xf>
    <xf numFmtId="169" fontId="34" fillId="0" borderId="27" xfId="0" applyNumberFormat="1" applyFont="1" applyFill="1" applyBorder="1" applyAlignment="1" applyProtection="1">
      <alignment vertical="center"/>
      <protection hidden="1"/>
    </xf>
    <xf numFmtId="0" fontId="18" fillId="33" borderId="0" xfId="0" applyFont="1" applyFill="1" applyBorder="1" applyAlignment="1" applyProtection="1">
      <protection hidden="1"/>
    </xf>
    <xf numFmtId="0" fontId="18" fillId="33" borderId="0" xfId="0" applyFont="1" applyFill="1" applyBorder="1" applyAlignment="1" applyProtection="1">
      <alignment wrapText="1"/>
      <protection hidden="1"/>
    </xf>
    <xf numFmtId="0" fontId="34" fillId="0" borderId="0" xfId="0" applyFont="1" applyFill="1" applyBorder="1" applyProtection="1">
      <protection hidden="1"/>
    </xf>
    <xf numFmtId="0" fontId="42" fillId="33" borderId="0" xfId="0" applyFont="1" applyFill="1" applyBorder="1" applyAlignment="1" applyProtection="1">
      <alignment vertical="center"/>
      <protection hidden="1"/>
    </xf>
    <xf numFmtId="0" fontId="49" fillId="33" borderId="0" xfId="0" applyFont="1" applyFill="1" applyBorder="1" applyAlignment="1" applyProtection="1">
      <alignment vertical="center" wrapText="1"/>
      <protection hidden="1"/>
    </xf>
    <xf numFmtId="0" fontId="30" fillId="33" borderId="0" xfId="0" applyFont="1" applyFill="1" applyBorder="1" applyAlignment="1" applyProtection="1">
      <alignment vertical="top"/>
      <protection hidden="1"/>
    </xf>
    <xf numFmtId="0" fontId="58" fillId="33" borderId="0" xfId="0" applyFont="1" applyFill="1" applyBorder="1" applyAlignment="1" applyProtection="1">
      <alignment wrapText="1"/>
      <protection hidden="1"/>
    </xf>
    <xf numFmtId="0" fontId="12" fillId="0" borderId="0" xfId="0" applyFont="1" applyFill="1" applyBorder="1" applyProtection="1">
      <protection hidden="1"/>
    </xf>
    <xf numFmtId="3" fontId="59" fillId="10" borderId="0" xfId="0" applyNumberFormat="1" applyFont="1" applyFill="1" applyBorder="1" applyAlignment="1" applyProtection="1">
      <alignment horizontal="center" vertical="center"/>
      <protection hidden="1"/>
    </xf>
    <xf numFmtId="3" fontId="59" fillId="10" borderId="0" xfId="0" applyNumberFormat="1" applyFont="1" applyFill="1" applyBorder="1" applyAlignment="1" applyProtection="1">
      <alignment horizontal="center" vertical="center" wrapText="1"/>
      <protection hidden="1"/>
    </xf>
    <xf numFmtId="224" fontId="44" fillId="0" borderId="14" xfId="0" applyNumberFormat="1" applyFont="1" applyFill="1" applyBorder="1" applyAlignment="1" applyProtection="1">
      <alignment vertical="center"/>
      <protection hidden="1"/>
    </xf>
    <xf numFmtId="0" fontId="59" fillId="10" borderId="0" xfId="0" applyFont="1" applyFill="1" applyBorder="1" applyAlignment="1" applyProtection="1">
      <alignment horizontal="center" vertical="center"/>
      <protection hidden="1"/>
    </xf>
    <xf numFmtId="0" fontId="60" fillId="30" borderId="0" xfId="0" quotePrefix="1" applyFont="1" applyFill="1" applyBorder="1" applyAlignment="1" applyProtection="1">
      <alignment vertical="center"/>
      <protection hidden="1"/>
    </xf>
    <xf numFmtId="0" fontId="60" fillId="30" borderId="0" xfId="0" applyFont="1" applyFill="1" applyBorder="1" applyAlignment="1" applyProtection="1">
      <alignment vertical="center"/>
      <protection hidden="1"/>
    </xf>
    <xf numFmtId="169" fontId="60" fillId="0" borderId="14" xfId="0" applyNumberFormat="1" applyFont="1" applyFill="1" applyBorder="1" applyAlignment="1" applyProtection="1">
      <alignment vertical="center"/>
      <protection hidden="1"/>
    </xf>
    <xf numFmtId="169" fontId="60" fillId="0" borderId="25" xfId="0" applyNumberFormat="1" applyFont="1" applyFill="1" applyBorder="1" applyAlignment="1" applyProtection="1">
      <alignment vertical="center"/>
      <protection hidden="1"/>
    </xf>
    <xf numFmtId="0" fontId="30" fillId="34" borderId="0" xfId="0" quotePrefix="1" applyFont="1" applyFill="1" applyBorder="1" applyAlignment="1" applyProtection="1">
      <alignment vertical="center"/>
      <protection hidden="1"/>
    </xf>
    <xf numFmtId="0" fontId="34" fillId="10" borderId="0" xfId="0" applyFont="1" applyFill="1" applyBorder="1" applyAlignment="1" applyProtection="1">
      <alignment vertical="center"/>
      <protection hidden="1"/>
    </xf>
    <xf numFmtId="0" fontId="36" fillId="0" borderId="0" xfId="0" applyFont="1" applyFill="1" applyBorder="1" applyAlignment="1" applyProtection="1">
      <alignment vertical="center"/>
      <protection hidden="1"/>
    </xf>
    <xf numFmtId="0" fontId="61" fillId="10" borderId="0" xfId="0" applyFont="1" applyFill="1" applyBorder="1" applyAlignment="1" applyProtection="1">
      <alignment horizontal="left" vertical="center"/>
      <protection hidden="1"/>
    </xf>
    <xf numFmtId="0" fontId="62" fillId="10" borderId="14" xfId="0" applyFont="1" applyFill="1" applyBorder="1" applyAlignment="1" applyProtection="1">
      <alignment horizontal="center" vertical="center"/>
      <protection hidden="1"/>
    </xf>
    <xf numFmtId="0" fontId="36" fillId="10" borderId="0" xfId="0" applyFont="1" applyFill="1" applyBorder="1" applyAlignment="1" applyProtection="1">
      <alignment vertical="center"/>
      <protection hidden="1"/>
    </xf>
    <xf numFmtId="0" fontId="63" fillId="0" borderId="0" xfId="0" applyFont="1" applyFill="1" applyBorder="1" applyAlignment="1" applyProtection="1">
      <alignment vertical="center"/>
      <protection hidden="1"/>
    </xf>
    <xf numFmtId="0" fontId="30" fillId="0" borderId="0" xfId="0" applyFont="1" applyFill="1" applyBorder="1" applyAlignment="1" applyProtection="1">
      <alignment horizontal="center" vertical="center"/>
      <protection hidden="1"/>
    </xf>
    <xf numFmtId="225" fontId="34" fillId="0" borderId="14" xfId="0" applyNumberFormat="1" applyFont="1" applyFill="1" applyBorder="1" applyAlignment="1" applyProtection="1">
      <alignment vertical="center"/>
      <protection hidden="1"/>
    </xf>
    <xf numFmtId="0" fontId="30" fillId="6" borderId="0" xfId="0" applyFont="1" applyFill="1" applyBorder="1" applyAlignment="1" applyProtection="1">
      <alignment vertical="center"/>
      <protection hidden="1"/>
    </xf>
    <xf numFmtId="0" fontId="30" fillId="6" borderId="0" xfId="0" applyFont="1" applyFill="1" applyBorder="1" applyAlignment="1" applyProtection="1">
      <alignment horizontal="center" vertical="center"/>
      <protection hidden="1"/>
    </xf>
    <xf numFmtId="0" fontId="34" fillId="30" borderId="0" xfId="0" applyFont="1" applyFill="1" applyBorder="1" applyAlignment="1" applyProtection="1">
      <alignment horizontal="right" vertical="center"/>
      <protection hidden="1"/>
    </xf>
    <xf numFmtId="0" fontId="11" fillId="30" borderId="0" xfId="0" applyFont="1" applyFill="1" applyBorder="1" applyAlignment="1" applyProtection="1">
      <alignment horizontal="right" vertical="center"/>
      <protection hidden="1"/>
    </xf>
    <xf numFmtId="0" fontId="30" fillId="33" borderId="0" xfId="0" applyFont="1" applyFill="1" applyBorder="1" applyAlignment="1" applyProtection="1">
      <alignment vertical="center"/>
      <protection hidden="1"/>
    </xf>
    <xf numFmtId="3" fontId="30" fillId="34" borderId="0" xfId="0" applyNumberFormat="1" applyFont="1" applyFill="1" applyBorder="1" applyAlignment="1" applyProtection="1">
      <alignment vertical="center"/>
      <protection hidden="1"/>
    </xf>
    <xf numFmtId="1" fontId="59" fillId="10" borderId="0" xfId="0" applyNumberFormat="1" applyFont="1" applyFill="1" applyBorder="1" applyAlignment="1" applyProtection="1">
      <alignment horizontal="center" vertical="center" wrapText="1"/>
      <protection hidden="1"/>
    </xf>
    <xf numFmtId="0" fontId="36" fillId="10" borderId="0" xfId="0" applyFont="1" applyFill="1" applyBorder="1" applyAlignment="1" applyProtection="1">
      <alignment horizontal="center" vertical="center" wrapText="1"/>
      <protection hidden="1"/>
    </xf>
    <xf numFmtId="0" fontId="0" fillId="32" borderId="0" xfId="0" applyFill="1"/>
    <xf numFmtId="0" fontId="30" fillId="10" borderId="0" xfId="0" applyFont="1" applyFill="1" applyBorder="1" applyProtection="1">
      <protection hidden="1"/>
    </xf>
    <xf numFmtId="0" fontId="34" fillId="0" borderId="0" xfId="0" applyFont="1" applyBorder="1" applyProtection="1">
      <protection locked="0"/>
    </xf>
    <xf numFmtId="0" fontId="34" fillId="30" borderId="0" xfId="0" applyFont="1" applyFill="1" applyBorder="1" applyAlignment="1" applyProtection="1">
      <protection hidden="1"/>
    </xf>
    <xf numFmtId="3" fontId="34" fillId="0" borderId="14" xfId="45" applyNumberFormat="1" applyFont="1" applyFill="1" applyBorder="1" applyAlignment="1" applyProtection="1">
      <alignment horizontal="center"/>
      <protection hidden="1"/>
    </xf>
    <xf numFmtId="3" fontId="52" fillId="10" borderId="0" xfId="0" applyNumberFormat="1" applyFont="1" applyFill="1" applyBorder="1" applyAlignment="1" applyProtection="1">
      <protection hidden="1"/>
    </xf>
    <xf numFmtId="3" fontId="34" fillId="0" borderId="14" xfId="0" applyNumberFormat="1" applyFont="1" applyFill="1" applyBorder="1" applyAlignment="1" applyProtection="1">
      <alignment horizontal="centerContinuous"/>
      <protection hidden="1"/>
    </xf>
    <xf numFmtId="3" fontId="30" fillId="30" borderId="0" xfId="0" applyNumberFormat="1" applyFont="1" applyFill="1" applyBorder="1" applyAlignment="1" applyProtection="1">
      <protection hidden="1"/>
    </xf>
    <xf numFmtId="4" fontId="34" fillId="0" borderId="14" xfId="0" applyNumberFormat="1" applyFont="1" applyFill="1" applyBorder="1" applyAlignment="1" applyProtection="1">
      <alignment horizontal="center"/>
      <protection hidden="1"/>
    </xf>
    <xf numFmtId="189" fontId="34" fillId="0" borderId="14" xfId="0" applyNumberFormat="1" applyFont="1" applyFill="1" applyBorder="1" applyProtection="1">
      <protection hidden="1"/>
    </xf>
    <xf numFmtId="3" fontId="34" fillId="30" borderId="0" xfId="0" applyNumberFormat="1" applyFont="1" applyFill="1" applyBorder="1" applyAlignment="1" applyProtection="1">
      <alignment vertical="justify"/>
      <protection hidden="1"/>
    </xf>
    <xf numFmtId="0" fontId="34" fillId="10" borderId="0" xfId="0" applyFont="1" applyFill="1" applyBorder="1" applyProtection="1">
      <protection hidden="1"/>
    </xf>
    <xf numFmtId="0" fontId="30" fillId="10" borderId="0" xfId="0" applyFont="1" applyFill="1" applyBorder="1" applyAlignment="1" applyProtection="1">
      <alignment horizontal="center"/>
      <protection hidden="1"/>
    </xf>
    <xf numFmtId="4" fontId="30" fillId="30" borderId="0" xfId="0" applyNumberFormat="1" applyFont="1" applyFill="1" applyBorder="1" applyAlignment="1" applyProtection="1">
      <protection hidden="1"/>
    </xf>
    <xf numFmtId="190" fontId="30" fillId="0" borderId="14" xfId="0" applyNumberFormat="1" applyFont="1" applyFill="1" applyBorder="1" applyAlignment="1" applyProtection="1">
      <alignment horizontal="center"/>
      <protection hidden="1"/>
    </xf>
    <xf numFmtId="194" fontId="30" fillId="0" borderId="14" xfId="0" applyNumberFormat="1" applyFont="1" applyFill="1" applyBorder="1" applyProtection="1">
      <protection hidden="1"/>
    </xf>
    <xf numFmtId="1" fontId="30" fillId="0" borderId="14" xfId="0" applyNumberFormat="1" applyFont="1" applyFill="1" applyBorder="1" applyAlignment="1" applyProtection="1">
      <alignment horizontal="center"/>
      <protection hidden="1"/>
    </xf>
    <xf numFmtId="194" fontId="34" fillId="0" borderId="14" xfId="0" applyNumberFormat="1" applyFont="1" applyFill="1" applyBorder="1" applyAlignment="1" applyProtection="1">
      <alignment horizontal="centerContinuous"/>
      <protection hidden="1"/>
    </xf>
    <xf numFmtId="3" fontId="30" fillId="10" borderId="0" xfId="0" applyNumberFormat="1" applyFont="1" applyFill="1" applyBorder="1" applyAlignment="1" applyProtection="1">
      <protection hidden="1"/>
    </xf>
    <xf numFmtId="3" fontId="30" fillId="10" borderId="0" xfId="0" applyNumberFormat="1" applyFont="1" applyFill="1" applyBorder="1" applyAlignment="1" applyProtection="1">
      <alignment horizontal="center"/>
      <protection hidden="1"/>
    </xf>
    <xf numFmtId="3" fontId="34" fillId="0" borderId="0" xfId="0" applyNumberFormat="1" applyFont="1" applyFill="1" applyBorder="1" applyProtection="1">
      <protection hidden="1"/>
    </xf>
    <xf numFmtId="3" fontId="34" fillId="30" borderId="0" xfId="0" applyNumberFormat="1" applyFont="1" applyFill="1" applyBorder="1" applyProtection="1">
      <protection hidden="1"/>
    </xf>
    <xf numFmtId="195" fontId="34" fillId="0" borderId="14" xfId="0" applyNumberFormat="1" applyFont="1" applyFill="1" applyBorder="1" applyAlignment="1" applyProtection="1">
      <alignment horizontal="centerContinuous"/>
      <protection hidden="1"/>
    </xf>
    <xf numFmtId="196" fontId="34" fillId="0" borderId="25" xfId="0" applyNumberFormat="1" applyFont="1" applyFill="1" applyBorder="1" applyAlignment="1" applyProtection="1">
      <alignment horizontal="centerContinuous"/>
      <protection hidden="1"/>
    </xf>
    <xf numFmtId="0" fontId="30" fillId="10" borderId="0" xfId="0" applyFont="1" applyFill="1" applyBorder="1" applyAlignment="1" applyProtection="1">
      <protection hidden="1"/>
    </xf>
    <xf numFmtId="3" fontId="34" fillId="30" borderId="0" xfId="0" applyNumberFormat="1" applyFont="1" applyFill="1" applyBorder="1" applyAlignment="1" applyProtection="1">
      <protection hidden="1"/>
    </xf>
    <xf numFmtId="184" fontId="34" fillId="0" borderId="14" xfId="56" applyNumberFormat="1" applyFont="1" applyFill="1" applyBorder="1" applyAlignment="1" applyProtection="1">
      <alignment horizontal="centerContinuous"/>
      <protection hidden="1"/>
    </xf>
    <xf numFmtId="187" fontId="30" fillId="0" borderId="14" xfId="0" applyNumberFormat="1" applyFont="1" applyFill="1" applyBorder="1" applyProtection="1">
      <protection hidden="1"/>
    </xf>
    <xf numFmtId="194" fontId="34" fillId="0" borderId="14" xfId="0" applyNumberFormat="1" applyFont="1" applyFill="1" applyBorder="1" applyAlignment="1" applyProtection="1">
      <protection hidden="1"/>
    </xf>
    <xf numFmtId="3" fontId="34" fillId="0" borderId="0" xfId="0" applyNumberFormat="1" applyFont="1" applyFill="1" applyBorder="1" applyAlignment="1" applyProtection="1">
      <alignment horizontal="right"/>
      <protection hidden="1"/>
    </xf>
    <xf numFmtId="188" fontId="34" fillId="0" borderId="14" xfId="0" applyNumberFormat="1" applyFont="1" applyFill="1" applyBorder="1" applyProtection="1">
      <protection hidden="1"/>
    </xf>
    <xf numFmtId="194" fontId="34" fillId="0" borderId="28" xfId="0" applyNumberFormat="1" applyFont="1" applyFill="1" applyBorder="1" applyAlignment="1" applyProtection="1">
      <protection hidden="1"/>
    </xf>
    <xf numFmtId="0" fontId="34" fillId="0" borderId="14" xfId="0" applyFont="1" applyFill="1" applyBorder="1" applyProtection="1">
      <protection hidden="1"/>
    </xf>
    <xf numFmtId="194" fontId="34" fillId="0" borderId="14" xfId="0" applyNumberFormat="1" applyFont="1" applyFill="1" applyBorder="1" applyProtection="1">
      <protection hidden="1"/>
    </xf>
    <xf numFmtId="194" fontId="49" fillId="0" borderId="0" xfId="0" applyNumberFormat="1" applyFont="1" applyBorder="1" applyProtection="1">
      <protection hidden="1"/>
    </xf>
    <xf numFmtId="3" fontId="34" fillId="0" borderId="14" xfId="0" applyNumberFormat="1" applyFont="1" applyFill="1" applyBorder="1" applyProtection="1">
      <protection hidden="1"/>
    </xf>
    <xf numFmtId="187" fontId="30" fillId="0" borderId="28" xfId="0" applyNumberFormat="1" applyFont="1" applyFill="1" applyBorder="1" applyProtection="1">
      <protection hidden="1"/>
    </xf>
    <xf numFmtId="0" fontId="30" fillId="0" borderId="14" xfId="0" applyFont="1" applyFill="1" applyBorder="1" applyProtection="1">
      <protection hidden="1"/>
    </xf>
    <xf numFmtId="187" fontId="34" fillId="0" borderId="14" xfId="0" applyNumberFormat="1" applyFont="1" applyFill="1" applyBorder="1" applyProtection="1">
      <protection hidden="1"/>
    </xf>
    <xf numFmtId="3" fontId="52" fillId="0" borderId="14" xfId="0" applyNumberFormat="1" applyFont="1" applyFill="1" applyBorder="1" applyProtection="1">
      <protection hidden="1"/>
    </xf>
    <xf numFmtId="170" fontId="34" fillId="0" borderId="14" xfId="0" applyNumberFormat="1" applyFont="1" applyFill="1" applyBorder="1" applyProtection="1">
      <protection hidden="1"/>
    </xf>
    <xf numFmtId="3" fontId="34" fillId="0" borderId="0" xfId="0" applyNumberFormat="1" applyFont="1" applyFill="1" applyBorder="1" applyAlignment="1" applyProtection="1">
      <alignment horizontal="center"/>
      <protection hidden="1"/>
    </xf>
    <xf numFmtId="3" fontId="34" fillId="0" borderId="0" xfId="0" applyNumberFormat="1" applyFont="1" applyFill="1" applyBorder="1" applyAlignment="1" applyProtection="1">
      <protection hidden="1"/>
    </xf>
    <xf numFmtId="3" fontId="34" fillId="10" borderId="0" xfId="0" applyNumberFormat="1" applyFont="1" applyFill="1" applyBorder="1" applyProtection="1">
      <protection hidden="1"/>
    </xf>
    <xf numFmtId="3" fontId="30" fillId="10" borderId="0" xfId="0" applyNumberFormat="1" applyFont="1" applyFill="1" applyBorder="1" applyProtection="1">
      <protection hidden="1"/>
    </xf>
    <xf numFmtId="3" fontId="30" fillId="10" borderId="0" xfId="0" applyNumberFormat="1" applyFont="1" applyFill="1" applyBorder="1" applyAlignment="1" applyProtection="1">
      <alignment horizontal="centerContinuous"/>
      <protection hidden="1"/>
    </xf>
    <xf numFmtId="169" fontId="34" fillId="16" borderId="23" xfId="0" applyNumberFormat="1" applyFont="1" applyFill="1" applyBorder="1" applyProtection="1">
      <protection locked="0"/>
    </xf>
    <xf numFmtId="3" fontId="34" fillId="30" borderId="0" xfId="0" applyNumberFormat="1" applyFont="1" applyFill="1" applyBorder="1" applyAlignment="1" applyProtection="1">
      <alignment horizontal="left"/>
      <protection hidden="1"/>
    </xf>
    <xf numFmtId="3" fontId="30" fillId="34" borderId="0" xfId="0" applyNumberFormat="1" applyFont="1" applyFill="1" applyBorder="1" applyProtection="1">
      <protection hidden="1"/>
    </xf>
    <xf numFmtId="169" fontId="34" fillId="29" borderId="23" xfId="0" applyNumberFormat="1" applyFont="1" applyFill="1" applyBorder="1" applyProtection="1">
      <protection locked="0"/>
    </xf>
    <xf numFmtId="3" fontId="30" fillId="0" borderId="0" xfId="0" applyNumberFormat="1" applyFont="1" applyFill="1" applyBorder="1" applyProtection="1">
      <protection hidden="1"/>
    </xf>
    <xf numFmtId="3" fontId="52" fillId="34" borderId="0" xfId="0" applyNumberFormat="1" applyFont="1" applyFill="1" applyBorder="1" applyProtection="1">
      <protection hidden="1"/>
    </xf>
    <xf numFmtId="169" fontId="52" fillId="34" borderId="0" xfId="0" applyNumberFormat="1" applyFont="1" applyFill="1" applyBorder="1" applyProtection="1">
      <protection hidden="1"/>
    </xf>
    <xf numFmtId="4" fontId="34" fillId="0" borderId="22" xfId="0" applyNumberFormat="1" applyFont="1" applyFill="1" applyBorder="1" applyProtection="1">
      <protection hidden="1"/>
    </xf>
    <xf numFmtId="169" fontId="30" fillId="16" borderId="23" xfId="0" applyNumberFormat="1" applyFont="1" applyFill="1" applyBorder="1" applyProtection="1">
      <protection locked="0"/>
    </xf>
    <xf numFmtId="192" fontId="34" fillId="0" borderId="22" xfId="0" applyNumberFormat="1" applyFont="1" applyFill="1" applyBorder="1" applyProtection="1">
      <protection hidden="1"/>
    </xf>
    <xf numFmtId="4" fontId="34" fillId="0" borderId="14" xfId="0" applyNumberFormat="1" applyFont="1" applyFill="1" applyBorder="1" applyProtection="1">
      <protection hidden="1"/>
    </xf>
    <xf numFmtId="199" fontId="34" fillId="0" borderId="14" xfId="0" applyNumberFormat="1" applyFont="1" applyFill="1" applyBorder="1" applyProtection="1">
      <protection hidden="1"/>
    </xf>
    <xf numFmtId="3" fontId="30" fillId="6" borderId="0" xfId="0" applyNumberFormat="1" applyFont="1" applyFill="1" applyBorder="1" applyAlignment="1" applyProtection="1">
      <alignment vertical="center"/>
      <protection hidden="1"/>
    </xf>
    <xf numFmtId="3" fontId="30" fillId="0" borderId="14" xfId="0" applyNumberFormat="1" applyFont="1" applyFill="1" applyBorder="1" applyAlignment="1" applyProtection="1">
      <alignment horizontal="center"/>
      <protection hidden="1"/>
    </xf>
    <xf numFmtId="3" fontId="52" fillId="0" borderId="0" xfId="0" applyNumberFormat="1" applyFont="1" applyFill="1" applyBorder="1" applyProtection="1">
      <protection hidden="1"/>
    </xf>
    <xf numFmtId="3" fontId="34" fillId="10" borderId="0" xfId="0" applyNumberFormat="1" applyFont="1" applyFill="1" applyBorder="1" applyAlignment="1" applyProtection="1">
      <alignment horizontal="center"/>
      <protection hidden="1"/>
    </xf>
    <xf numFmtId="202" fontId="34" fillId="0" borderId="14" xfId="0" applyNumberFormat="1" applyFont="1" applyFill="1" applyBorder="1" applyProtection="1">
      <protection hidden="1"/>
    </xf>
    <xf numFmtId="3" fontId="30" fillId="0" borderId="14" xfId="0" applyNumberFormat="1" applyFont="1" applyFill="1" applyBorder="1" applyProtection="1">
      <protection hidden="1"/>
    </xf>
    <xf numFmtId="200" fontId="34" fillId="0" borderId="22" xfId="0" applyNumberFormat="1" applyFont="1" applyFill="1" applyBorder="1" applyProtection="1">
      <protection hidden="1"/>
    </xf>
    <xf numFmtId="165" fontId="34" fillId="30" borderId="0" xfId="0" applyNumberFormat="1" applyFont="1" applyFill="1" applyBorder="1" applyAlignment="1" applyProtection="1">
      <protection hidden="1"/>
    </xf>
    <xf numFmtId="0" fontId="34" fillId="30" borderId="0" xfId="0" applyFont="1" applyFill="1" applyBorder="1" applyProtection="1">
      <protection hidden="1"/>
    </xf>
    <xf numFmtId="3" fontId="34" fillId="34" borderId="0" xfId="0" applyNumberFormat="1" applyFont="1" applyFill="1" applyBorder="1" applyProtection="1">
      <protection hidden="1"/>
    </xf>
    <xf numFmtId="0" fontId="7" fillId="33" borderId="0" xfId="0" applyFont="1" applyFill="1" applyAlignment="1" applyProtection="1">
      <alignment horizontal="left" vertical="center"/>
      <protection hidden="1"/>
    </xf>
    <xf numFmtId="0" fontId="64" fillId="33" borderId="0" xfId="0" applyFont="1" applyFill="1" applyAlignment="1" applyProtection="1">
      <alignment horizontal="left" vertical="center"/>
      <protection hidden="1"/>
    </xf>
    <xf numFmtId="0" fontId="65" fillId="0" borderId="0" xfId="0" applyFont="1" applyAlignment="1" applyProtection="1">
      <alignment vertical="center"/>
      <protection hidden="1"/>
    </xf>
    <xf numFmtId="0" fontId="28" fillId="0" borderId="0" xfId="0" applyFont="1" applyAlignment="1" applyProtection="1">
      <alignment vertical="center"/>
      <protection hidden="1"/>
    </xf>
    <xf numFmtId="0" fontId="32" fillId="10" borderId="0" xfId="0" applyFont="1" applyFill="1" applyBorder="1" applyAlignment="1" applyProtection="1">
      <alignment vertical="center"/>
      <protection hidden="1"/>
    </xf>
    <xf numFmtId="0" fontId="28" fillId="10" borderId="0" xfId="0" applyFont="1" applyFill="1" applyBorder="1" applyAlignment="1" applyProtection="1">
      <alignment vertical="center"/>
      <protection hidden="1"/>
    </xf>
    <xf numFmtId="1" fontId="34" fillId="37" borderId="14" xfId="0" applyNumberFormat="1" applyFont="1" applyFill="1" applyBorder="1" applyAlignment="1" applyProtection="1">
      <alignment vertical="center"/>
      <protection hidden="1"/>
    </xf>
    <xf numFmtId="0" fontId="34" fillId="37" borderId="0" xfId="0" applyFont="1" applyFill="1" applyBorder="1" applyAlignment="1" applyProtection="1">
      <alignment vertical="center"/>
      <protection hidden="1"/>
    </xf>
    <xf numFmtId="246" fontId="34" fillId="0" borderId="14" xfId="0" applyNumberFormat="1" applyFont="1" applyFill="1" applyBorder="1" applyAlignment="1" applyProtection="1">
      <alignment vertical="center"/>
      <protection hidden="1"/>
    </xf>
    <xf numFmtId="249" fontId="36" fillId="30" borderId="0" xfId="0" applyNumberFormat="1" applyFont="1" applyFill="1" applyBorder="1" applyAlignment="1" applyProtection="1">
      <alignment horizontal="left" vertical="center"/>
      <protection hidden="1"/>
    </xf>
    <xf numFmtId="250" fontId="36" fillId="0" borderId="14" xfId="0" applyNumberFormat="1" applyFont="1" applyFill="1" applyBorder="1" applyAlignment="1" applyProtection="1">
      <alignment horizontal="center" vertical="center"/>
      <protection hidden="1"/>
    </xf>
    <xf numFmtId="1" fontId="34" fillId="37" borderId="25" xfId="0" applyNumberFormat="1" applyFont="1" applyFill="1" applyBorder="1" applyAlignment="1" applyProtection="1">
      <alignment vertical="center"/>
      <protection hidden="1"/>
    </xf>
    <xf numFmtId="184" fontId="34" fillId="0" borderId="14" xfId="0" applyNumberFormat="1" applyFont="1" applyFill="1" applyBorder="1" applyAlignment="1" applyProtection="1">
      <alignment vertical="center"/>
      <protection hidden="1"/>
    </xf>
    <xf numFmtId="3" fontId="34" fillId="29" borderId="23" xfId="0" applyNumberFormat="1" applyFont="1" applyFill="1" applyBorder="1" applyAlignment="1" applyProtection="1">
      <alignment vertical="center"/>
      <protection locked="0"/>
    </xf>
    <xf numFmtId="0" fontId="30" fillId="37" borderId="0" xfId="0" applyFont="1" applyFill="1" applyBorder="1" applyAlignment="1" applyProtection="1">
      <alignment vertical="center"/>
      <protection hidden="1"/>
    </xf>
    <xf numFmtId="3" fontId="34" fillId="0" borderId="26" xfId="0" applyNumberFormat="1" applyFont="1" applyFill="1" applyBorder="1" applyAlignment="1" applyProtection="1">
      <alignment vertical="center"/>
      <protection hidden="1"/>
    </xf>
    <xf numFmtId="0" fontId="34" fillId="0" borderId="14" xfId="0" applyFont="1" applyFill="1" applyBorder="1" applyAlignment="1" applyProtection="1">
      <alignment vertical="center"/>
      <protection hidden="1"/>
    </xf>
    <xf numFmtId="0" fontId="30" fillId="10" borderId="0" xfId="0" applyFont="1" applyFill="1" applyBorder="1" applyAlignment="1" applyProtection="1">
      <alignment horizontal="centerContinuous" vertical="center"/>
      <protection hidden="1"/>
    </xf>
    <xf numFmtId="0" fontId="34" fillId="10" borderId="0" xfId="0" applyFont="1" applyFill="1" applyBorder="1" applyAlignment="1" applyProtection="1">
      <alignment horizontal="center" vertical="center"/>
      <protection hidden="1"/>
    </xf>
    <xf numFmtId="206" fontId="34" fillId="0" borderId="14" xfId="0" applyNumberFormat="1" applyFont="1" applyFill="1" applyBorder="1" applyAlignment="1" applyProtection="1">
      <alignment vertical="center"/>
      <protection hidden="1"/>
    </xf>
    <xf numFmtId="206" fontId="34" fillId="0" borderId="14" xfId="0" applyNumberFormat="1" applyFont="1" applyFill="1" applyBorder="1" applyAlignment="1" applyProtection="1">
      <alignment horizontal="center" vertical="center"/>
      <protection hidden="1"/>
    </xf>
    <xf numFmtId="0" fontId="34" fillId="0" borderId="22" xfId="0" applyFont="1" applyFill="1" applyBorder="1" applyAlignment="1" applyProtection="1">
      <alignment vertical="center"/>
      <protection hidden="1"/>
    </xf>
    <xf numFmtId="0" fontId="34" fillId="0" borderId="28" xfId="0" applyFont="1" applyFill="1" applyBorder="1" applyAlignment="1" applyProtection="1">
      <alignment vertical="center"/>
      <protection hidden="1"/>
    </xf>
    <xf numFmtId="0" fontId="34" fillId="0" borderId="14" xfId="0" applyFont="1" applyFill="1" applyBorder="1" applyAlignment="1" applyProtection="1">
      <alignment horizontal="centerContinuous" vertical="center"/>
      <protection hidden="1"/>
    </xf>
    <xf numFmtId="0" fontId="52" fillId="10" borderId="0" xfId="0" applyFont="1" applyFill="1" applyBorder="1" applyAlignment="1" applyProtection="1">
      <alignment horizontal="centerContinuous" vertical="center"/>
      <protection hidden="1"/>
    </xf>
    <xf numFmtId="0" fontId="66" fillId="30" borderId="0" xfId="0" applyFont="1" applyFill="1" applyBorder="1" applyAlignment="1" applyProtection="1">
      <alignment vertical="center"/>
      <protection hidden="1"/>
    </xf>
    <xf numFmtId="0" fontId="34" fillId="10" borderId="0" xfId="0" applyFont="1" applyFill="1" applyBorder="1" applyAlignment="1" applyProtection="1">
      <alignment horizontal="centerContinuous" vertical="center"/>
      <protection hidden="1"/>
    </xf>
    <xf numFmtId="170" fontId="67" fillId="0" borderId="14" xfId="0" applyNumberFormat="1" applyFont="1" applyFill="1" applyBorder="1" applyAlignment="1" applyProtection="1">
      <alignment vertical="center"/>
      <protection hidden="1"/>
    </xf>
    <xf numFmtId="170" fontId="68" fillId="0" borderId="14" xfId="0" applyNumberFormat="1" applyFont="1" applyFill="1" applyBorder="1" applyAlignment="1" applyProtection="1">
      <alignment vertical="center"/>
      <protection hidden="1"/>
    </xf>
    <xf numFmtId="0" fontId="28" fillId="0" borderId="14" xfId="0" applyFont="1" applyFill="1" applyBorder="1" applyAlignment="1" applyProtection="1">
      <alignment horizontal="center" vertical="center"/>
      <protection hidden="1"/>
    </xf>
    <xf numFmtId="9" fontId="34" fillId="0" borderId="14" xfId="0" applyNumberFormat="1" applyFont="1" applyFill="1" applyBorder="1" applyAlignment="1" applyProtection="1">
      <alignment vertical="center"/>
      <protection hidden="1"/>
    </xf>
    <xf numFmtId="0" fontId="28" fillId="0" borderId="0" xfId="0" applyFont="1" applyBorder="1" applyAlignment="1" applyProtection="1">
      <alignment vertical="center"/>
      <protection hidden="1"/>
    </xf>
    <xf numFmtId="206" fontId="36" fillId="0" borderId="0" xfId="0" applyNumberFormat="1" applyFont="1" applyBorder="1" applyAlignment="1" applyProtection="1">
      <alignment horizontal="center" vertical="center"/>
      <protection hidden="1"/>
    </xf>
    <xf numFmtId="1" fontId="30" fillId="10" borderId="0" xfId="0" applyNumberFormat="1" applyFont="1" applyFill="1" applyBorder="1" applyAlignment="1" applyProtection="1">
      <alignment horizontal="center" vertical="center"/>
      <protection hidden="1"/>
    </xf>
    <xf numFmtId="0" fontId="28" fillId="10" borderId="0" xfId="0" applyFont="1" applyFill="1" applyBorder="1" applyAlignment="1" applyProtection="1">
      <alignment horizontal="center" vertical="center"/>
      <protection hidden="1"/>
    </xf>
    <xf numFmtId="0" fontId="28" fillId="30" borderId="0" xfId="0" applyFont="1" applyFill="1" applyBorder="1" applyAlignment="1" applyProtection="1">
      <alignment vertical="center"/>
      <protection hidden="1"/>
    </xf>
    <xf numFmtId="245" fontId="34" fillId="0" borderId="14" xfId="0" applyNumberFormat="1" applyFont="1" applyFill="1" applyBorder="1" applyAlignment="1" applyProtection="1">
      <alignment horizontal="center" vertical="center"/>
      <protection hidden="1"/>
    </xf>
    <xf numFmtId="248" fontId="34" fillId="16" borderId="23" xfId="0" applyNumberFormat="1" applyFont="1" applyFill="1" applyBorder="1" applyAlignment="1" applyProtection="1">
      <alignment horizontal="center" vertical="center"/>
      <protection locked="0"/>
    </xf>
    <xf numFmtId="4" fontId="67" fillId="0" borderId="14" xfId="0" applyNumberFormat="1" applyFont="1" applyFill="1" applyBorder="1" applyAlignment="1" applyProtection="1">
      <alignment horizontal="center" vertical="center"/>
      <protection hidden="1"/>
    </xf>
    <xf numFmtId="4" fontId="67" fillId="0" borderId="22" xfId="0" applyNumberFormat="1" applyFont="1" applyFill="1" applyBorder="1" applyAlignment="1" applyProtection="1">
      <alignment horizontal="center" vertical="center"/>
      <protection hidden="1"/>
    </xf>
    <xf numFmtId="4" fontId="34" fillId="16" borderId="23" xfId="0" applyNumberFormat="1" applyFont="1" applyFill="1" applyBorder="1" applyAlignment="1" applyProtection="1">
      <alignment horizontal="center" vertical="center"/>
      <protection locked="0"/>
    </xf>
    <xf numFmtId="4" fontId="67" fillId="0" borderId="28" xfId="0" applyNumberFormat="1" applyFont="1" applyFill="1" applyBorder="1" applyAlignment="1" applyProtection="1">
      <alignment horizontal="center" vertical="center"/>
      <protection hidden="1"/>
    </xf>
    <xf numFmtId="245" fontId="34" fillId="0" borderId="29" xfId="0" applyNumberFormat="1" applyFont="1" applyFill="1" applyBorder="1" applyAlignment="1" applyProtection="1">
      <alignment horizontal="center" vertical="center"/>
      <protection hidden="1"/>
    </xf>
    <xf numFmtId="4" fontId="67" fillId="34" borderId="14" xfId="0" applyNumberFormat="1" applyFont="1" applyFill="1" applyBorder="1" applyAlignment="1" applyProtection="1">
      <alignment horizontal="center" vertical="center"/>
      <protection hidden="1"/>
    </xf>
    <xf numFmtId="4" fontId="67" fillId="34" borderId="22" xfId="0" applyNumberFormat="1" applyFont="1" applyFill="1" applyBorder="1" applyAlignment="1" applyProtection="1">
      <alignment horizontal="center" vertical="center"/>
      <protection hidden="1"/>
    </xf>
    <xf numFmtId="4" fontId="34" fillId="29" borderId="23" xfId="0" applyNumberFormat="1" applyFont="1" applyFill="1" applyBorder="1" applyAlignment="1" applyProtection="1">
      <alignment horizontal="center" vertical="center"/>
      <protection locked="0"/>
    </xf>
    <xf numFmtId="4" fontId="67" fillId="34" borderId="28" xfId="0" applyNumberFormat="1" applyFont="1" applyFill="1" applyBorder="1" applyAlignment="1" applyProtection="1">
      <alignment horizontal="center" vertical="center"/>
      <protection hidden="1"/>
    </xf>
    <xf numFmtId="0" fontId="28" fillId="0" borderId="0" xfId="0" applyFont="1" applyFill="1" applyBorder="1" applyAlignment="1" applyProtection="1">
      <alignment vertical="center"/>
      <protection hidden="1"/>
    </xf>
    <xf numFmtId="170" fontId="34" fillId="0" borderId="28" xfId="0" applyNumberFormat="1" applyFont="1" applyFill="1" applyBorder="1" applyAlignment="1" applyProtection="1">
      <alignment horizontal="center" vertical="center"/>
      <protection hidden="1"/>
    </xf>
    <xf numFmtId="245" fontId="34" fillId="0" borderId="27" xfId="0" applyNumberFormat="1" applyFont="1" applyFill="1" applyBorder="1" applyAlignment="1" applyProtection="1">
      <alignment horizontal="center" vertical="center"/>
      <protection hidden="1"/>
    </xf>
    <xf numFmtId="170" fontId="34" fillId="0" borderId="14" xfId="0" applyNumberFormat="1" applyFont="1" applyFill="1" applyBorder="1" applyAlignment="1" applyProtection="1">
      <alignment horizontal="center" vertical="center"/>
      <protection hidden="1"/>
    </xf>
    <xf numFmtId="0" fontId="34" fillId="0" borderId="14" xfId="0" applyFont="1" applyFill="1" applyBorder="1" applyAlignment="1" applyProtection="1">
      <alignment horizontal="center" vertical="center"/>
      <protection hidden="1"/>
    </xf>
    <xf numFmtId="0" fontId="34" fillId="0" borderId="25" xfId="0" applyFont="1" applyFill="1" applyBorder="1" applyAlignment="1" applyProtection="1">
      <alignment horizontal="center" vertical="center"/>
      <protection hidden="1"/>
    </xf>
    <xf numFmtId="170" fontId="34" fillId="0" borderId="25" xfId="0" applyNumberFormat="1" applyFont="1" applyFill="1" applyBorder="1" applyAlignment="1" applyProtection="1">
      <alignment horizontal="center" vertical="center"/>
      <protection hidden="1"/>
    </xf>
    <xf numFmtId="0" fontId="34" fillId="0" borderId="27" xfId="0" applyFont="1" applyFill="1" applyBorder="1" applyAlignment="1" applyProtection="1">
      <alignment horizontal="center" vertical="center"/>
      <protection hidden="1"/>
    </xf>
    <xf numFmtId="170" fontId="34" fillId="0" borderId="27" xfId="0" applyNumberFormat="1" applyFont="1" applyFill="1" applyBorder="1" applyAlignment="1" applyProtection="1">
      <alignment horizontal="center" vertical="center"/>
      <protection hidden="1"/>
    </xf>
    <xf numFmtId="2" fontId="34" fillId="37" borderId="0" xfId="0" applyNumberFormat="1" applyFont="1" applyFill="1" applyBorder="1" applyAlignment="1" applyProtection="1">
      <alignment horizontal="center" vertical="center"/>
      <protection hidden="1"/>
    </xf>
    <xf numFmtId="4" fontId="67" fillId="6" borderId="14" xfId="0" applyNumberFormat="1" applyFont="1" applyFill="1" applyBorder="1" applyAlignment="1" applyProtection="1">
      <alignment horizontal="center" vertical="center"/>
      <protection hidden="1"/>
    </xf>
    <xf numFmtId="4" fontId="67" fillId="6" borderId="22" xfId="0" applyNumberFormat="1" applyFont="1" applyFill="1" applyBorder="1" applyAlignment="1" applyProtection="1">
      <alignment horizontal="center" vertical="center"/>
      <protection hidden="1"/>
    </xf>
    <xf numFmtId="4" fontId="34" fillId="36" borderId="23" xfId="0" applyNumberFormat="1" applyFont="1" applyFill="1" applyBorder="1" applyAlignment="1" applyProtection="1">
      <alignment horizontal="center" vertical="center"/>
      <protection locked="0"/>
    </xf>
    <xf numFmtId="4" fontId="67" fillId="6" borderId="28" xfId="0" applyNumberFormat="1" applyFont="1" applyFill="1" applyBorder="1" applyAlignment="1" applyProtection="1">
      <alignment horizontal="center" vertical="center"/>
      <protection hidden="1"/>
    </xf>
    <xf numFmtId="201" fontId="36" fillId="0" borderId="14" xfId="0" applyNumberFormat="1" applyFont="1" applyFill="1" applyBorder="1" applyAlignment="1" applyProtection="1">
      <alignment horizontal="center" vertical="center"/>
      <protection hidden="1"/>
    </xf>
    <xf numFmtId="200" fontId="34" fillId="0" borderId="28" xfId="0" applyNumberFormat="1" applyFont="1" applyFill="1" applyBorder="1" applyAlignment="1" applyProtection="1">
      <alignment horizontal="center" vertical="center"/>
      <protection hidden="1"/>
    </xf>
    <xf numFmtId="0" fontId="30" fillId="30" borderId="0" xfId="0" applyFont="1" applyFill="1" applyBorder="1" applyAlignment="1" applyProtection="1">
      <alignment horizontal="center" vertical="center"/>
      <protection hidden="1"/>
    </xf>
    <xf numFmtId="247" fontId="34" fillId="0" borderId="14" xfId="0" applyNumberFormat="1" applyFont="1" applyFill="1" applyBorder="1" applyAlignment="1" applyProtection="1">
      <alignment horizontal="center" vertical="center"/>
      <protection hidden="1"/>
    </xf>
    <xf numFmtId="1" fontId="67" fillId="0" borderId="0" xfId="0" applyNumberFormat="1" applyFont="1" applyFill="1" applyBorder="1" applyAlignment="1" applyProtection="1">
      <alignment horizontal="center" vertical="center"/>
      <protection hidden="1"/>
    </xf>
    <xf numFmtId="1" fontId="34" fillId="0" borderId="0" xfId="0" applyNumberFormat="1" applyFont="1" applyFill="1" applyBorder="1" applyAlignment="1" applyProtection="1">
      <alignment horizontal="center" vertical="center"/>
      <protection hidden="1"/>
    </xf>
    <xf numFmtId="247" fontId="34" fillId="0" borderId="25" xfId="0" applyNumberFormat="1" applyFont="1" applyFill="1" applyBorder="1" applyAlignment="1" applyProtection="1">
      <alignment horizontal="center" vertical="center"/>
      <protection hidden="1"/>
    </xf>
    <xf numFmtId="0" fontId="30" fillId="30" borderId="0" xfId="0" applyFont="1" applyFill="1" applyBorder="1" applyAlignment="1" applyProtection="1">
      <alignment horizontal="right" vertical="center"/>
      <protection hidden="1"/>
    </xf>
    <xf numFmtId="247" fontId="34" fillId="30" borderId="23" xfId="0" applyNumberFormat="1" applyFont="1" applyFill="1" applyBorder="1" applyAlignment="1" applyProtection="1">
      <alignment horizontal="center" vertical="center"/>
      <protection locked="0"/>
    </xf>
    <xf numFmtId="0" fontId="34" fillId="11" borderId="0" xfId="0" applyFont="1" applyFill="1" applyBorder="1" applyAlignment="1" applyProtection="1">
      <alignment vertical="center"/>
      <protection hidden="1"/>
    </xf>
    <xf numFmtId="0" fontId="30" fillId="11" borderId="0" xfId="0" applyFont="1" applyFill="1" applyBorder="1" applyAlignment="1" applyProtection="1">
      <alignment horizontal="right" vertical="center"/>
      <protection hidden="1"/>
    </xf>
    <xf numFmtId="4" fontId="67" fillId="11" borderId="14" xfId="0" applyNumberFormat="1" applyFont="1" applyFill="1" applyBorder="1" applyAlignment="1" applyProtection="1">
      <alignment horizontal="center" vertical="center"/>
      <protection hidden="1"/>
    </xf>
    <xf numFmtId="4" fontId="67" fillId="11" borderId="22" xfId="0" applyNumberFormat="1" applyFont="1" applyFill="1" applyBorder="1" applyAlignment="1" applyProtection="1">
      <alignment horizontal="center" vertical="center"/>
      <protection hidden="1"/>
    </xf>
    <xf numFmtId="4" fontId="34" fillId="35" borderId="23" xfId="0" applyNumberFormat="1" applyFont="1" applyFill="1" applyBorder="1" applyAlignment="1" applyProtection="1">
      <alignment horizontal="center" vertical="center"/>
      <protection locked="0"/>
    </xf>
    <xf numFmtId="4" fontId="67" fillId="11" borderId="28" xfId="0" applyNumberFormat="1" applyFont="1" applyFill="1" applyBorder="1" applyAlignment="1" applyProtection="1">
      <alignment horizontal="center" vertical="center"/>
      <protection hidden="1"/>
    </xf>
    <xf numFmtId="0" fontId="28" fillId="37" borderId="0" xfId="0" applyFont="1" applyFill="1" applyBorder="1" applyAlignment="1" applyProtection="1">
      <alignment horizontal="justify" wrapText="1"/>
      <protection hidden="1"/>
    </xf>
    <xf numFmtId="0" fontId="28" fillId="37" borderId="0" xfId="0" applyFont="1" applyFill="1" applyBorder="1" applyAlignment="1" applyProtection="1">
      <alignment horizontal="justify" vertical="center" wrapText="1"/>
      <protection hidden="1"/>
    </xf>
    <xf numFmtId="0" fontId="70" fillId="33" borderId="0" xfId="0" applyFont="1" applyFill="1" applyAlignment="1" applyProtection="1">
      <alignment horizontal="left" vertical="center"/>
      <protection hidden="1"/>
    </xf>
    <xf numFmtId="0" fontId="7" fillId="33" borderId="0" xfId="0" applyFont="1" applyFill="1" applyAlignment="1" applyProtection="1">
      <alignment horizontal="left" vertical="center" wrapText="1"/>
      <protection hidden="1"/>
    </xf>
    <xf numFmtId="0" fontId="30" fillId="33" borderId="0" xfId="0" applyFont="1" applyFill="1" applyAlignment="1" applyProtection="1">
      <alignment horizontal="left" vertical="center"/>
      <protection hidden="1"/>
    </xf>
    <xf numFmtId="0" fontId="57" fillId="33" borderId="0" xfId="0" applyFont="1" applyFill="1" applyAlignment="1" applyProtection="1">
      <alignment horizontal="left" vertical="center"/>
      <protection hidden="1"/>
    </xf>
    <xf numFmtId="0" fontId="57" fillId="33" borderId="0" xfId="0" applyFont="1" applyFill="1" applyAlignment="1" applyProtection="1">
      <alignment horizontal="left" vertical="center" wrapText="1"/>
      <protection hidden="1"/>
    </xf>
    <xf numFmtId="0" fontId="71" fillId="10" borderId="0" xfId="0" applyFont="1" applyFill="1" applyBorder="1" applyAlignment="1" applyProtection="1">
      <alignment horizontal="center" vertical="center"/>
      <protection hidden="1"/>
    </xf>
    <xf numFmtId="0" fontId="34" fillId="10" borderId="30" xfId="0" applyFont="1" applyFill="1" applyBorder="1" applyAlignment="1" applyProtection="1">
      <alignment horizontal="left" vertical="center" indent="4"/>
      <protection hidden="1"/>
    </xf>
    <xf numFmtId="0" fontId="34" fillId="10" borderId="0" xfId="0" applyFont="1" applyFill="1" applyBorder="1" applyAlignment="1" applyProtection="1">
      <alignment horizontal="left" vertical="center" wrapText="1" indent="4"/>
      <protection hidden="1"/>
    </xf>
    <xf numFmtId="0" fontId="49" fillId="10" borderId="31" xfId="0" applyFont="1" applyFill="1" applyBorder="1" applyAlignment="1" applyProtection="1">
      <alignment horizontal="centerContinuous" vertical="center"/>
      <protection hidden="1"/>
    </xf>
    <xf numFmtId="0" fontId="49" fillId="10" borderId="0" xfId="0" applyFont="1" applyFill="1" applyBorder="1" applyAlignment="1" applyProtection="1">
      <alignment vertical="center"/>
      <protection hidden="1"/>
    </xf>
    <xf numFmtId="0" fontId="49" fillId="10" borderId="31" xfId="0" applyFont="1" applyFill="1" applyBorder="1" applyAlignment="1" applyProtection="1">
      <alignment horizontal="center" vertical="center"/>
      <protection hidden="1"/>
    </xf>
    <xf numFmtId="0" fontId="34" fillId="10" borderId="0" xfId="0" applyFont="1" applyFill="1" applyBorder="1" applyAlignment="1" applyProtection="1">
      <alignment horizontal="left" vertical="center" indent="4"/>
      <protection hidden="1"/>
    </xf>
    <xf numFmtId="0" fontId="30" fillId="10" borderId="0" xfId="0" applyFont="1" applyFill="1" applyBorder="1" applyAlignment="1" applyProtection="1">
      <alignment horizontal="centerContinuous" vertical="center" wrapText="1"/>
      <protection hidden="1"/>
    </xf>
    <xf numFmtId="0" fontId="49" fillId="10" borderId="32" xfId="0" applyFont="1" applyFill="1" applyBorder="1" applyAlignment="1" applyProtection="1">
      <alignment horizontal="centerContinuous" vertical="center"/>
      <protection hidden="1"/>
    </xf>
    <xf numFmtId="0" fontId="34" fillId="0" borderId="0" xfId="0" applyFont="1" applyBorder="1" applyAlignment="1" applyProtection="1">
      <protection hidden="1"/>
    </xf>
    <xf numFmtId="0" fontId="30" fillId="10" borderId="0" xfId="0" applyFont="1" applyFill="1" applyBorder="1" applyAlignment="1" applyProtection="1">
      <alignment horizontal="centerContinuous"/>
      <protection hidden="1"/>
    </xf>
    <xf numFmtId="0" fontId="52" fillId="13" borderId="0" xfId="0" applyFont="1" applyFill="1" applyBorder="1" applyAlignment="1" applyProtection="1">
      <alignment vertical="center"/>
      <protection hidden="1"/>
    </xf>
    <xf numFmtId="0" fontId="34" fillId="13" borderId="0" xfId="0" applyFont="1" applyFill="1" applyBorder="1" applyAlignment="1" applyProtection="1">
      <alignment vertical="center"/>
      <protection hidden="1"/>
    </xf>
    <xf numFmtId="0" fontId="73" fillId="30" borderId="0" xfId="0" applyFont="1" applyFill="1" applyBorder="1" applyAlignment="1" applyProtection="1">
      <alignment vertical="center"/>
      <protection hidden="1"/>
    </xf>
    <xf numFmtId="4" fontId="34" fillId="0" borderId="14" xfId="0" applyNumberFormat="1" applyFont="1" applyFill="1" applyBorder="1" applyAlignment="1" applyProtection="1">
      <alignment horizontal="center" vertical="center"/>
      <protection hidden="1"/>
    </xf>
    <xf numFmtId="0" fontId="30" fillId="13" borderId="0" xfId="0" applyFont="1" applyFill="1" applyBorder="1" applyAlignment="1" applyProtection="1">
      <alignment horizontal="center" vertical="center"/>
      <protection hidden="1"/>
    </xf>
    <xf numFmtId="194" fontId="30" fillId="30" borderId="0" xfId="0" applyNumberFormat="1" applyFont="1" applyFill="1" applyBorder="1" applyAlignment="1" applyProtection="1">
      <alignment horizontal="center" vertical="center"/>
      <protection hidden="1"/>
    </xf>
    <xf numFmtId="0" fontId="30" fillId="34" borderId="0" xfId="0" applyFont="1" applyFill="1" applyBorder="1" applyAlignment="1" applyProtection="1">
      <alignment horizontal="centerContinuous" vertical="center"/>
      <protection hidden="1"/>
    </xf>
    <xf numFmtId="2" fontId="30" fillId="34" borderId="0" xfId="0" applyNumberFormat="1" applyFont="1" applyFill="1" applyBorder="1" applyAlignment="1" applyProtection="1">
      <alignment horizontal="center" vertical="center"/>
      <protection hidden="1"/>
    </xf>
    <xf numFmtId="4" fontId="30" fillId="29" borderId="23" xfId="0" applyNumberFormat="1" applyFont="1" applyFill="1" applyBorder="1" applyAlignment="1" applyProtection="1">
      <alignment horizontal="center" vertical="center"/>
      <protection locked="0"/>
    </xf>
    <xf numFmtId="9" fontId="30" fillId="30" borderId="0" xfId="0" applyNumberFormat="1" applyFont="1" applyFill="1" applyBorder="1" applyAlignment="1" applyProtection="1">
      <alignment horizontal="center" vertical="center"/>
      <protection hidden="1"/>
    </xf>
    <xf numFmtId="207" fontId="52" fillId="32" borderId="0" xfId="0" applyNumberFormat="1" applyFont="1" applyFill="1" applyBorder="1" applyAlignment="1" applyProtection="1">
      <alignment horizontal="left" vertical="center"/>
      <protection hidden="1"/>
    </xf>
    <xf numFmtId="3" fontId="52" fillId="32" borderId="0" xfId="0" applyNumberFormat="1" applyFont="1" applyFill="1" applyBorder="1" applyAlignment="1" applyProtection="1">
      <alignment horizontal="left" vertical="center"/>
      <protection hidden="1"/>
    </xf>
    <xf numFmtId="4" fontId="52" fillId="36" borderId="23" xfId="0" applyNumberFormat="1" applyFont="1" applyFill="1" applyBorder="1" applyAlignment="1" applyProtection="1">
      <alignment horizontal="center" vertical="center"/>
      <protection locked="0"/>
    </xf>
    <xf numFmtId="0" fontId="34" fillId="0" borderId="0" xfId="0" applyFont="1" applyBorder="1" applyAlignment="1" applyProtection="1">
      <alignment horizontal="center" vertical="center"/>
      <protection hidden="1"/>
    </xf>
    <xf numFmtId="0" fontId="52" fillId="10" borderId="0" xfId="0" applyFont="1" applyFill="1" applyBorder="1" applyAlignment="1" applyProtection="1">
      <alignment vertical="center"/>
      <protection hidden="1"/>
    </xf>
    <xf numFmtId="3" fontId="30" fillId="30" borderId="0" xfId="0" applyNumberFormat="1" applyFont="1" applyFill="1" applyBorder="1" applyAlignment="1" applyProtection="1">
      <alignment horizontal="center" vertical="center"/>
      <protection hidden="1"/>
    </xf>
    <xf numFmtId="208" fontId="30" fillId="30" borderId="0" xfId="0" applyNumberFormat="1" applyFont="1" applyFill="1" applyBorder="1" applyAlignment="1" applyProtection="1">
      <alignment horizontal="left" vertical="center"/>
      <protection hidden="1"/>
    </xf>
    <xf numFmtId="209" fontId="59" fillId="30" borderId="0" xfId="0" applyNumberFormat="1" applyFont="1" applyFill="1" applyBorder="1" applyAlignment="1" applyProtection="1">
      <alignment horizontal="center" vertical="center"/>
      <protection hidden="1"/>
    </xf>
    <xf numFmtId="211" fontId="30" fillId="10" borderId="0" xfId="0" applyNumberFormat="1" applyFont="1" applyFill="1" applyBorder="1" applyAlignment="1" applyProtection="1">
      <alignment vertical="center"/>
      <protection hidden="1"/>
    </xf>
    <xf numFmtId="212" fontId="34" fillId="10" borderId="0" xfId="0" applyNumberFormat="1" applyFont="1" applyFill="1" applyBorder="1" applyAlignment="1" applyProtection="1">
      <alignment horizontal="left" vertical="center"/>
      <protection hidden="1"/>
    </xf>
    <xf numFmtId="0" fontId="52" fillId="30" borderId="0" xfId="0" applyFont="1" applyFill="1" applyBorder="1" applyAlignment="1" applyProtection="1">
      <alignment vertical="center"/>
      <protection hidden="1"/>
    </xf>
    <xf numFmtId="0" fontId="34" fillId="10" borderId="0" xfId="0" applyFont="1" applyFill="1" applyBorder="1" applyAlignment="1" applyProtection="1">
      <alignment horizontal="center"/>
      <protection hidden="1"/>
    </xf>
    <xf numFmtId="0" fontId="34" fillId="10" borderId="0" xfId="0" applyFont="1" applyFill="1" applyBorder="1" applyAlignment="1" applyProtection="1">
      <alignment vertical="center" wrapText="1"/>
      <protection hidden="1"/>
    </xf>
    <xf numFmtId="0" fontId="49" fillId="10" borderId="0" xfId="0" applyFont="1" applyFill="1" applyBorder="1" applyAlignment="1" applyProtection="1">
      <alignment horizontal="center" vertical="center"/>
      <protection hidden="1"/>
    </xf>
    <xf numFmtId="0" fontId="42" fillId="10" borderId="0" xfId="0" applyFont="1" applyFill="1" applyBorder="1" applyAlignment="1" applyProtection="1">
      <alignment horizontal="center" vertical="center"/>
      <protection hidden="1"/>
    </xf>
    <xf numFmtId="213" fontId="30" fillId="30" borderId="0" xfId="0" applyNumberFormat="1" applyFont="1" applyFill="1" applyBorder="1" applyAlignment="1" applyProtection="1">
      <alignment vertical="center"/>
      <protection hidden="1"/>
    </xf>
    <xf numFmtId="172" fontId="34" fillId="0" borderId="25" xfId="0" applyNumberFormat="1" applyFont="1" applyFill="1" applyBorder="1" applyAlignment="1" applyProtection="1">
      <alignment horizontal="center" vertical="center"/>
      <protection hidden="1"/>
    </xf>
    <xf numFmtId="0" fontId="18" fillId="33" borderId="0" xfId="0" applyFont="1" applyFill="1" applyAlignment="1" applyProtection="1">
      <alignment horizontal="left" vertical="center"/>
      <protection hidden="1"/>
    </xf>
    <xf numFmtId="0" fontId="49" fillId="33" borderId="0" xfId="0" applyFont="1" applyFill="1" applyAlignment="1" applyProtection="1">
      <alignment horizontal="left" vertical="center"/>
      <protection hidden="1"/>
    </xf>
    <xf numFmtId="215" fontId="49" fillId="10" borderId="31" xfId="0" applyNumberFormat="1" applyFont="1" applyFill="1" applyBorder="1" applyAlignment="1" applyProtection="1">
      <alignment horizontal="center" vertical="center"/>
      <protection hidden="1"/>
    </xf>
    <xf numFmtId="215" fontId="49" fillId="10" borderId="0" xfId="0" applyNumberFormat="1" applyFont="1" applyFill="1" applyBorder="1" applyAlignment="1" applyProtection="1">
      <alignment horizontal="center" vertical="center"/>
      <protection hidden="1"/>
    </xf>
    <xf numFmtId="3" fontId="30" fillId="29" borderId="23" xfId="0" applyNumberFormat="1" applyFont="1" applyFill="1" applyBorder="1" applyAlignment="1" applyProtection="1">
      <alignment horizontal="center" vertical="center"/>
      <protection locked="0"/>
    </xf>
    <xf numFmtId="0" fontId="0" fillId="0" borderId="0" xfId="0" applyAlignment="1">
      <alignment vertical="center"/>
    </xf>
    <xf numFmtId="192" fontId="30" fillId="35" borderId="23" xfId="0" applyNumberFormat="1" applyFont="1" applyFill="1" applyBorder="1" applyAlignment="1" applyProtection="1">
      <alignment horizontal="center" vertical="center"/>
      <protection locked="0"/>
    </xf>
    <xf numFmtId="0" fontId="18" fillId="33" borderId="0" xfId="62" applyFont="1" applyFill="1" applyBorder="1" applyAlignment="1" applyProtection="1">
      <alignment vertical="center"/>
      <protection hidden="1"/>
    </xf>
    <xf numFmtId="0" fontId="7" fillId="33" borderId="0" xfId="62" applyFont="1" applyFill="1" applyBorder="1" applyAlignment="1" applyProtection="1">
      <alignment horizontal="right" vertical="center"/>
      <protection hidden="1"/>
    </xf>
    <xf numFmtId="0" fontId="7" fillId="33" borderId="0" xfId="62" applyFont="1" applyFill="1" applyBorder="1" applyAlignment="1" applyProtection="1">
      <alignment vertical="center"/>
      <protection hidden="1"/>
    </xf>
    <xf numFmtId="0" fontId="74" fillId="33" borderId="0" xfId="62" applyFont="1" applyFill="1" applyBorder="1" applyAlignment="1" applyProtection="1">
      <alignment vertical="center"/>
      <protection hidden="1"/>
    </xf>
    <xf numFmtId="0" fontId="18" fillId="32" borderId="0" xfId="62" applyFont="1" applyFill="1" applyBorder="1" applyAlignment="1" applyProtection="1">
      <alignment vertical="center"/>
      <protection hidden="1"/>
    </xf>
    <xf numFmtId="0" fontId="2" fillId="0" borderId="0" xfId="62" applyFill="1" applyAlignment="1" applyProtection="1">
      <alignment vertical="center"/>
      <protection hidden="1"/>
    </xf>
    <xf numFmtId="0" fontId="75" fillId="0" borderId="0" xfId="62" applyFont="1" applyFill="1" applyAlignment="1" applyProtection="1">
      <protection hidden="1"/>
    </xf>
    <xf numFmtId="0" fontId="2" fillId="32" borderId="0" xfId="62" applyFill="1" applyAlignment="1" applyProtection="1">
      <alignment vertical="center"/>
      <protection hidden="1"/>
    </xf>
    <xf numFmtId="0" fontId="5" fillId="0" borderId="0" xfId="62" applyFont="1" applyFill="1" applyAlignment="1" applyProtection="1">
      <alignment vertical="center"/>
      <protection hidden="1"/>
    </xf>
    <xf numFmtId="0" fontId="1" fillId="10" borderId="0" xfId="62" applyFont="1" applyFill="1" applyAlignment="1" applyProtection="1">
      <alignment vertical="center"/>
      <protection hidden="1"/>
    </xf>
    <xf numFmtId="0" fontId="5" fillId="32" borderId="0" xfId="62" applyFont="1" applyFill="1" applyAlignment="1" applyProtection="1">
      <alignment vertical="center"/>
      <protection hidden="1"/>
    </xf>
    <xf numFmtId="0" fontId="5" fillId="0" borderId="0" xfId="62" applyFont="1" applyFill="1" applyAlignment="1" applyProtection="1">
      <alignment vertical="center"/>
      <protection locked="0"/>
    </xf>
    <xf numFmtId="0" fontId="5" fillId="30" borderId="0" xfId="62" applyFont="1" applyFill="1" applyAlignment="1" applyProtection="1">
      <alignment vertical="center"/>
      <protection hidden="1"/>
    </xf>
    <xf numFmtId="175" fontId="28" fillId="0" borderId="22" xfId="62" applyNumberFormat="1" applyFont="1" applyFill="1" applyBorder="1" applyAlignment="1" applyProtection="1">
      <alignment vertical="center"/>
      <protection hidden="1"/>
    </xf>
    <xf numFmtId="0" fontId="28" fillId="0" borderId="22" xfId="62" applyFont="1" applyFill="1" applyBorder="1" applyAlignment="1" applyProtection="1">
      <alignment vertical="center"/>
      <protection hidden="1"/>
    </xf>
    <xf numFmtId="182" fontId="28" fillId="0" borderId="22" xfId="62" applyNumberFormat="1" applyFont="1" applyFill="1" applyBorder="1" applyAlignment="1" applyProtection="1">
      <alignment vertical="center"/>
      <protection hidden="1"/>
    </xf>
    <xf numFmtId="183" fontId="28" fillId="0" borderId="33" xfId="62" applyNumberFormat="1" applyFont="1" applyFill="1" applyBorder="1" applyAlignment="1" applyProtection="1">
      <alignment vertical="center"/>
      <protection hidden="1"/>
    </xf>
    <xf numFmtId="182" fontId="32" fillId="16" borderId="23" xfId="62" applyNumberFormat="1" applyFont="1" applyFill="1" applyBorder="1" applyAlignment="1" applyProtection="1">
      <alignment vertical="center"/>
      <protection locked="0"/>
    </xf>
    <xf numFmtId="0" fontId="28" fillId="0" borderId="34" xfId="62" applyFont="1" applyFill="1" applyBorder="1" applyAlignment="1" applyProtection="1">
      <alignment vertical="center"/>
      <protection hidden="1"/>
    </xf>
    <xf numFmtId="171" fontId="32" fillId="16" borderId="23" xfId="62" applyNumberFormat="1" applyFont="1" applyFill="1" applyBorder="1" applyAlignment="1" applyProtection="1">
      <alignment vertical="center"/>
      <protection locked="0"/>
    </xf>
    <xf numFmtId="0" fontId="2" fillId="0" borderId="0" xfId="62" applyFill="1" applyAlignment="1" applyProtection="1">
      <alignment vertical="center"/>
      <protection locked="0"/>
    </xf>
    <xf numFmtId="0" fontId="49" fillId="10" borderId="0" xfId="62" applyFont="1" applyFill="1" applyAlignment="1" applyProtection="1">
      <alignment horizontal="center" vertical="center"/>
      <protection hidden="1"/>
    </xf>
    <xf numFmtId="0" fontId="77" fillId="10" borderId="0" xfId="62" applyFont="1" applyFill="1" applyAlignment="1" applyProtection="1">
      <alignment vertical="center"/>
      <protection hidden="1"/>
    </xf>
    <xf numFmtId="179" fontId="28" fillId="0" borderId="22" xfId="62" applyNumberFormat="1" applyFont="1" applyBorder="1" applyAlignment="1" applyProtection="1">
      <alignment vertical="center"/>
      <protection hidden="1"/>
    </xf>
    <xf numFmtId="175" fontId="28" fillId="0" borderId="12" xfId="62" applyNumberFormat="1" applyFont="1" applyFill="1" applyBorder="1" applyAlignment="1" applyProtection="1">
      <alignment vertical="center"/>
      <protection hidden="1"/>
    </xf>
    <xf numFmtId="181" fontId="28" fillId="0" borderId="22" xfId="56" applyNumberFormat="1" applyFont="1" applyFill="1" applyBorder="1" applyAlignment="1" applyProtection="1">
      <alignment vertical="center"/>
      <protection hidden="1"/>
    </xf>
    <xf numFmtId="4" fontId="5" fillId="0" borderId="0" xfId="62" applyNumberFormat="1" applyFont="1" applyFill="1" applyAlignment="1" applyProtection="1">
      <alignment vertical="center"/>
      <protection hidden="1"/>
    </xf>
    <xf numFmtId="4" fontId="5" fillId="32" borderId="0" xfId="62" applyNumberFormat="1" applyFont="1" applyFill="1" applyAlignment="1" applyProtection="1">
      <alignment vertical="center"/>
      <protection hidden="1"/>
    </xf>
    <xf numFmtId="175" fontId="28" fillId="0" borderId="9" xfId="62" applyNumberFormat="1" applyFont="1" applyFill="1" applyBorder="1" applyAlignment="1" applyProtection="1">
      <alignment vertical="center"/>
      <protection hidden="1"/>
    </xf>
    <xf numFmtId="0" fontId="1" fillId="34" borderId="0" xfId="62" applyFont="1" applyFill="1" applyAlignment="1" applyProtection="1">
      <alignment vertical="center"/>
      <protection hidden="1"/>
    </xf>
    <xf numFmtId="0" fontId="1" fillId="34" borderId="0" xfId="62" applyFont="1" applyFill="1" applyAlignment="1" applyProtection="1">
      <alignment horizontal="right" vertical="center"/>
      <protection hidden="1"/>
    </xf>
    <xf numFmtId="175" fontId="32" fillId="29" borderId="23" xfId="62" applyNumberFormat="1" applyFont="1" applyFill="1" applyBorder="1" applyAlignment="1" applyProtection="1">
      <alignment vertical="center"/>
      <protection locked="0"/>
    </xf>
    <xf numFmtId="171" fontId="28" fillId="0" borderId="25" xfId="62" applyNumberFormat="1" applyFont="1" applyFill="1" applyBorder="1" applyAlignment="1" applyProtection="1">
      <alignment vertical="center"/>
      <protection hidden="1"/>
    </xf>
    <xf numFmtId="175" fontId="32" fillId="16" borderId="23" xfId="62" applyNumberFormat="1" applyFont="1" applyFill="1" applyBorder="1" applyAlignment="1" applyProtection="1">
      <alignment vertical="center"/>
      <protection locked="0"/>
    </xf>
    <xf numFmtId="180" fontId="5" fillId="30" borderId="0" xfId="62" applyNumberFormat="1" applyFont="1" applyFill="1" applyAlignment="1" applyProtection="1">
      <alignment horizontal="left" vertical="center"/>
      <protection hidden="1"/>
    </xf>
    <xf numFmtId="186" fontId="32" fillId="16" borderId="23" xfId="62" applyNumberFormat="1" applyFont="1" applyFill="1" applyBorder="1" applyAlignment="1" applyProtection="1">
      <alignment vertical="center"/>
      <protection locked="0"/>
    </xf>
    <xf numFmtId="0" fontId="5" fillId="34" borderId="0" xfId="62" applyFont="1" applyFill="1" applyAlignment="1" applyProtection="1">
      <alignment vertical="center"/>
      <protection hidden="1"/>
    </xf>
    <xf numFmtId="0" fontId="5" fillId="6" borderId="0" xfId="62" applyFont="1" applyFill="1" applyAlignment="1" applyProtection="1">
      <alignment vertical="center"/>
      <protection hidden="1"/>
    </xf>
    <xf numFmtId="0" fontId="32" fillId="11" borderId="0" xfId="62" applyFont="1" applyFill="1" applyAlignment="1" applyProtection="1">
      <alignment vertical="center"/>
      <protection hidden="1"/>
    </xf>
    <xf numFmtId="171" fontId="32" fillId="29" borderId="23" xfId="62" applyNumberFormat="1" applyFont="1" applyFill="1" applyBorder="1" applyAlignment="1" applyProtection="1">
      <alignment vertical="center"/>
      <protection locked="0"/>
    </xf>
    <xf numFmtId="0" fontId="2" fillId="0" borderId="0" xfId="62" applyFill="1" applyProtection="1">
      <protection locked="0"/>
    </xf>
    <xf numFmtId="0" fontId="2" fillId="0" borderId="0" xfId="62" applyFill="1" applyProtection="1">
      <protection hidden="1"/>
    </xf>
    <xf numFmtId="0" fontId="2" fillId="32" borderId="0" xfId="62" applyFill="1" applyProtection="1">
      <protection hidden="1"/>
    </xf>
    <xf numFmtId="237" fontId="7" fillId="33" borderId="0" xfId="61" applyNumberFormat="1" applyFont="1" applyFill="1" applyBorder="1" applyAlignment="1" applyProtection="1">
      <alignment vertical="center"/>
      <protection hidden="1"/>
    </xf>
    <xf numFmtId="0" fontId="4" fillId="0" borderId="0" xfId="61" applyFont="1" applyBorder="1" applyProtection="1">
      <protection hidden="1"/>
    </xf>
    <xf numFmtId="0" fontId="4" fillId="0" borderId="0" xfId="61" applyFont="1" applyBorder="1" applyAlignment="1" applyProtection="1">
      <alignment vertical="center"/>
      <protection hidden="1"/>
    </xf>
    <xf numFmtId="0" fontId="30" fillId="10" borderId="0" xfId="61" applyFont="1" applyFill="1" applyBorder="1" applyAlignment="1" applyProtection="1">
      <alignment vertical="center"/>
      <protection hidden="1"/>
    </xf>
    <xf numFmtId="0" fontId="30" fillId="0" borderId="22" xfId="61" applyFont="1" applyFill="1" applyBorder="1" applyAlignment="1" applyProtection="1">
      <alignment horizontal="left" vertical="center" indent="1"/>
      <protection hidden="1"/>
    </xf>
    <xf numFmtId="0" fontId="11" fillId="0" borderId="24" xfId="61" applyFont="1" applyFill="1" applyBorder="1" applyAlignment="1" applyProtection="1">
      <alignment vertical="center"/>
      <protection hidden="1"/>
    </xf>
    <xf numFmtId="0" fontId="11" fillId="0" borderId="28" xfId="61" applyFont="1" applyFill="1" applyBorder="1" applyAlignment="1" applyProtection="1">
      <alignment vertical="center"/>
      <protection hidden="1"/>
    </xf>
    <xf numFmtId="0" fontId="4" fillId="0" borderId="0" xfId="64" applyFont="1" applyBorder="1" applyAlignment="1" applyProtection="1">
      <alignment vertical="center"/>
      <protection hidden="1"/>
    </xf>
    <xf numFmtId="4" fontId="4" fillId="0" borderId="0" xfId="61" applyNumberFormat="1" applyFont="1" applyBorder="1" applyAlignment="1" applyProtection="1">
      <alignment vertical="center"/>
      <protection hidden="1"/>
    </xf>
    <xf numFmtId="0" fontId="4" fillId="10" borderId="0" xfId="61" applyFont="1" applyFill="1" applyBorder="1" applyAlignment="1" applyProtection="1">
      <alignment vertical="center"/>
      <protection hidden="1"/>
    </xf>
    <xf numFmtId="0" fontId="30" fillId="10" borderId="0" xfId="61" applyFont="1" applyFill="1" applyBorder="1" applyAlignment="1" applyProtection="1">
      <alignment horizontal="center" vertical="center"/>
      <protection hidden="1"/>
    </xf>
    <xf numFmtId="239" fontId="30" fillId="10" borderId="0" xfId="61" applyNumberFormat="1" applyFont="1" applyFill="1" applyBorder="1" applyAlignment="1" applyProtection="1">
      <alignment horizontal="center" vertical="center"/>
      <protection hidden="1"/>
    </xf>
    <xf numFmtId="0" fontId="4" fillId="30" borderId="0" xfId="61" applyFont="1" applyFill="1" applyBorder="1" applyAlignment="1" applyProtection="1">
      <alignment vertical="center"/>
      <protection hidden="1"/>
    </xf>
    <xf numFmtId="0" fontId="4" fillId="30" borderId="0" xfId="61" applyFont="1" applyFill="1" applyBorder="1" applyAlignment="1" applyProtection="1">
      <alignment horizontal="center" vertical="center"/>
      <protection hidden="1"/>
    </xf>
    <xf numFmtId="227" fontId="4" fillId="30" borderId="0" xfId="56" applyNumberFormat="1" applyFont="1" applyFill="1" applyBorder="1" applyAlignment="1" applyProtection="1">
      <alignment vertical="center"/>
      <protection hidden="1"/>
    </xf>
    <xf numFmtId="243" fontId="4" fillId="0" borderId="14" xfId="61" applyNumberFormat="1" applyFont="1" applyFill="1" applyBorder="1" applyAlignment="1" applyProtection="1">
      <alignment vertical="center"/>
      <protection hidden="1"/>
    </xf>
    <xf numFmtId="241" fontId="4" fillId="0" borderId="35" xfId="61" applyNumberFormat="1" applyFont="1" applyFill="1" applyBorder="1" applyAlignment="1" applyProtection="1">
      <alignment vertical="center"/>
      <protection hidden="1"/>
    </xf>
    <xf numFmtId="0" fontId="30" fillId="11" borderId="0" xfId="61" applyFont="1" applyFill="1" applyBorder="1" applyAlignment="1" applyProtection="1">
      <alignment vertical="center" wrapText="1"/>
      <protection hidden="1"/>
    </xf>
    <xf numFmtId="0" fontId="34" fillId="10" borderId="0" xfId="61" applyFont="1" applyFill="1" applyBorder="1" applyAlignment="1" applyProtection="1">
      <alignment vertical="center"/>
      <protection hidden="1"/>
    </xf>
    <xf numFmtId="0" fontId="30" fillId="10" borderId="0" xfId="61" applyFont="1" applyFill="1" applyBorder="1" applyAlignment="1" applyProtection="1">
      <alignment horizontal="center" vertical="center" wrapText="1"/>
      <protection hidden="1"/>
    </xf>
    <xf numFmtId="0" fontId="84" fillId="10" borderId="0" xfId="61" applyFont="1" applyFill="1" applyBorder="1" applyAlignment="1" applyProtection="1">
      <alignment horizontal="center" vertical="center"/>
      <protection hidden="1"/>
    </xf>
    <xf numFmtId="232" fontId="4" fillId="0" borderId="14" xfId="61" applyNumberFormat="1" applyFont="1" applyFill="1" applyBorder="1" applyAlignment="1" applyProtection="1">
      <alignment vertical="center"/>
      <protection hidden="1"/>
    </xf>
    <xf numFmtId="171" fontId="4" fillId="0" borderId="22" xfId="61" applyNumberFormat="1" applyFont="1" applyFill="1" applyBorder="1" applyAlignment="1" applyProtection="1">
      <alignment vertical="center"/>
      <protection hidden="1"/>
    </xf>
    <xf numFmtId="171" fontId="4" fillId="0" borderId="24" xfId="61" applyNumberFormat="1" applyFont="1" applyFill="1" applyBorder="1" applyAlignment="1" applyProtection="1">
      <alignment vertical="center"/>
      <protection hidden="1"/>
    </xf>
    <xf numFmtId="171" fontId="4" fillId="16" borderId="23" xfId="64" applyNumberFormat="1" applyFont="1" applyFill="1" applyBorder="1" applyAlignment="1" applyProtection="1">
      <alignment vertical="center"/>
      <protection locked="0"/>
    </xf>
    <xf numFmtId="0" fontId="2" fillId="0" borderId="0" xfId="64" applyAlignment="1" applyProtection="1">
      <alignment vertical="center"/>
      <protection hidden="1"/>
    </xf>
    <xf numFmtId="0" fontId="30" fillId="34" borderId="0" xfId="61" applyFont="1" applyFill="1" applyBorder="1" applyAlignment="1" applyProtection="1">
      <alignment vertical="center"/>
      <protection hidden="1"/>
    </xf>
    <xf numFmtId="229" fontId="30" fillId="34" borderId="0" xfId="61" applyNumberFormat="1" applyFont="1" applyFill="1" applyBorder="1" applyAlignment="1" applyProtection="1">
      <alignment horizontal="center" vertical="center"/>
      <protection hidden="1"/>
    </xf>
    <xf numFmtId="171" fontId="11" fillId="34" borderId="0" xfId="61" applyNumberFormat="1" applyFont="1" applyFill="1" applyBorder="1" applyAlignment="1" applyProtection="1">
      <alignment vertical="center"/>
      <protection hidden="1"/>
    </xf>
    <xf numFmtId="171" fontId="30" fillId="29" borderId="23" xfId="61" applyNumberFormat="1" applyFont="1" applyFill="1" applyBorder="1" applyAlignment="1" applyProtection="1">
      <alignment vertical="center"/>
      <protection locked="0"/>
    </xf>
    <xf numFmtId="0" fontId="30" fillId="0" borderId="0" xfId="61" applyFont="1" applyFill="1" applyBorder="1" applyAlignment="1" applyProtection="1">
      <alignment vertical="center"/>
      <protection hidden="1"/>
    </xf>
    <xf numFmtId="0" fontId="30" fillId="0" borderId="0" xfId="61" applyFont="1" applyFill="1" applyBorder="1" applyAlignment="1" applyProtection="1">
      <alignment horizontal="center" vertical="center"/>
      <protection hidden="1"/>
    </xf>
    <xf numFmtId="0" fontId="30" fillId="0" borderId="0" xfId="61" applyFont="1" applyFill="1" applyBorder="1" applyAlignment="1" applyProtection="1">
      <alignment horizontal="center" vertical="center" wrapText="1"/>
      <protection hidden="1"/>
    </xf>
    <xf numFmtId="0" fontId="84" fillId="10" borderId="0" xfId="61" applyFont="1" applyFill="1" applyBorder="1" applyAlignment="1" applyProtection="1">
      <alignment horizontal="right" vertical="center"/>
      <protection hidden="1"/>
    </xf>
    <xf numFmtId="0" fontId="84" fillId="10" borderId="0" xfId="61" applyFont="1" applyFill="1" applyBorder="1" applyAlignment="1" applyProtection="1">
      <alignment horizontal="left" vertical="center"/>
      <protection hidden="1"/>
    </xf>
    <xf numFmtId="230" fontId="4" fillId="0" borderId="14" xfId="64" applyNumberFormat="1" applyFont="1" applyFill="1" applyBorder="1" applyAlignment="1" applyProtection="1">
      <alignment vertical="center"/>
      <protection hidden="1"/>
    </xf>
    <xf numFmtId="233" fontId="4" fillId="0" borderId="14" xfId="64" applyNumberFormat="1" applyFont="1" applyFill="1" applyBorder="1" applyAlignment="1" applyProtection="1">
      <alignment vertical="center"/>
      <protection hidden="1"/>
    </xf>
    <xf numFmtId="197" fontId="4" fillId="0" borderId="14" xfId="64" applyNumberFormat="1" applyFont="1" applyFill="1" applyBorder="1" applyAlignment="1" applyProtection="1">
      <alignment vertical="center"/>
      <protection hidden="1"/>
    </xf>
    <xf numFmtId="234" fontId="4" fillId="0" borderId="14" xfId="64" applyNumberFormat="1" applyFont="1" applyFill="1" applyBorder="1" applyAlignment="1" applyProtection="1">
      <alignment vertical="center"/>
      <protection hidden="1"/>
    </xf>
    <xf numFmtId="211" fontId="4" fillId="0" borderId="14" xfId="64" applyNumberFormat="1" applyFont="1" applyFill="1" applyBorder="1" applyAlignment="1" applyProtection="1">
      <alignment vertical="center"/>
      <protection hidden="1"/>
    </xf>
    <xf numFmtId="228" fontId="4" fillId="0" borderId="24" xfId="61" applyNumberFormat="1" applyFont="1" applyFill="1" applyBorder="1" applyAlignment="1" applyProtection="1">
      <alignment horizontal="left" vertical="center"/>
      <protection hidden="1"/>
    </xf>
    <xf numFmtId="235" fontId="4" fillId="30" borderId="0" xfId="61" applyNumberFormat="1" applyFont="1" applyFill="1" applyBorder="1" applyAlignment="1" applyProtection="1">
      <alignment vertical="center"/>
      <protection hidden="1"/>
    </xf>
    <xf numFmtId="236" fontId="4" fillId="0" borderId="22" xfId="61" applyNumberFormat="1" applyFont="1" applyFill="1" applyBorder="1" applyAlignment="1" applyProtection="1">
      <alignment vertical="center"/>
      <protection hidden="1"/>
    </xf>
    <xf numFmtId="171" fontId="4" fillId="0" borderId="0" xfId="61" applyNumberFormat="1" applyFont="1" applyBorder="1" applyAlignment="1" applyProtection="1">
      <alignment vertical="center"/>
      <protection hidden="1"/>
    </xf>
    <xf numFmtId="229" fontId="4" fillId="30" borderId="0" xfId="61" applyNumberFormat="1" applyFont="1" applyFill="1" applyBorder="1" applyAlignment="1" applyProtection="1">
      <alignment vertical="center"/>
      <protection hidden="1"/>
    </xf>
    <xf numFmtId="171" fontId="4" fillId="0" borderId="22" xfId="64" applyNumberFormat="1" applyFont="1" applyFill="1" applyBorder="1" applyAlignment="1" applyProtection="1">
      <alignment horizontal="right" vertical="center"/>
      <protection hidden="1"/>
    </xf>
    <xf numFmtId="228" fontId="4" fillId="0" borderId="24" xfId="64" applyNumberFormat="1" applyFont="1" applyFill="1" applyBorder="1" applyAlignment="1" applyProtection="1">
      <alignment horizontal="left" vertical="center"/>
      <protection hidden="1"/>
    </xf>
    <xf numFmtId="171" fontId="4" fillId="16" borderId="23" xfId="61" applyNumberFormat="1" applyFont="1" applyFill="1" applyBorder="1" applyAlignment="1" applyProtection="1">
      <alignment vertical="center"/>
      <protection locked="0"/>
    </xf>
    <xf numFmtId="0" fontId="4" fillId="30" borderId="0" xfId="64" applyFont="1" applyFill="1" applyBorder="1" applyAlignment="1" applyProtection="1">
      <alignment vertical="center"/>
      <protection hidden="1"/>
    </xf>
    <xf numFmtId="171" fontId="4" fillId="0" borderId="24" xfId="61" quotePrefix="1" applyNumberFormat="1" applyFont="1" applyFill="1" applyBorder="1" applyAlignment="1" applyProtection="1">
      <alignment vertical="center"/>
      <protection hidden="1"/>
    </xf>
    <xf numFmtId="0" fontId="30" fillId="0" borderId="0" xfId="61" applyFont="1" applyBorder="1" applyAlignment="1" applyProtection="1">
      <alignment vertical="center"/>
      <protection hidden="1"/>
    </xf>
    <xf numFmtId="0" fontId="30" fillId="6" borderId="0" xfId="61" applyFont="1" applyFill="1" applyBorder="1" applyAlignment="1" applyProtection="1">
      <alignment vertical="center"/>
      <protection hidden="1"/>
    </xf>
    <xf numFmtId="171" fontId="30" fillId="36" borderId="23" xfId="61" applyNumberFormat="1" applyFont="1" applyFill="1" applyBorder="1" applyAlignment="1" applyProtection="1">
      <alignment vertical="center"/>
      <protection locked="0"/>
    </xf>
    <xf numFmtId="171" fontId="30" fillId="0" borderId="0" xfId="61" applyNumberFormat="1" applyFont="1" applyFill="1" applyBorder="1" applyAlignment="1" applyProtection="1">
      <alignment vertical="center"/>
      <protection hidden="1"/>
    </xf>
    <xf numFmtId="244" fontId="4" fillId="0" borderId="14" xfId="56" applyNumberFormat="1" applyFont="1" applyFill="1" applyBorder="1" applyAlignment="1" applyProtection="1">
      <alignment vertical="center"/>
      <protection hidden="1"/>
    </xf>
    <xf numFmtId="226" fontId="75" fillId="0" borderId="0" xfId="64" applyNumberFormat="1" applyFont="1" applyFill="1" applyBorder="1" applyAlignment="1" applyProtection="1">
      <alignment vertical="center"/>
      <protection hidden="1"/>
    </xf>
    <xf numFmtId="0" fontId="75" fillId="0" borderId="0" xfId="64" applyFont="1" applyBorder="1" applyAlignment="1" applyProtection="1">
      <alignment vertical="center"/>
      <protection hidden="1"/>
    </xf>
    <xf numFmtId="0" fontId="30" fillId="11" borderId="0" xfId="61" applyFont="1" applyFill="1" applyBorder="1" applyAlignment="1" applyProtection="1">
      <alignment vertical="center"/>
      <protection hidden="1"/>
    </xf>
    <xf numFmtId="171" fontId="30" fillId="35" borderId="23" xfId="61" applyNumberFormat="1" applyFont="1" applyFill="1" applyBorder="1" applyAlignment="1" applyProtection="1">
      <alignment vertical="center"/>
      <protection locked="0"/>
    </xf>
    <xf numFmtId="0" fontId="58" fillId="33" borderId="0" xfId="0" applyFont="1" applyFill="1" applyBorder="1" applyAlignment="1" applyProtection="1">
      <alignment horizontal="left" vertical="center"/>
      <protection hidden="1"/>
    </xf>
    <xf numFmtId="0" fontId="18" fillId="33" borderId="0" xfId="0" applyFont="1" applyFill="1" applyBorder="1" applyAlignment="1" applyProtection="1">
      <alignment horizontal="left" vertical="center"/>
      <protection hidden="1"/>
    </xf>
    <xf numFmtId="0" fontId="58" fillId="33" borderId="0" xfId="0" applyFont="1" applyFill="1" applyBorder="1" applyAlignment="1" applyProtection="1">
      <alignment vertical="center"/>
      <protection hidden="1"/>
    </xf>
    <xf numFmtId="204" fontId="34" fillId="0" borderId="14" xfId="0" applyNumberFormat="1" applyFont="1" applyFill="1" applyBorder="1" applyAlignment="1" applyProtection="1">
      <alignment horizontal="right" vertical="center"/>
      <protection hidden="1"/>
    </xf>
    <xf numFmtId="169" fontId="49" fillId="0" borderId="0" xfId="0" applyNumberFormat="1" applyFont="1" applyFill="1" applyBorder="1" applyAlignment="1" applyProtection="1">
      <alignment vertical="center"/>
      <protection hidden="1"/>
    </xf>
    <xf numFmtId="0" fontId="34" fillId="0" borderId="14" xfId="0" applyFont="1" applyFill="1" applyBorder="1" applyAlignment="1" applyProtection="1">
      <alignment horizontal="right" vertical="center"/>
      <protection hidden="1"/>
    </xf>
    <xf numFmtId="170" fontId="34" fillId="0" borderId="14" xfId="0" applyNumberFormat="1" applyFont="1" applyFill="1" applyBorder="1" applyAlignment="1" applyProtection="1">
      <alignment horizontal="right" vertical="center"/>
      <protection hidden="1"/>
    </xf>
    <xf numFmtId="204" fontId="34" fillId="0" borderId="25" xfId="0" applyNumberFormat="1" applyFont="1" applyFill="1" applyBorder="1" applyAlignment="1" applyProtection="1">
      <alignment horizontal="right" vertical="center"/>
      <protection hidden="1"/>
    </xf>
    <xf numFmtId="0" fontId="30" fillId="31" borderId="0" xfId="0" applyFont="1" applyFill="1" applyBorder="1" applyAlignment="1" applyProtection="1">
      <alignment vertical="center"/>
      <protection hidden="1"/>
    </xf>
    <xf numFmtId="169" fontId="52" fillId="29" borderId="23" xfId="0" applyNumberFormat="1" applyFont="1" applyFill="1" applyBorder="1" applyAlignment="1" applyProtection="1">
      <alignment vertical="center"/>
      <protection locked="0"/>
    </xf>
    <xf numFmtId="0" fontId="86" fillId="0" borderId="0" xfId="0" applyFont="1" applyFill="1" applyBorder="1" applyAlignment="1" applyProtection="1">
      <protection hidden="1"/>
    </xf>
    <xf numFmtId="0" fontId="86" fillId="0" borderId="0" xfId="0" applyFont="1" applyFill="1" applyBorder="1" applyAlignment="1" applyProtection="1">
      <alignment horizontal="center"/>
      <protection hidden="1"/>
    </xf>
    <xf numFmtId="0" fontId="30" fillId="10" borderId="0" xfId="0" applyFont="1" applyFill="1" applyBorder="1" applyAlignment="1" applyProtection="1">
      <alignment horizontal="left"/>
      <protection hidden="1"/>
    </xf>
    <xf numFmtId="0" fontId="52" fillId="10" borderId="0" xfId="0" applyFont="1" applyFill="1" applyBorder="1" applyAlignment="1" applyProtection="1">
      <protection hidden="1"/>
    </xf>
    <xf numFmtId="0" fontId="34" fillId="0" borderId="14" xfId="0" applyFont="1" applyFill="1" applyBorder="1" applyAlignment="1" applyProtection="1">
      <alignment horizontal="right"/>
      <protection hidden="1"/>
    </xf>
    <xf numFmtId="170" fontId="34" fillId="0" borderId="22" xfId="0" applyNumberFormat="1" applyFont="1" applyFill="1" applyBorder="1" applyAlignment="1" applyProtection="1">
      <alignment horizontal="right"/>
      <protection hidden="1"/>
    </xf>
    <xf numFmtId="0" fontId="34" fillId="0" borderId="28" xfId="0" applyFont="1" applyFill="1" applyBorder="1" applyAlignment="1" applyProtection="1">
      <alignment horizontal="right"/>
      <protection hidden="1"/>
    </xf>
    <xf numFmtId="0" fontId="30" fillId="34" borderId="0" xfId="0" applyFont="1" applyFill="1" applyBorder="1" applyAlignment="1" applyProtection="1">
      <protection hidden="1"/>
    </xf>
    <xf numFmtId="0" fontId="34" fillId="34" borderId="0" xfId="0" applyFont="1" applyFill="1" applyBorder="1" applyAlignment="1" applyProtection="1">
      <protection hidden="1"/>
    </xf>
    <xf numFmtId="170" fontId="34" fillId="29" borderId="23" xfId="0" applyNumberFormat="1" applyFont="1" applyFill="1" applyBorder="1" applyProtection="1">
      <protection locked="0"/>
    </xf>
    <xf numFmtId="4" fontId="34" fillId="34" borderId="0" xfId="0" applyNumberFormat="1" applyFont="1" applyFill="1" applyBorder="1" applyProtection="1">
      <protection hidden="1"/>
    </xf>
    <xf numFmtId="203" fontId="34" fillId="29" borderId="23" xfId="0" applyNumberFormat="1" applyFont="1" applyFill="1" applyBorder="1" applyProtection="1">
      <protection locked="0"/>
    </xf>
    <xf numFmtId="0" fontId="44" fillId="0" borderId="23" xfId="0" applyFont="1" applyFill="1" applyBorder="1" applyAlignment="1" applyProtection="1">
      <alignment horizontal="center" vertical="center"/>
      <protection locked="0"/>
    </xf>
    <xf numFmtId="0" fontId="34" fillId="0" borderId="0" xfId="0" applyFont="1" applyFill="1" applyBorder="1" applyAlignment="1" applyProtection="1">
      <alignment horizontal="left" indent="1"/>
      <protection hidden="1"/>
    </xf>
    <xf numFmtId="0" fontId="69" fillId="0" borderId="0" xfId="0" applyFont="1" applyFill="1" applyBorder="1" applyProtection="1">
      <protection hidden="1"/>
    </xf>
    <xf numFmtId="0" fontId="34" fillId="0" borderId="0" xfId="0" applyFont="1" applyFill="1" applyBorder="1" applyAlignment="1" applyProtection="1">
      <protection hidden="1"/>
    </xf>
    <xf numFmtId="205" fontId="34" fillId="0" borderId="0" xfId="0" applyNumberFormat="1" applyFont="1" applyFill="1" applyBorder="1" applyProtection="1">
      <protection hidden="1"/>
    </xf>
    <xf numFmtId="0" fontId="34" fillId="30" borderId="0" xfId="0" applyFont="1" applyFill="1" applyBorder="1" applyAlignment="1" applyProtection="1">
      <alignment horizontal="left"/>
      <protection hidden="1"/>
    </xf>
    <xf numFmtId="0" fontId="30" fillId="10" borderId="0" xfId="0" applyNumberFormat="1" applyFont="1" applyFill="1" applyBorder="1" applyAlignment="1" applyProtection="1">
      <alignment horizontal="center" vertical="center"/>
      <protection hidden="1"/>
    </xf>
    <xf numFmtId="0" fontId="34" fillId="0" borderId="14" xfId="0" applyFont="1" applyFill="1" applyBorder="1" applyAlignment="1" applyProtection="1">
      <alignment horizontal="left" vertical="center"/>
      <protection hidden="1"/>
    </xf>
    <xf numFmtId="170" fontId="30" fillId="34" borderId="0" xfId="0" applyNumberFormat="1" applyFont="1" applyFill="1" applyBorder="1" applyAlignment="1" applyProtection="1">
      <alignment vertical="center"/>
      <protection hidden="1"/>
    </xf>
    <xf numFmtId="204" fontId="34" fillId="29" borderId="23" xfId="0" applyNumberFormat="1" applyFont="1" applyFill="1" applyBorder="1" applyAlignment="1" applyProtection="1">
      <alignment vertical="center"/>
      <protection locked="0"/>
    </xf>
    <xf numFmtId="0" fontId="11" fillId="10" borderId="0" xfId="0" applyFont="1" applyFill="1" applyBorder="1" applyAlignment="1" applyProtection="1">
      <alignment vertical="center"/>
      <protection hidden="1"/>
    </xf>
    <xf numFmtId="0" fontId="18" fillId="33" borderId="0" xfId="0" applyFont="1" applyFill="1" applyAlignment="1" applyProtection="1">
      <protection hidden="1"/>
    </xf>
    <xf numFmtId="0" fontId="18" fillId="33" borderId="0" xfId="0" applyFont="1" applyFill="1" applyAlignment="1" applyProtection="1">
      <alignment horizontal="center"/>
      <protection hidden="1"/>
    </xf>
    <xf numFmtId="0" fontId="87" fillId="33" borderId="0" xfId="0" applyFont="1" applyFill="1" applyAlignment="1" applyProtection="1">
      <protection hidden="1"/>
    </xf>
    <xf numFmtId="0" fontId="87" fillId="33" borderId="0" xfId="0" applyFont="1" applyFill="1" applyProtection="1">
      <protection hidden="1"/>
    </xf>
    <xf numFmtId="0" fontId="30" fillId="33" borderId="0" xfId="0" applyFont="1" applyFill="1" applyAlignment="1" applyProtection="1">
      <protection hidden="1"/>
    </xf>
    <xf numFmtId="0" fontId="30" fillId="33" borderId="0" xfId="0" applyFont="1" applyFill="1" applyAlignment="1" applyProtection="1">
      <alignment horizontal="center"/>
      <protection hidden="1"/>
    </xf>
    <xf numFmtId="0" fontId="30" fillId="33" borderId="0" xfId="0" applyFont="1" applyFill="1" applyProtection="1">
      <protection hidden="1"/>
    </xf>
    <xf numFmtId="0" fontId="4" fillId="0" borderId="0" xfId="0" applyFont="1" applyFill="1" applyAlignment="1" applyProtection="1">
      <alignment horizontal="right"/>
      <protection hidden="1"/>
    </xf>
    <xf numFmtId="0" fontId="4" fillId="0" borderId="0" xfId="0" applyFont="1" applyFill="1" applyAlignment="1" applyProtection="1">
      <protection hidden="1"/>
    </xf>
    <xf numFmtId="0" fontId="4" fillId="0" borderId="0" xfId="0" applyFont="1" applyFill="1" applyAlignment="1" applyProtection="1">
      <alignment horizontal="center"/>
      <protection hidden="1"/>
    </xf>
    <xf numFmtId="0" fontId="30" fillId="0" borderId="0" xfId="0" applyFont="1" applyFill="1" applyAlignment="1" applyProtection="1">
      <protection hidden="1"/>
    </xf>
    <xf numFmtId="0" fontId="30" fillId="0" borderId="0" xfId="0" applyFont="1" applyFill="1" applyProtection="1">
      <protection hidden="1"/>
    </xf>
    <xf numFmtId="0" fontId="4" fillId="0" borderId="14" xfId="0"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3" fontId="4" fillId="0" borderId="14" xfId="0" applyNumberFormat="1" applyFont="1" applyFill="1" applyBorder="1" applyAlignment="1" applyProtection="1">
      <alignment horizontal="center" vertical="center"/>
      <protection hidden="1"/>
    </xf>
    <xf numFmtId="3" fontId="4" fillId="0" borderId="0" xfId="0" applyNumberFormat="1" applyFont="1" applyFill="1" applyBorder="1" applyAlignment="1" applyProtection="1">
      <alignment horizontal="center" vertical="center"/>
      <protection hidden="1"/>
    </xf>
    <xf numFmtId="0" fontId="4" fillId="0" borderId="0" xfId="0" applyFont="1" applyFill="1" applyAlignment="1" applyProtection="1">
      <alignment horizontal="left"/>
      <protection hidden="1"/>
    </xf>
    <xf numFmtId="4" fontId="4" fillId="0" borderId="14" xfId="0" applyNumberFormat="1" applyFont="1" applyFill="1" applyBorder="1" applyAlignment="1" applyProtection="1">
      <alignment horizontal="center" vertical="center"/>
      <protection hidden="1"/>
    </xf>
    <xf numFmtId="4" fontId="4" fillId="0" borderId="0" xfId="0" applyNumberFormat="1" applyFont="1" applyFill="1" applyBorder="1" applyAlignment="1" applyProtection="1">
      <alignment horizontal="center" vertical="center"/>
      <protection hidden="1"/>
    </xf>
    <xf numFmtId="0" fontId="30" fillId="10" borderId="0" xfId="0" applyFont="1" applyFill="1" applyBorder="1" applyAlignment="1" applyProtection="1">
      <alignment horizontal="left" vertical="center"/>
      <protection hidden="1"/>
    </xf>
    <xf numFmtId="0" fontId="34" fillId="10" borderId="0" xfId="0" applyFont="1" applyFill="1" applyBorder="1" applyAlignment="1" applyProtection="1">
      <alignment horizontal="right" vertical="center"/>
      <protection hidden="1"/>
    </xf>
    <xf numFmtId="0" fontId="4" fillId="0" borderId="0" xfId="0" applyFont="1" applyBorder="1" applyAlignment="1" applyProtection="1">
      <alignment vertical="center"/>
      <protection hidden="1"/>
    </xf>
    <xf numFmtId="0" fontId="4" fillId="30" borderId="0" xfId="0" applyFont="1" applyFill="1" applyBorder="1" applyAlignment="1" applyProtection="1">
      <alignment horizontal="right" vertical="center"/>
      <protection hidden="1"/>
    </xf>
    <xf numFmtId="0" fontId="4" fillId="0" borderId="0" xfId="0" applyFont="1" applyFill="1" applyAlignment="1" applyProtection="1">
      <alignment vertical="center"/>
      <protection hidden="1"/>
    </xf>
    <xf numFmtId="0" fontId="4" fillId="11" borderId="36" xfId="0" applyFont="1" applyFill="1" applyBorder="1" applyAlignment="1" applyProtection="1">
      <alignment horizontal="right" vertical="center"/>
      <protection hidden="1"/>
    </xf>
    <xf numFmtId="0" fontId="4" fillId="11" borderId="37" xfId="0" applyFont="1" applyFill="1" applyBorder="1" applyAlignment="1" applyProtection="1">
      <alignment horizontal="right" vertical="center"/>
      <protection hidden="1"/>
    </xf>
    <xf numFmtId="0" fontId="4" fillId="11" borderId="37" xfId="0" applyFont="1" applyFill="1" applyBorder="1" applyAlignment="1" applyProtection="1">
      <alignment horizontal="center" vertical="center"/>
      <protection hidden="1"/>
    </xf>
    <xf numFmtId="0" fontId="4" fillId="11" borderId="38" xfId="0" applyFont="1" applyFill="1" applyBorder="1" applyAlignment="1" applyProtection="1">
      <alignment horizontal="right" vertical="center"/>
      <protection hidden="1"/>
    </xf>
    <xf numFmtId="0" fontId="30" fillId="11" borderId="39" xfId="0" applyFont="1" applyFill="1" applyBorder="1" applyAlignment="1" applyProtection="1">
      <alignment horizontal="right" vertical="center"/>
      <protection hidden="1"/>
    </xf>
    <xf numFmtId="0" fontId="36" fillId="11" borderId="0" xfId="0" applyFont="1" applyFill="1" applyBorder="1" applyAlignment="1" applyProtection="1">
      <alignment horizontal="right"/>
      <protection hidden="1"/>
    </xf>
    <xf numFmtId="0" fontId="4" fillId="11" borderId="0" xfId="0" applyFont="1" applyFill="1" applyBorder="1" applyAlignment="1" applyProtection="1">
      <alignment horizontal="center" vertical="center"/>
      <protection hidden="1"/>
    </xf>
    <xf numFmtId="0" fontId="4" fillId="16" borderId="0" xfId="0" applyFont="1" applyFill="1" applyBorder="1" applyAlignment="1" applyProtection="1">
      <alignment horizontal="center" vertical="center"/>
      <protection locked="0"/>
    </xf>
    <xf numFmtId="0" fontId="0" fillId="11" borderId="0" xfId="0" applyFill="1" applyBorder="1" applyAlignment="1">
      <alignment vertical="center"/>
    </xf>
    <xf numFmtId="0" fontId="0" fillId="11" borderId="40" xfId="0" applyFill="1" applyBorder="1" applyAlignment="1">
      <alignment vertical="center"/>
    </xf>
    <xf numFmtId="0" fontId="88" fillId="30" borderId="0" xfId="0" applyFont="1" applyFill="1" applyBorder="1" applyAlignment="1" applyProtection="1">
      <alignment vertical="center"/>
      <protection hidden="1"/>
    </xf>
    <xf numFmtId="0" fontId="30" fillId="11" borderId="41" xfId="0" applyFont="1" applyFill="1" applyBorder="1" applyAlignment="1" applyProtection="1">
      <alignment horizontal="right" vertical="center"/>
      <protection hidden="1"/>
    </xf>
    <xf numFmtId="0" fontId="4" fillId="11" borderId="42" xfId="0" applyFont="1" applyFill="1" applyBorder="1" applyAlignment="1" applyProtection="1">
      <alignment horizontal="right" vertical="center"/>
      <protection hidden="1"/>
    </xf>
    <xf numFmtId="0" fontId="4" fillId="11" borderId="42" xfId="0" applyFont="1" applyFill="1" applyBorder="1" applyAlignment="1" applyProtection="1">
      <alignment horizontal="center" vertical="center"/>
      <protection hidden="1"/>
    </xf>
    <xf numFmtId="0" fontId="4" fillId="11" borderId="42" xfId="0" applyFont="1" applyFill="1" applyBorder="1" applyAlignment="1" applyProtection="1">
      <alignment vertical="center"/>
      <protection hidden="1"/>
    </xf>
    <xf numFmtId="0" fontId="4" fillId="11" borderId="43" xfId="0" applyFont="1" applyFill="1" applyBorder="1" applyAlignment="1" applyProtection="1">
      <alignment horizontal="center" vertical="center"/>
      <protection hidden="1"/>
    </xf>
    <xf numFmtId="0" fontId="4" fillId="30" borderId="0" xfId="0" applyFont="1" applyFill="1" applyBorder="1" applyAlignment="1" applyProtection="1">
      <alignment vertical="center"/>
      <protection hidden="1"/>
    </xf>
    <xf numFmtId="0" fontId="4" fillId="30" borderId="0" xfId="0" applyFont="1" applyFill="1" applyBorder="1" applyAlignment="1" applyProtection="1">
      <alignment horizontal="center" vertical="center"/>
      <protection hidden="1"/>
    </xf>
    <xf numFmtId="0" fontId="36" fillId="30" borderId="0" xfId="0" applyFont="1" applyFill="1" applyBorder="1" applyAlignment="1" applyProtection="1">
      <alignment horizontal="right"/>
      <protection hidden="1"/>
    </xf>
    <xf numFmtId="0" fontId="89" fillId="30" borderId="0" xfId="0" applyFont="1" applyFill="1" applyBorder="1" applyAlignment="1" applyProtection="1">
      <alignment vertical="center"/>
      <protection hidden="1"/>
    </xf>
    <xf numFmtId="0" fontId="4" fillId="0" borderId="0" xfId="0" applyFont="1" applyBorder="1" applyAlignment="1" applyProtection="1">
      <alignment horizontal="right" vertical="center"/>
      <protection hidden="1"/>
    </xf>
    <xf numFmtId="0" fontId="30" fillId="0" borderId="0" xfId="0" applyFont="1" applyBorder="1" applyAlignment="1" applyProtection="1">
      <alignment horizontal="right" vertical="center"/>
      <protection hidden="1"/>
    </xf>
    <xf numFmtId="0" fontId="4" fillId="0" borderId="0" xfId="0" applyFont="1" applyBorder="1" applyAlignment="1" applyProtection="1">
      <alignment horizontal="center" vertical="center"/>
      <protection hidden="1"/>
    </xf>
    <xf numFmtId="0" fontId="4" fillId="0" borderId="0" xfId="0" applyFont="1" applyFill="1" applyBorder="1" applyAlignment="1" applyProtection="1">
      <alignment vertical="center"/>
      <protection hidden="1"/>
    </xf>
    <xf numFmtId="0" fontId="30" fillId="11" borderId="36" xfId="0" applyFont="1" applyFill="1" applyBorder="1" applyAlignment="1" applyProtection="1">
      <alignment horizontal="right" vertical="center"/>
      <protection hidden="1"/>
    </xf>
    <xf numFmtId="0" fontId="4" fillId="11" borderId="38" xfId="0" applyFont="1" applyFill="1" applyBorder="1" applyAlignment="1" applyProtection="1">
      <alignment horizontal="center" vertical="center"/>
      <protection hidden="1"/>
    </xf>
    <xf numFmtId="0" fontId="30" fillId="0" borderId="0" xfId="0" applyFont="1" applyBorder="1" applyAlignment="1" applyProtection="1">
      <alignment vertical="center"/>
      <protection hidden="1"/>
    </xf>
    <xf numFmtId="0" fontId="88" fillId="0" borderId="0" xfId="0" applyFont="1" applyFill="1" applyBorder="1" applyAlignment="1" applyProtection="1">
      <alignment vertical="center"/>
      <protection hidden="1"/>
    </xf>
    <xf numFmtId="0" fontId="36" fillId="0" borderId="0" xfId="0" applyFont="1" applyFill="1" applyBorder="1" applyAlignment="1" applyProtection="1">
      <alignment horizontal="right"/>
      <protection hidden="1"/>
    </xf>
    <xf numFmtId="0" fontId="10" fillId="0" borderId="0" xfId="0" applyFont="1" applyBorder="1" applyAlignment="1" applyProtection="1">
      <alignment horizontal="center" vertical="center"/>
      <protection hidden="1"/>
    </xf>
    <xf numFmtId="0" fontId="4" fillId="16" borderId="23" xfId="0" applyFont="1" applyFill="1" applyBorder="1" applyAlignment="1" applyProtection="1">
      <alignment horizontal="center" vertical="center"/>
      <protection locked="0"/>
    </xf>
    <xf numFmtId="0" fontId="90" fillId="0" borderId="0" xfId="0" applyFont="1" applyBorder="1" applyAlignment="1" applyProtection="1">
      <alignment horizontal="center" vertical="center"/>
      <protection hidden="1"/>
    </xf>
    <xf numFmtId="0" fontId="30" fillId="0" borderId="0" xfId="0" applyFont="1" applyFill="1" applyBorder="1" applyAlignment="1" applyProtection="1">
      <alignment vertical="center"/>
      <protection hidden="1"/>
    </xf>
    <xf numFmtId="9" fontId="30" fillId="0" borderId="0" xfId="0" applyNumberFormat="1" applyFont="1" applyFill="1" applyBorder="1" applyAlignment="1" applyProtection="1">
      <alignment horizontal="center" vertical="center"/>
      <protection hidden="1"/>
    </xf>
    <xf numFmtId="0" fontId="36" fillId="0" borderId="0" xfId="0" applyFont="1" applyFill="1" applyBorder="1" applyAlignment="1" applyProtection="1">
      <alignment horizontal="right" vertical="center"/>
      <protection hidden="1"/>
    </xf>
    <xf numFmtId="0" fontId="36" fillId="30" borderId="0" xfId="0" applyFont="1" applyFill="1" applyBorder="1" applyAlignment="1" applyProtection="1">
      <alignment horizontal="right" vertical="center"/>
      <protection hidden="1"/>
    </xf>
    <xf numFmtId="0" fontId="10" fillId="30" borderId="0" xfId="0" applyFont="1" applyFill="1" applyBorder="1" applyAlignment="1" applyProtection="1">
      <alignment horizontal="center" vertical="center"/>
      <protection hidden="1"/>
    </xf>
    <xf numFmtId="0" fontId="0" fillId="30" borderId="0" xfId="0" applyFill="1" applyAlignment="1">
      <alignment vertical="center"/>
    </xf>
    <xf numFmtId="0" fontId="90" fillId="30" borderId="0" xfId="0" applyFont="1" applyFill="1" applyBorder="1" applyAlignment="1" applyProtection="1">
      <alignment horizontal="center" vertical="center"/>
      <protection hidden="1"/>
    </xf>
    <xf numFmtId="0" fontId="30" fillId="30" borderId="0" xfId="0" applyFont="1" applyFill="1" applyBorder="1" applyAlignment="1" applyProtection="1">
      <alignment horizontal="left" vertical="center"/>
      <protection hidden="1"/>
    </xf>
    <xf numFmtId="4" fontId="34" fillId="30" borderId="0" xfId="0" applyNumberFormat="1" applyFont="1" applyFill="1" applyBorder="1" applyAlignment="1" applyProtection="1">
      <alignment horizontal="center" vertical="center"/>
      <protection hidden="1"/>
    </xf>
    <xf numFmtId="9" fontId="4" fillId="30" borderId="0" xfId="0" applyNumberFormat="1" applyFont="1" applyFill="1" applyBorder="1" applyAlignment="1" applyProtection="1">
      <alignment horizontal="center" vertical="center"/>
      <protection hidden="1"/>
    </xf>
    <xf numFmtId="4" fontId="30" fillId="30" borderId="0" xfId="0" applyNumberFormat="1" applyFont="1" applyFill="1" applyBorder="1" applyAlignment="1" applyProtection="1">
      <alignment horizontal="center" vertical="center"/>
      <protection hidden="1"/>
    </xf>
    <xf numFmtId="9" fontId="4" fillId="16" borderId="23" xfId="0" applyNumberFormat="1" applyFont="1" applyFill="1" applyBorder="1" applyAlignment="1" applyProtection="1">
      <alignment horizontal="center" vertical="center"/>
      <protection locked="0"/>
    </xf>
    <xf numFmtId="4" fontId="30" fillId="0" borderId="0" xfId="0" applyNumberFormat="1" applyFont="1" applyFill="1" applyBorder="1" applyAlignment="1" applyProtection="1">
      <alignment vertical="center"/>
      <protection hidden="1"/>
    </xf>
    <xf numFmtId="0" fontId="36" fillId="11" borderId="37" xfId="0" applyFont="1" applyFill="1" applyBorder="1" applyAlignment="1" applyProtection="1">
      <alignment horizontal="right" vertical="center"/>
      <protection hidden="1"/>
    </xf>
    <xf numFmtId="0" fontId="30" fillId="11" borderId="37" xfId="0" applyFont="1" applyFill="1" applyBorder="1" applyAlignment="1" applyProtection="1">
      <alignment horizontal="center" vertical="center"/>
      <protection hidden="1"/>
    </xf>
    <xf numFmtId="0" fontId="30" fillId="11" borderId="37" xfId="0" applyFont="1" applyFill="1" applyBorder="1" applyAlignment="1" applyProtection="1">
      <alignment horizontal="right" vertical="center"/>
      <protection hidden="1"/>
    </xf>
    <xf numFmtId="0" fontId="30" fillId="11" borderId="37" xfId="0" applyFont="1" applyFill="1" applyBorder="1" applyAlignment="1" applyProtection="1">
      <alignment vertical="center"/>
      <protection hidden="1"/>
    </xf>
    <xf numFmtId="9" fontId="4" fillId="11" borderId="37" xfId="0" applyNumberFormat="1" applyFont="1" applyFill="1" applyBorder="1" applyAlignment="1" applyProtection="1">
      <alignment horizontal="center" vertical="center"/>
      <protection hidden="1"/>
    </xf>
    <xf numFmtId="9" fontId="4" fillId="11" borderId="38" xfId="0" applyNumberFormat="1" applyFont="1" applyFill="1" applyBorder="1" applyAlignment="1" applyProtection="1">
      <alignment horizontal="center" vertical="center"/>
      <protection hidden="1"/>
    </xf>
    <xf numFmtId="0" fontId="4" fillId="16" borderId="0" xfId="0" applyFont="1" applyFill="1" applyBorder="1" applyAlignment="1" applyProtection="1">
      <alignment vertical="center"/>
      <protection locked="0"/>
    </xf>
    <xf numFmtId="0" fontId="4" fillId="11" borderId="40" xfId="0" applyFont="1" applyFill="1" applyBorder="1" applyAlignment="1" applyProtection="1">
      <alignment vertical="center"/>
      <protection hidden="1"/>
    </xf>
    <xf numFmtId="0" fontId="36" fillId="11" borderId="42" xfId="0" applyFont="1" applyFill="1" applyBorder="1" applyAlignment="1" applyProtection="1">
      <alignment horizontal="right" vertical="center"/>
      <protection hidden="1"/>
    </xf>
    <xf numFmtId="0" fontId="4" fillId="11" borderId="43" xfId="0" applyFont="1" applyFill="1" applyBorder="1" applyAlignment="1" applyProtection="1">
      <alignment vertical="center"/>
      <protection hidden="1"/>
    </xf>
    <xf numFmtId="0" fontId="4" fillId="0" borderId="0" xfId="0" applyFont="1" applyFill="1" applyBorder="1" applyAlignment="1" applyProtection="1">
      <alignment horizontal="right" vertical="center"/>
      <protection hidden="1"/>
    </xf>
    <xf numFmtId="0" fontId="30" fillId="0" borderId="0" xfId="0" applyFont="1" applyFill="1" applyBorder="1" applyAlignment="1" applyProtection="1">
      <alignment horizontal="right" vertical="center"/>
      <protection hidden="1"/>
    </xf>
    <xf numFmtId="9" fontId="4" fillId="0" borderId="0" xfId="0" applyNumberFormat="1" applyFont="1" applyFill="1" applyBorder="1" applyAlignment="1" applyProtection="1">
      <alignment horizontal="center" vertical="center"/>
      <protection hidden="1"/>
    </xf>
    <xf numFmtId="0" fontId="34" fillId="0" borderId="0" xfId="0" applyFont="1" applyFill="1" applyBorder="1" applyAlignment="1" applyProtection="1">
      <alignment horizontal="right" vertical="center"/>
      <protection hidden="1"/>
    </xf>
    <xf numFmtId="0" fontId="34" fillId="0" borderId="0" xfId="0" applyFont="1" applyFill="1" applyBorder="1" applyAlignment="1" applyProtection="1">
      <alignment horizontal="center" vertical="center"/>
      <protection hidden="1"/>
    </xf>
    <xf numFmtId="0" fontId="11" fillId="0" borderId="0" xfId="0" applyFont="1" applyFill="1" applyBorder="1" applyAlignment="1" applyProtection="1">
      <alignment horizontal="left" vertical="center"/>
      <protection hidden="1"/>
    </xf>
    <xf numFmtId="0" fontId="4" fillId="30" borderId="13" xfId="0" applyFont="1" applyFill="1" applyBorder="1" applyAlignment="1" applyProtection="1">
      <alignment horizontal="right" vertical="center"/>
      <protection hidden="1"/>
    </xf>
    <xf numFmtId="0" fontId="4" fillId="30" borderId="13" xfId="0" applyFont="1" applyFill="1" applyBorder="1" applyAlignment="1" applyProtection="1">
      <alignment horizontal="left" vertical="center"/>
      <protection hidden="1"/>
    </xf>
    <xf numFmtId="0" fontId="4" fillId="30" borderId="13" xfId="0" applyFont="1" applyFill="1" applyBorder="1" applyAlignment="1" applyProtection="1">
      <alignment vertical="center"/>
      <protection hidden="1"/>
    </xf>
    <xf numFmtId="0" fontId="4" fillId="30" borderId="0" xfId="0" applyFont="1" applyFill="1" applyBorder="1" applyAlignment="1" applyProtection="1">
      <alignment horizontal="left" vertical="center"/>
      <protection hidden="1"/>
    </xf>
    <xf numFmtId="3" fontId="30" fillId="30" borderId="0" xfId="0" applyNumberFormat="1" applyFont="1" applyFill="1" applyBorder="1" applyAlignment="1" applyProtection="1">
      <alignment vertical="center"/>
      <protection hidden="1"/>
    </xf>
    <xf numFmtId="0" fontId="75" fillId="30" borderId="0" xfId="0" applyFont="1" applyFill="1" applyBorder="1" applyAlignment="1" applyProtection="1">
      <alignment horizontal="right"/>
      <protection hidden="1"/>
    </xf>
    <xf numFmtId="0" fontId="75" fillId="30" borderId="0" xfId="0" applyFont="1" applyFill="1" applyBorder="1" applyAlignment="1" applyProtection="1">
      <alignment horizontal="right" vertical="center"/>
      <protection hidden="1"/>
    </xf>
    <xf numFmtId="4" fontId="30" fillId="30" borderId="0" xfId="0" applyNumberFormat="1" applyFont="1" applyFill="1" applyBorder="1" applyAlignment="1" applyProtection="1">
      <alignment vertical="center"/>
      <protection hidden="1"/>
    </xf>
    <xf numFmtId="4" fontId="91" fillId="30" borderId="0" xfId="0" applyNumberFormat="1" applyFont="1" applyFill="1" applyBorder="1" applyAlignment="1" applyProtection="1">
      <alignment vertical="center"/>
      <protection hidden="1"/>
    </xf>
    <xf numFmtId="0" fontId="30" fillId="0" borderId="0" xfId="0" applyFont="1" applyFill="1" applyBorder="1" applyAlignment="1" applyProtection="1">
      <alignment horizontal="left" vertical="center"/>
      <protection hidden="1"/>
    </xf>
    <xf numFmtId="0" fontId="34" fillId="11" borderId="36" xfId="0" applyFont="1" applyFill="1" applyBorder="1" applyAlignment="1" applyProtection="1">
      <alignment horizontal="right" vertical="center"/>
      <protection hidden="1"/>
    </xf>
    <xf numFmtId="0" fontId="34" fillId="11" borderId="37" xfId="0" applyFont="1" applyFill="1" applyBorder="1" applyAlignment="1" applyProtection="1">
      <alignment horizontal="right" vertical="center"/>
      <protection hidden="1"/>
    </xf>
    <xf numFmtId="0" fontId="34" fillId="11" borderId="37" xfId="0" applyFont="1" applyFill="1" applyBorder="1" applyAlignment="1" applyProtection="1">
      <alignment horizontal="center" vertical="center"/>
      <protection hidden="1"/>
    </xf>
    <xf numFmtId="0" fontId="34" fillId="11" borderId="38" xfId="0" applyFont="1" applyFill="1" applyBorder="1" applyAlignment="1" applyProtection="1">
      <alignment horizontal="center" vertical="center"/>
      <protection hidden="1"/>
    </xf>
    <xf numFmtId="0" fontId="4" fillId="11" borderId="0" xfId="0" applyFont="1" applyFill="1" applyBorder="1" applyAlignment="1" applyProtection="1">
      <alignment horizontal="right" vertical="center"/>
      <protection hidden="1"/>
    </xf>
    <xf numFmtId="0" fontId="30" fillId="11" borderId="0" xfId="0" applyFont="1" applyFill="1" applyBorder="1" applyAlignment="1" applyProtection="1">
      <alignment horizontal="center" vertical="center"/>
      <protection hidden="1"/>
    </xf>
    <xf numFmtId="0" fontId="4" fillId="11" borderId="40" xfId="0" applyFont="1" applyFill="1" applyBorder="1" applyAlignment="1" applyProtection="1">
      <alignment horizontal="center" vertical="center"/>
      <protection hidden="1"/>
    </xf>
    <xf numFmtId="0" fontId="0" fillId="0" borderId="0" xfId="0" applyFill="1" applyAlignment="1" applyProtection="1">
      <alignment vertical="center"/>
      <protection hidden="1"/>
    </xf>
    <xf numFmtId="0" fontId="0" fillId="0" borderId="0" xfId="0" applyAlignment="1" applyProtection="1">
      <alignment vertical="center"/>
      <protection hidden="1"/>
    </xf>
    <xf numFmtId="0" fontId="4" fillId="11" borderId="13" xfId="0" applyFont="1" applyFill="1" applyBorder="1" applyAlignment="1" applyProtection="1">
      <alignment horizontal="center" vertical="center"/>
      <protection hidden="1"/>
    </xf>
    <xf numFmtId="0" fontId="36" fillId="11" borderId="0" xfId="0" applyFont="1" applyFill="1" applyBorder="1" applyAlignment="1" applyProtection="1">
      <alignment horizontal="right" vertical="top"/>
      <protection hidden="1"/>
    </xf>
    <xf numFmtId="0" fontId="4" fillId="11" borderId="41" xfId="0" applyFont="1" applyFill="1" applyBorder="1" applyAlignment="1" applyProtection="1">
      <alignment horizontal="right" vertical="center"/>
      <protection hidden="1"/>
    </xf>
    <xf numFmtId="0" fontId="0" fillId="11" borderId="42" xfId="0" applyFill="1" applyBorder="1" applyAlignment="1">
      <alignment vertical="center"/>
    </xf>
    <xf numFmtId="0" fontId="0" fillId="11" borderId="37" xfId="0" applyFill="1" applyBorder="1" applyAlignment="1">
      <alignment vertical="center"/>
    </xf>
    <xf numFmtId="0" fontId="0" fillId="0" borderId="0" xfId="0" applyFill="1" applyAlignment="1" applyProtection="1">
      <alignment horizontal="right" vertical="center"/>
      <protection hidden="1"/>
    </xf>
    <xf numFmtId="0" fontId="0" fillId="11" borderId="43" xfId="0" applyFill="1" applyBorder="1" applyAlignment="1">
      <alignment vertical="center"/>
    </xf>
    <xf numFmtId="0" fontId="4" fillId="0" borderId="0" xfId="0" applyFont="1" applyAlignment="1" applyProtection="1">
      <alignment vertical="center"/>
      <protection hidden="1"/>
    </xf>
    <xf numFmtId="4" fontId="30" fillId="0" borderId="0" xfId="0" applyNumberFormat="1" applyFont="1" applyBorder="1" applyAlignment="1" applyProtection="1">
      <alignment vertical="center"/>
      <protection hidden="1"/>
    </xf>
    <xf numFmtId="0" fontId="30" fillId="0" borderId="0" xfId="0" applyFont="1" applyBorder="1" applyAlignment="1" applyProtection="1">
      <alignment horizontal="center" vertical="center"/>
      <protection hidden="1"/>
    </xf>
    <xf numFmtId="0" fontId="43" fillId="10" borderId="0" xfId="0" applyFont="1" applyFill="1" applyBorder="1" applyAlignment="1" applyProtection="1">
      <alignment vertical="center"/>
      <protection hidden="1"/>
    </xf>
    <xf numFmtId="0" fontId="4" fillId="10" borderId="0" xfId="0" applyFont="1" applyFill="1" applyBorder="1" applyAlignment="1" applyProtection="1">
      <alignment horizontal="right" vertical="center"/>
      <protection hidden="1"/>
    </xf>
    <xf numFmtId="0" fontId="4" fillId="10" borderId="0" xfId="0" applyFont="1" applyFill="1" applyBorder="1" applyAlignment="1" applyProtection="1">
      <alignment horizontal="center" vertical="center"/>
      <protection hidden="1"/>
    </xf>
    <xf numFmtId="0" fontId="0" fillId="10" borderId="0" xfId="0" applyFill="1" applyAlignment="1">
      <alignment vertical="center"/>
    </xf>
    <xf numFmtId="0" fontId="4" fillId="10" borderId="0" xfId="0" applyFont="1" applyFill="1" applyBorder="1" applyAlignment="1" applyProtection="1">
      <alignment vertical="center"/>
      <protection hidden="1"/>
    </xf>
    <xf numFmtId="0" fontId="4" fillId="0" borderId="0" xfId="0" applyFont="1" applyBorder="1" applyProtection="1">
      <protection hidden="1"/>
    </xf>
    <xf numFmtId="0" fontId="32" fillId="13" borderId="0" xfId="0" applyFont="1" applyFill="1" applyProtection="1">
      <protection hidden="1"/>
    </xf>
    <xf numFmtId="0" fontId="32" fillId="10" borderId="0" xfId="0" applyFont="1" applyFill="1" applyProtection="1">
      <protection hidden="1"/>
    </xf>
    <xf numFmtId="0" fontId="0" fillId="10" borderId="0" xfId="0" applyFill="1" applyProtection="1">
      <protection hidden="1"/>
    </xf>
    <xf numFmtId="0" fontId="32" fillId="30" borderId="0" xfId="0" applyFont="1" applyFill="1" applyAlignment="1" applyProtection="1">
      <alignment horizontal="center" vertical="center"/>
      <protection hidden="1"/>
    </xf>
    <xf numFmtId="0" fontId="4" fillId="0" borderId="0" xfId="0" applyFont="1" applyBorder="1" applyAlignment="1" applyProtection="1">
      <alignment horizontal="right"/>
      <protection hidden="1"/>
    </xf>
    <xf numFmtId="0" fontId="4" fillId="0" borderId="0" xfId="0" applyFont="1" applyBorder="1" applyAlignment="1" applyProtection="1">
      <alignment horizontal="center"/>
      <protection hidden="1"/>
    </xf>
    <xf numFmtId="202" fontId="34" fillId="0" borderId="14" xfId="0" applyNumberFormat="1" applyFont="1" applyFill="1" applyBorder="1" applyAlignment="1" applyProtection="1">
      <alignment horizontal="center"/>
      <protection hidden="1"/>
    </xf>
    <xf numFmtId="169" fontId="34" fillId="16" borderId="44" xfId="0" applyNumberFormat="1" applyFont="1" applyFill="1" applyBorder="1" applyAlignment="1" applyProtection="1">
      <alignment vertical="center"/>
      <protection locked="0"/>
    </xf>
    <xf numFmtId="3" fontId="34" fillId="0" borderId="25" xfId="0" applyNumberFormat="1" applyFont="1" applyFill="1" applyBorder="1" applyAlignment="1" applyProtection="1">
      <alignment vertical="center"/>
      <protection hidden="1"/>
    </xf>
    <xf numFmtId="166" fontId="34" fillId="0" borderId="25" xfId="0" applyNumberFormat="1" applyFont="1" applyFill="1" applyBorder="1" applyAlignment="1" applyProtection="1">
      <alignment vertical="center"/>
      <protection hidden="1"/>
    </xf>
    <xf numFmtId="3" fontId="34" fillId="0" borderId="27" xfId="0" applyNumberFormat="1" applyFont="1" applyFill="1" applyBorder="1" applyAlignment="1" applyProtection="1">
      <alignment vertical="center"/>
      <protection hidden="1"/>
    </xf>
    <xf numFmtId="166" fontId="34" fillId="0" borderId="27" xfId="0" applyNumberFormat="1" applyFont="1" applyFill="1" applyBorder="1" applyAlignment="1" applyProtection="1">
      <alignment vertical="center"/>
      <protection hidden="1"/>
    </xf>
    <xf numFmtId="3" fontId="34" fillId="0" borderId="14" xfId="0" applyNumberFormat="1" applyFont="1" applyFill="1" applyBorder="1" applyAlignment="1" applyProtection="1">
      <alignment vertical="center"/>
      <protection hidden="1"/>
    </xf>
    <xf numFmtId="166" fontId="34" fillId="0" borderId="14" xfId="0" applyNumberFormat="1" applyFont="1" applyFill="1" applyBorder="1" applyAlignment="1" applyProtection="1">
      <alignment vertical="center"/>
      <protection hidden="1"/>
    </xf>
    <xf numFmtId="167" fontId="34" fillId="0" borderId="22" xfId="0" applyNumberFormat="1" applyFont="1" applyFill="1" applyBorder="1" applyAlignment="1" applyProtection="1">
      <alignment horizontal="center" vertical="center"/>
      <protection hidden="1"/>
    </xf>
    <xf numFmtId="169" fontId="34" fillId="0" borderId="45" xfId="0" applyNumberFormat="1" applyFont="1" applyFill="1" applyBorder="1" applyAlignment="1" applyProtection="1">
      <alignment vertical="center"/>
      <protection hidden="1"/>
    </xf>
    <xf numFmtId="4" fontId="30" fillId="29" borderId="23" xfId="45" applyNumberFormat="1" applyFont="1" applyFill="1" applyBorder="1" applyAlignment="1" applyProtection="1">
      <alignment vertical="center"/>
      <protection locked="0"/>
    </xf>
    <xf numFmtId="169" fontId="30" fillId="29" borderId="23" xfId="0" applyNumberFormat="1" applyFont="1" applyFill="1" applyBorder="1" applyAlignment="1" applyProtection="1">
      <alignment vertical="center"/>
      <protection locked="0"/>
    </xf>
    <xf numFmtId="169" fontId="30" fillId="16" borderId="23" xfId="0" applyNumberFormat="1" applyFont="1" applyFill="1" applyBorder="1" applyAlignment="1" applyProtection="1">
      <alignment vertical="center"/>
      <protection locked="0"/>
    </xf>
    <xf numFmtId="0" fontId="11" fillId="36" borderId="23" xfId="0" applyFont="1" applyFill="1" applyBorder="1" applyAlignment="1" applyProtection="1">
      <alignment horizontal="center" vertical="center"/>
      <protection locked="0"/>
    </xf>
    <xf numFmtId="169" fontId="34" fillId="16" borderId="44" xfId="0" applyNumberFormat="1" applyFont="1" applyFill="1" applyBorder="1" applyProtection="1">
      <protection locked="0"/>
    </xf>
    <xf numFmtId="169" fontId="30" fillId="16" borderId="44" xfId="0" applyNumberFormat="1" applyFont="1" applyFill="1" applyBorder="1" applyProtection="1">
      <protection locked="0"/>
    </xf>
    <xf numFmtId="169" fontId="30" fillId="16" borderId="11" xfId="0" applyNumberFormat="1" applyFont="1" applyFill="1" applyBorder="1" applyProtection="1">
      <protection locked="0"/>
    </xf>
    <xf numFmtId="169" fontId="34" fillId="29" borderId="11" xfId="0" applyNumberFormat="1" applyFont="1" applyFill="1" applyBorder="1" applyProtection="1">
      <protection locked="0"/>
    </xf>
    <xf numFmtId="0" fontId="0" fillId="32" borderId="0" xfId="0" applyFill="1" applyProtection="1">
      <protection hidden="1"/>
    </xf>
    <xf numFmtId="194" fontId="52" fillId="0" borderId="14" xfId="0" applyNumberFormat="1" applyFont="1" applyFill="1" applyBorder="1" applyProtection="1">
      <protection hidden="1"/>
    </xf>
    <xf numFmtId="169" fontId="34" fillId="0" borderId="27" xfId="0" applyNumberFormat="1" applyFont="1" applyFill="1" applyBorder="1" applyProtection="1">
      <protection hidden="1"/>
    </xf>
    <xf numFmtId="169" fontId="34" fillId="0" borderId="25" xfId="0" applyNumberFormat="1" applyFont="1" applyFill="1" applyBorder="1" applyProtection="1">
      <protection hidden="1"/>
    </xf>
    <xf numFmtId="169" fontId="30" fillId="0" borderId="27" xfId="0" applyNumberFormat="1" applyFont="1" applyFill="1" applyBorder="1" applyProtection="1">
      <protection hidden="1"/>
    </xf>
    <xf numFmtId="169" fontId="30" fillId="0" borderId="26" xfId="0" applyNumberFormat="1" applyFont="1" applyFill="1" applyBorder="1" applyProtection="1">
      <protection hidden="1"/>
    </xf>
    <xf numFmtId="169" fontId="52" fillId="0" borderId="22" xfId="0" applyNumberFormat="1" applyFont="1" applyFill="1" applyBorder="1" applyAlignment="1" applyProtection="1">
      <alignment vertical="center"/>
      <protection hidden="1"/>
    </xf>
    <xf numFmtId="245" fontId="34" fillId="0" borderId="22" xfId="0" applyNumberFormat="1" applyFont="1" applyFill="1" applyBorder="1" applyAlignment="1" applyProtection="1">
      <alignment horizontal="center" vertical="center"/>
      <protection hidden="1"/>
    </xf>
    <xf numFmtId="245" fontId="34" fillId="0" borderId="33" xfId="0" applyNumberFormat="1" applyFont="1" applyFill="1" applyBorder="1" applyAlignment="1" applyProtection="1">
      <alignment horizontal="center" vertical="center"/>
      <protection hidden="1"/>
    </xf>
    <xf numFmtId="1" fontId="34" fillId="0" borderId="14" xfId="0" applyNumberFormat="1" applyFont="1" applyFill="1" applyBorder="1" applyAlignment="1" applyProtection="1">
      <alignment vertical="center"/>
      <protection hidden="1"/>
    </xf>
    <xf numFmtId="248" fontId="34" fillId="0" borderId="14" xfId="0" applyNumberFormat="1" applyFont="1" applyFill="1" applyBorder="1" applyAlignment="1" applyProtection="1">
      <alignment horizontal="center" vertical="center"/>
      <protection hidden="1"/>
    </xf>
    <xf numFmtId="248" fontId="34" fillId="0" borderId="25" xfId="0" applyNumberFormat="1" applyFont="1" applyFill="1" applyBorder="1" applyAlignment="1" applyProtection="1">
      <alignment horizontal="center" vertical="center"/>
      <protection hidden="1"/>
    </xf>
    <xf numFmtId="4" fontId="34" fillId="0" borderId="25" xfId="0" applyNumberFormat="1" applyFont="1" applyFill="1" applyBorder="1" applyAlignment="1" applyProtection="1">
      <alignment horizontal="center" vertical="center"/>
      <protection hidden="1"/>
    </xf>
    <xf numFmtId="4" fontId="34" fillId="0" borderId="27" xfId="0" applyNumberFormat="1" applyFont="1" applyFill="1" applyBorder="1" applyAlignment="1" applyProtection="1">
      <alignment horizontal="center" vertical="center"/>
      <protection hidden="1"/>
    </xf>
    <xf numFmtId="0" fontId="34" fillId="0" borderId="0" xfId="0" applyFont="1" applyFill="1" applyBorder="1" applyProtection="1">
      <protection locked="0"/>
    </xf>
    <xf numFmtId="0" fontId="34" fillId="0" borderId="22" xfId="0" applyFont="1" applyFill="1" applyBorder="1" applyAlignment="1" applyProtection="1">
      <alignment horizontal="center" vertical="center"/>
      <protection hidden="1"/>
    </xf>
    <xf numFmtId="4" fontId="34" fillId="0" borderId="0" xfId="0" applyNumberFormat="1" applyFont="1" applyFill="1" applyBorder="1" applyAlignment="1" applyProtection="1">
      <alignment horizontal="center" vertical="center"/>
      <protection hidden="1"/>
    </xf>
    <xf numFmtId="214" fontId="34" fillId="0" borderId="25" xfId="0" applyNumberFormat="1" applyFont="1" applyFill="1" applyBorder="1" applyAlignment="1" applyProtection="1">
      <alignment horizontal="center" vertical="center"/>
      <protection hidden="1"/>
    </xf>
    <xf numFmtId="3" fontId="30" fillId="0" borderId="0" xfId="0" applyNumberFormat="1" applyFont="1" applyFill="1" applyBorder="1" applyAlignment="1" applyProtection="1">
      <alignment vertical="center"/>
      <protection hidden="1"/>
    </xf>
    <xf numFmtId="3" fontId="30" fillId="10" borderId="0" xfId="0" applyNumberFormat="1" applyFont="1" applyFill="1" applyBorder="1" applyAlignment="1" applyProtection="1">
      <alignment horizontal="centerContinuous" vertical="center"/>
      <protection hidden="1"/>
    </xf>
    <xf numFmtId="3" fontId="51" fillId="10" borderId="0" xfId="0" applyNumberFormat="1" applyFont="1" applyFill="1" applyBorder="1" applyAlignment="1" applyProtection="1">
      <alignment horizontal="left" vertical="center"/>
      <protection hidden="1"/>
    </xf>
    <xf numFmtId="4" fontId="30" fillId="34" borderId="14" xfId="0" applyNumberFormat="1" applyFont="1" applyFill="1" applyBorder="1" applyAlignment="1" applyProtection="1">
      <alignment horizontal="center" vertical="center"/>
      <protection hidden="1"/>
    </xf>
    <xf numFmtId="4" fontId="34" fillId="34" borderId="0" xfId="0" applyNumberFormat="1" applyFont="1" applyFill="1" applyBorder="1" applyAlignment="1" applyProtection="1">
      <alignment horizontal="center" vertical="center"/>
      <protection hidden="1"/>
    </xf>
    <xf numFmtId="3" fontId="51" fillId="10" borderId="0" xfId="0" applyNumberFormat="1" applyFont="1" applyFill="1" applyBorder="1" applyAlignment="1" applyProtection="1">
      <alignment vertical="center"/>
      <protection hidden="1"/>
    </xf>
    <xf numFmtId="4" fontId="34" fillId="10" borderId="0" xfId="0" applyNumberFormat="1" applyFont="1" applyFill="1" applyBorder="1" applyAlignment="1" applyProtection="1">
      <alignment horizontal="center" vertical="center"/>
      <protection hidden="1"/>
    </xf>
    <xf numFmtId="166" fontId="34" fillId="34" borderId="0" xfId="0" applyNumberFormat="1" applyFont="1" applyFill="1" applyBorder="1" applyAlignment="1" applyProtection="1">
      <alignment horizontal="center" vertical="center"/>
      <protection hidden="1"/>
    </xf>
    <xf numFmtId="3" fontId="34" fillId="34" borderId="0" xfId="0" applyNumberFormat="1" applyFont="1" applyFill="1" applyBorder="1" applyAlignment="1" applyProtection="1">
      <alignment vertical="center"/>
      <protection hidden="1"/>
    </xf>
    <xf numFmtId="166" fontId="34" fillId="10" borderId="0" xfId="0" applyNumberFormat="1" applyFont="1" applyFill="1" applyBorder="1" applyAlignment="1" applyProtection="1">
      <alignment vertical="center"/>
      <protection hidden="1"/>
    </xf>
    <xf numFmtId="4" fontId="30" fillId="10" borderId="0" xfId="0" applyNumberFormat="1" applyFont="1" applyFill="1" applyBorder="1" applyAlignment="1" applyProtection="1">
      <alignment horizontal="center" vertical="center"/>
      <protection hidden="1"/>
    </xf>
    <xf numFmtId="166" fontId="34" fillId="30" borderId="0" xfId="0" applyNumberFormat="1" applyFont="1" applyFill="1" applyBorder="1" applyAlignment="1" applyProtection="1">
      <alignment vertical="center"/>
      <protection hidden="1"/>
    </xf>
    <xf numFmtId="192" fontId="34" fillId="34" borderId="0" xfId="0" applyNumberFormat="1" applyFont="1" applyFill="1" applyBorder="1" applyAlignment="1" applyProtection="1">
      <alignment horizontal="center" vertical="center"/>
      <protection hidden="1"/>
    </xf>
    <xf numFmtId="3" fontId="34" fillId="6" borderId="0" xfId="0" applyNumberFormat="1" applyFont="1" applyFill="1" applyBorder="1" applyAlignment="1" applyProtection="1">
      <alignment horizontal="center" vertical="center"/>
      <protection hidden="1"/>
    </xf>
    <xf numFmtId="0" fontId="34" fillId="6" borderId="0" xfId="0" applyNumberFormat="1" applyFont="1" applyFill="1" applyBorder="1" applyAlignment="1" applyProtection="1">
      <alignment vertical="center"/>
      <protection hidden="1"/>
    </xf>
    <xf numFmtId="3" fontId="34" fillId="6" borderId="0" xfId="0" applyNumberFormat="1" applyFont="1" applyFill="1" applyBorder="1" applyAlignment="1" applyProtection="1">
      <alignment vertical="center"/>
      <protection hidden="1"/>
    </xf>
    <xf numFmtId="192" fontId="34" fillId="6" borderId="0" xfId="0" applyNumberFormat="1" applyFont="1" applyFill="1" applyBorder="1" applyAlignment="1" applyProtection="1">
      <alignment horizontal="center" vertical="center"/>
      <protection hidden="1"/>
    </xf>
    <xf numFmtId="202" fontId="34" fillId="6" borderId="14" xfId="0" applyNumberFormat="1" applyFont="1" applyFill="1" applyBorder="1" applyAlignment="1" applyProtection="1">
      <alignment horizontal="center" vertical="center"/>
      <protection hidden="1"/>
    </xf>
    <xf numFmtId="3" fontId="30" fillId="10" borderId="0" xfId="0" applyNumberFormat="1" applyFont="1" applyFill="1" applyBorder="1" applyAlignment="1" applyProtection="1">
      <alignment horizontal="center" vertical="center" shrinkToFit="1"/>
      <protection hidden="1"/>
    </xf>
    <xf numFmtId="3" fontId="34" fillId="10" borderId="0" xfId="0" applyNumberFormat="1" applyFont="1" applyFill="1" applyBorder="1" applyAlignment="1" applyProtection="1">
      <alignment vertical="center"/>
      <protection hidden="1"/>
    </xf>
    <xf numFmtId="3" fontId="34" fillId="30" borderId="0" xfId="0" applyNumberFormat="1" applyFont="1" applyFill="1" applyBorder="1" applyAlignment="1" applyProtection="1">
      <alignment horizontal="right" vertical="center"/>
      <protection hidden="1"/>
    </xf>
    <xf numFmtId="4" fontId="30" fillId="0" borderId="0" xfId="0" applyNumberFormat="1" applyFont="1" applyFill="1" applyBorder="1" applyAlignment="1" applyProtection="1">
      <alignment horizontal="center" vertical="center"/>
      <protection hidden="1"/>
    </xf>
    <xf numFmtId="3" fontId="30" fillId="0" borderId="0" xfId="0" applyNumberFormat="1" applyFont="1" applyFill="1" applyBorder="1" applyAlignment="1" applyProtection="1">
      <alignment horizontal="center" vertical="center"/>
      <protection hidden="1"/>
    </xf>
    <xf numFmtId="3" fontId="30" fillId="6" borderId="0" xfId="0" applyNumberFormat="1" applyFont="1" applyFill="1" applyBorder="1" applyAlignment="1" applyProtection="1">
      <alignment horizontal="center" vertical="center"/>
      <protection hidden="1"/>
    </xf>
    <xf numFmtId="188" fontId="30" fillId="10" borderId="0" xfId="0" applyNumberFormat="1" applyFont="1" applyFill="1" applyBorder="1" applyAlignment="1" applyProtection="1">
      <alignment horizontal="center" vertical="center"/>
      <protection hidden="1"/>
    </xf>
    <xf numFmtId="188" fontId="30" fillId="6" borderId="0" xfId="0" applyNumberFormat="1" applyFont="1" applyFill="1" applyBorder="1" applyAlignment="1" applyProtection="1">
      <alignment horizontal="center" vertical="center"/>
      <protection hidden="1"/>
    </xf>
    <xf numFmtId="4" fontId="30" fillId="6" borderId="0" xfId="0" applyNumberFormat="1" applyFont="1" applyFill="1" applyBorder="1" applyAlignment="1" applyProtection="1">
      <alignment horizontal="center" vertical="center"/>
      <protection hidden="1"/>
    </xf>
    <xf numFmtId="219" fontId="34" fillId="0" borderId="0" xfId="0" applyNumberFormat="1" applyFont="1" applyFill="1" applyBorder="1" applyAlignment="1" applyProtection="1">
      <alignment vertical="center"/>
      <protection hidden="1"/>
    </xf>
    <xf numFmtId="202" fontId="4" fillId="0" borderId="0" xfId="0" applyNumberFormat="1" applyFont="1" applyAlignment="1" applyProtection="1">
      <alignment vertical="center"/>
      <protection hidden="1"/>
    </xf>
    <xf numFmtId="220" fontId="34" fillId="0" borderId="0" xfId="0" applyNumberFormat="1" applyFont="1" applyFill="1" applyBorder="1" applyAlignment="1" applyProtection="1">
      <alignment vertical="center"/>
      <protection hidden="1"/>
    </xf>
    <xf numFmtId="202" fontId="34" fillId="0" borderId="0" xfId="0" applyNumberFormat="1" applyFont="1" applyFill="1" applyBorder="1" applyAlignment="1" applyProtection="1">
      <alignment vertical="center"/>
      <protection hidden="1"/>
    </xf>
    <xf numFmtId="165" fontId="34" fillId="0" borderId="0" xfId="0" applyNumberFormat="1" applyFont="1" applyFill="1" applyBorder="1" applyAlignment="1" applyProtection="1">
      <alignment horizontal="center" vertical="center"/>
      <protection hidden="1"/>
    </xf>
    <xf numFmtId="165" fontId="34" fillId="10" borderId="0" xfId="0" applyNumberFormat="1" applyFont="1" applyFill="1" applyBorder="1" applyAlignment="1" applyProtection="1">
      <alignment horizontal="center" vertical="center"/>
      <protection hidden="1"/>
    </xf>
    <xf numFmtId="188" fontId="30" fillId="30" borderId="0" xfId="0" applyNumberFormat="1" applyFont="1" applyFill="1" applyBorder="1" applyAlignment="1" applyProtection="1">
      <alignment vertical="center"/>
      <protection hidden="1"/>
    </xf>
    <xf numFmtId="165" fontId="34" fillId="30" borderId="0" xfId="0" applyNumberFormat="1" applyFont="1" applyFill="1" applyBorder="1" applyAlignment="1" applyProtection="1">
      <alignment vertical="center"/>
      <protection hidden="1"/>
    </xf>
    <xf numFmtId="3" fontId="30" fillId="11" borderId="0" xfId="0" applyNumberFormat="1" applyFont="1" applyFill="1" applyBorder="1" applyAlignment="1" applyProtection="1">
      <alignment vertical="center"/>
      <protection hidden="1"/>
    </xf>
    <xf numFmtId="188" fontId="30" fillId="11" borderId="0" xfId="0" applyNumberFormat="1" applyFont="1" applyFill="1" applyBorder="1" applyAlignment="1" applyProtection="1">
      <alignment vertical="center"/>
      <protection hidden="1"/>
    </xf>
    <xf numFmtId="4" fontId="30" fillId="11" borderId="0" xfId="0" applyNumberFormat="1" applyFont="1" applyFill="1" applyBorder="1" applyAlignment="1" applyProtection="1">
      <alignment vertical="center"/>
      <protection hidden="1"/>
    </xf>
    <xf numFmtId="188" fontId="30" fillId="0" borderId="0" xfId="0" applyNumberFormat="1" applyFont="1" applyFill="1" applyBorder="1" applyAlignment="1" applyProtection="1">
      <alignment horizontal="center" vertical="center"/>
      <protection hidden="1"/>
    </xf>
    <xf numFmtId="0" fontId="34" fillId="0" borderId="0" xfId="0" applyFont="1" applyBorder="1" applyAlignment="1" applyProtection="1">
      <alignment vertical="center"/>
      <protection locked="0"/>
    </xf>
    <xf numFmtId="4" fontId="30" fillId="34" borderId="26" xfId="0" applyNumberFormat="1" applyFont="1" applyFill="1" applyBorder="1" applyAlignment="1" applyProtection="1">
      <alignment horizontal="center" vertical="center"/>
      <protection hidden="1"/>
    </xf>
    <xf numFmtId="4" fontId="30" fillId="6" borderId="14" xfId="0" applyNumberFormat="1" applyFont="1" applyFill="1" applyBorder="1" applyAlignment="1" applyProtection="1">
      <alignment horizontal="center" vertical="center"/>
      <protection hidden="1"/>
    </xf>
    <xf numFmtId="171" fontId="4" fillId="0" borderId="26" xfId="64" applyNumberFormat="1" applyFont="1" applyFill="1" applyBorder="1" applyAlignment="1" applyProtection="1">
      <alignment vertical="center"/>
      <protection hidden="1"/>
    </xf>
    <xf numFmtId="171" fontId="4" fillId="0" borderId="27" xfId="64" applyNumberFormat="1" applyFont="1" applyFill="1" applyBorder="1" applyAlignment="1" applyProtection="1">
      <alignment vertical="center"/>
      <protection hidden="1"/>
    </xf>
    <xf numFmtId="171" fontId="4" fillId="0" borderId="14" xfId="64" applyNumberFormat="1" applyFont="1" applyFill="1" applyBorder="1" applyAlignment="1" applyProtection="1">
      <alignment vertical="center"/>
      <protection hidden="1"/>
    </xf>
    <xf numFmtId="171" fontId="4" fillId="0" borderId="25" xfId="64" applyNumberFormat="1" applyFont="1" applyFill="1" applyBorder="1" applyAlignment="1" applyProtection="1">
      <alignment vertical="center"/>
      <protection hidden="1"/>
    </xf>
    <xf numFmtId="0" fontId="2" fillId="0" borderId="0" xfId="62" applyProtection="1">
      <protection locked="0"/>
    </xf>
    <xf numFmtId="171" fontId="30" fillId="34" borderId="27" xfId="61" applyNumberFormat="1" applyFont="1" applyFill="1" applyBorder="1" applyAlignment="1" applyProtection="1">
      <alignment vertical="center"/>
      <protection hidden="1"/>
    </xf>
    <xf numFmtId="216" fontId="30" fillId="34" borderId="14" xfId="61" applyNumberFormat="1" applyFont="1" applyFill="1" applyBorder="1" applyAlignment="1" applyProtection="1">
      <alignment vertical="center"/>
      <protection hidden="1"/>
    </xf>
    <xf numFmtId="216" fontId="30" fillId="34" borderId="28" xfId="61" applyNumberFormat="1" applyFont="1" applyFill="1" applyBorder="1" applyAlignment="1" applyProtection="1">
      <alignment vertical="center"/>
      <protection hidden="1"/>
    </xf>
    <xf numFmtId="171" fontId="30" fillId="6" borderId="26" xfId="61" applyNumberFormat="1" applyFont="1" applyFill="1" applyBorder="1" applyAlignment="1" applyProtection="1">
      <alignment vertical="center"/>
      <protection hidden="1"/>
    </xf>
    <xf numFmtId="171" fontId="30" fillId="6" borderId="14" xfId="61" applyNumberFormat="1" applyFont="1" applyFill="1" applyBorder="1" applyAlignment="1" applyProtection="1">
      <alignment vertical="center"/>
      <protection hidden="1"/>
    </xf>
    <xf numFmtId="171" fontId="30" fillId="6" borderId="28" xfId="61" applyNumberFormat="1" applyFont="1" applyFill="1" applyBorder="1" applyAlignment="1" applyProtection="1">
      <alignment vertical="center"/>
      <protection hidden="1"/>
    </xf>
    <xf numFmtId="240" fontId="30" fillId="11" borderId="28" xfId="61" applyNumberFormat="1" applyFont="1" applyFill="1" applyBorder="1" applyAlignment="1" applyProtection="1">
      <alignment vertical="center"/>
      <protection hidden="1"/>
    </xf>
    <xf numFmtId="171" fontId="30" fillId="11" borderId="45" xfId="61" applyNumberFormat="1" applyFont="1" applyFill="1" applyBorder="1" applyAlignment="1" applyProtection="1">
      <alignment vertical="center"/>
      <protection hidden="1"/>
    </xf>
    <xf numFmtId="171" fontId="30" fillId="34" borderId="45" xfId="61" applyNumberFormat="1" applyFont="1" applyFill="1" applyBorder="1" applyAlignment="1" applyProtection="1">
      <alignment vertical="center"/>
      <protection hidden="1"/>
    </xf>
    <xf numFmtId="0" fontId="0" fillId="0" borderId="0" xfId="0" applyProtection="1">
      <protection locked="0"/>
    </xf>
    <xf numFmtId="0" fontId="95" fillId="0" borderId="0" xfId="62" applyFont="1" applyFill="1" applyAlignment="1" applyProtection="1">
      <alignment vertical="center"/>
      <protection hidden="1"/>
    </xf>
    <xf numFmtId="0" fontId="96" fillId="0" borderId="0" xfId="62" applyFont="1" applyFill="1" applyAlignment="1" applyProtection="1">
      <alignment vertical="center"/>
      <protection hidden="1"/>
    </xf>
    <xf numFmtId="169" fontId="30" fillId="29" borderId="23" xfId="45" applyNumberFormat="1" applyFont="1" applyFill="1" applyBorder="1" applyAlignment="1" applyProtection="1">
      <alignment vertical="center"/>
      <protection locked="0"/>
    </xf>
    <xf numFmtId="194" fontId="34" fillId="0" borderId="29" xfId="0" applyNumberFormat="1" applyFont="1" applyFill="1" applyBorder="1" applyAlignment="1" applyProtection="1">
      <protection hidden="1"/>
    </xf>
    <xf numFmtId="194" fontId="34" fillId="0" borderId="22" xfId="0" applyNumberFormat="1" applyFont="1" applyFill="1" applyBorder="1" applyAlignment="1" applyProtection="1">
      <protection hidden="1"/>
    </xf>
    <xf numFmtId="170" fontId="34" fillId="16" borderId="23" xfId="0" applyNumberFormat="1" applyFont="1" applyFill="1" applyBorder="1" applyProtection="1">
      <protection locked="0"/>
    </xf>
    <xf numFmtId="203" fontId="34" fillId="16" borderId="23" xfId="0" applyNumberFormat="1" applyFont="1" applyFill="1" applyBorder="1" applyProtection="1">
      <protection locked="0"/>
    </xf>
    <xf numFmtId="170" fontId="34" fillId="34" borderId="14" xfId="0" applyNumberFormat="1" applyFont="1" applyFill="1" applyBorder="1" applyProtection="1">
      <protection hidden="1"/>
    </xf>
    <xf numFmtId="203" fontId="34" fillId="34" borderId="14" xfId="0" applyNumberFormat="1" applyFont="1" applyFill="1" applyBorder="1" applyProtection="1">
      <protection hidden="1"/>
    </xf>
    <xf numFmtId="170" fontId="34" fillId="0" borderId="25" xfId="0" applyNumberFormat="1" applyFont="1" applyFill="1" applyBorder="1" applyProtection="1">
      <protection hidden="1"/>
    </xf>
    <xf numFmtId="203" fontId="34" fillId="0" borderId="25" xfId="0" applyNumberFormat="1" applyFont="1" applyFill="1" applyBorder="1" applyProtection="1">
      <protection hidden="1"/>
    </xf>
    <xf numFmtId="170" fontId="34" fillId="0" borderId="27" xfId="0" applyNumberFormat="1" applyFont="1" applyFill="1" applyBorder="1" applyProtection="1">
      <protection hidden="1"/>
    </xf>
    <xf numFmtId="203" fontId="34" fillId="0" borderId="27" xfId="0" applyNumberFormat="1" applyFont="1" applyFill="1" applyBorder="1" applyProtection="1">
      <protection hidden="1"/>
    </xf>
    <xf numFmtId="203" fontId="34" fillId="0" borderId="14" xfId="0" applyNumberFormat="1" applyFont="1" applyFill="1" applyBorder="1" applyProtection="1">
      <protection hidden="1"/>
    </xf>
    <xf numFmtId="0" fontId="34" fillId="0" borderId="24" xfId="0" applyFont="1" applyFill="1" applyBorder="1" applyAlignment="1" applyProtection="1">
      <alignment vertical="center"/>
      <protection hidden="1"/>
    </xf>
    <xf numFmtId="1" fontId="34" fillId="0" borderId="27" xfId="0" applyNumberFormat="1" applyFont="1" applyFill="1" applyBorder="1" applyAlignment="1" applyProtection="1">
      <alignment vertical="center"/>
      <protection hidden="1"/>
    </xf>
    <xf numFmtId="170" fontId="34" fillId="0" borderId="27" xfId="0" applyNumberFormat="1" applyFont="1" applyFill="1" applyBorder="1" applyAlignment="1" applyProtection="1">
      <alignment vertical="center"/>
      <protection hidden="1"/>
    </xf>
    <xf numFmtId="169" fontId="4" fillId="30" borderId="0" xfId="0" applyNumberFormat="1" applyFont="1" applyFill="1" applyBorder="1" applyAlignment="1" applyProtection="1">
      <alignment horizontal="center" vertical="center"/>
      <protection hidden="1"/>
    </xf>
    <xf numFmtId="1" fontId="34" fillId="0" borderId="22" xfId="0" applyNumberFormat="1" applyFont="1" applyFill="1" applyBorder="1" applyAlignment="1" applyProtection="1">
      <alignment vertical="center"/>
      <protection hidden="1"/>
    </xf>
    <xf numFmtId="170" fontId="34" fillId="0" borderId="12" xfId="0" applyNumberFormat="1" applyFont="1" applyFill="1" applyBorder="1" applyAlignment="1" applyProtection="1">
      <alignment vertical="center"/>
      <protection hidden="1"/>
    </xf>
    <xf numFmtId="165" fontId="27" fillId="30" borderId="13" xfId="0" applyNumberFormat="1" applyFont="1" applyFill="1" applyBorder="1" applyAlignment="1" applyProtection="1">
      <alignment horizontal="center"/>
      <protection hidden="1"/>
    </xf>
    <xf numFmtId="165" fontId="0" fillId="30" borderId="0" xfId="0" applyNumberFormat="1" applyFill="1" applyAlignment="1" applyProtection="1">
      <alignment horizontal="center"/>
      <protection hidden="1"/>
    </xf>
    <xf numFmtId="0" fontId="97" fillId="31" borderId="0" xfId="0" applyFont="1" applyFill="1" applyAlignment="1" applyProtection="1">
      <alignment wrapText="1"/>
      <protection hidden="1"/>
    </xf>
    <xf numFmtId="0" fontId="98" fillId="31" borderId="0" xfId="0" applyFont="1" applyFill="1" applyAlignment="1" applyProtection="1">
      <alignment wrapText="1"/>
      <protection hidden="1"/>
    </xf>
    <xf numFmtId="169" fontId="34" fillId="16" borderId="46" xfId="0" applyNumberFormat="1" applyFont="1" applyFill="1" applyBorder="1" applyProtection="1">
      <protection locked="0"/>
    </xf>
    <xf numFmtId="169" fontId="34" fillId="0" borderId="45" xfId="0" applyNumberFormat="1" applyFont="1" applyFill="1" applyBorder="1" applyProtection="1">
      <protection hidden="1"/>
    </xf>
    <xf numFmtId="1" fontId="49" fillId="0" borderId="0" xfId="63" applyNumberFormat="1" applyFont="1" applyProtection="1">
      <protection hidden="1"/>
    </xf>
    <xf numFmtId="0" fontId="49" fillId="0" borderId="0" xfId="63" applyFont="1" applyProtection="1">
      <protection hidden="1"/>
    </xf>
    <xf numFmtId="1" fontId="65" fillId="0" borderId="0" xfId="63" applyNumberFormat="1" applyFont="1" applyProtection="1">
      <protection hidden="1"/>
    </xf>
    <xf numFmtId="0" fontId="65" fillId="0" borderId="0" xfId="63" applyFont="1" applyProtection="1">
      <protection hidden="1"/>
    </xf>
    <xf numFmtId="9" fontId="49" fillId="0" borderId="0" xfId="63" applyNumberFormat="1" applyFont="1" applyBorder="1" applyAlignment="1" applyProtection="1">
      <alignment horizontal="center" vertical="center"/>
      <protection hidden="1"/>
    </xf>
    <xf numFmtId="0" fontId="49" fillId="0" borderId="0" xfId="63" applyFont="1" applyAlignment="1" applyProtection="1">
      <alignment horizontal="center" vertical="center"/>
      <protection hidden="1"/>
    </xf>
    <xf numFmtId="170" fontId="34" fillId="0" borderId="14" xfId="0" applyNumberFormat="1" applyFont="1" applyFill="1" applyBorder="1" applyAlignment="1" applyProtection="1">
      <alignment vertical="center"/>
      <protection locked="0"/>
    </xf>
    <xf numFmtId="3" fontId="4" fillId="34" borderId="14" xfId="0" applyNumberFormat="1" applyFont="1" applyFill="1" applyBorder="1" applyAlignment="1" applyProtection="1">
      <alignment horizontal="center" vertical="center"/>
      <protection hidden="1"/>
    </xf>
    <xf numFmtId="169" fontId="4" fillId="34" borderId="14" xfId="0" applyNumberFormat="1" applyFont="1" applyFill="1" applyBorder="1" applyAlignment="1" applyProtection="1">
      <alignment horizontal="center" vertical="center"/>
      <protection hidden="1"/>
    </xf>
    <xf numFmtId="172" fontId="34" fillId="16" borderId="23" xfId="0" applyNumberFormat="1" applyFont="1" applyFill="1" applyBorder="1" applyAlignment="1" applyProtection="1">
      <alignment horizontal="center" vertical="center"/>
      <protection locked="0"/>
    </xf>
    <xf numFmtId="4" fontId="30" fillId="16" borderId="23" xfId="0" applyNumberFormat="1" applyFont="1" applyFill="1" applyBorder="1" applyAlignment="1" applyProtection="1">
      <alignment horizontal="center" vertical="center"/>
      <protection locked="0"/>
    </xf>
    <xf numFmtId="4" fontId="52" fillId="35" borderId="23" xfId="0" applyNumberFormat="1" applyFont="1" applyFill="1" applyBorder="1" applyAlignment="1" applyProtection="1">
      <alignment horizontal="center" vertical="center"/>
      <protection locked="0"/>
    </xf>
    <xf numFmtId="172" fontId="52" fillId="35" borderId="23" xfId="0" applyNumberFormat="1" applyFont="1" applyFill="1" applyBorder="1" applyAlignment="1" applyProtection="1">
      <alignment horizontal="center" vertical="center"/>
      <protection locked="0"/>
    </xf>
    <xf numFmtId="3" fontId="30" fillId="16" borderId="23" xfId="0" applyNumberFormat="1" applyFont="1" applyFill="1" applyBorder="1" applyAlignment="1" applyProtection="1">
      <alignment horizontal="center" vertical="center"/>
      <protection locked="0"/>
    </xf>
    <xf numFmtId="172" fontId="30" fillId="35" borderId="23" xfId="0" applyNumberFormat="1" applyFont="1" applyFill="1" applyBorder="1" applyAlignment="1" applyProtection="1">
      <alignment horizontal="center" vertical="center"/>
      <protection locked="0"/>
    </xf>
    <xf numFmtId="0" fontId="99" fillId="6" borderId="0" xfId="0" applyFont="1" applyFill="1" applyBorder="1" applyAlignment="1" applyProtection="1">
      <alignment vertical="center"/>
      <protection hidden="1"/>
    </xf>
    <xf numFmtId="0" fontId="100" fillId="6" borderId="0" xfId="0" applyFont="1" applyFill="1" applyBorder="1" applyAlignment="1" applyProtection="1">
      <alignment vertical="center"/>
      <protection hidden="1"/>
    </xf>
    <xf numFmtId="20" fontId="34" fillId="0" borderId="0" xfId="0" applyNumberFormat="1" applyFont="1" applyProtection="1">
      <protection hidden="1"/>
    </xf>
    <xf numFmtId="0" fontId="11" fillId="0" borderId="0" xfId="0" applyFont="1" applyFill="1" applyBorder="1" applyAlignment="1" applyProtection="1">
      <alignment vertical="center"/>
      <protection hidden="1"/>
    </xf>
    <xf numFmtId="0" fontId="48" fillId="0" borderId="0" xfId="0" applyFont="1" applyFill="1" applyBorder="1" applyAlignment="1" applyProtection="1">
      <alignment horizontal="justify" vertical="top" wrapText="1"/>
      <protection hidden="1"/>
    </xf>
    <xf numFmtId="0" fontId="9" fillId="0" borderId="18" xfId="0" applyFont="1" applyBorder="1" applyAlignment="1" applyProtection="1">
      <alignment horizontal="left" wrapText="1" indent="1"/>
      <protection hidden="1"/>
    </xf>
    <xf numFmtId="0" fontId="49" fillId="0" borderId="0" xfId="0" applyFont="1" applyProtection="1">
      <protection hidden="1"/>
    </xf>
    <xf numFmtId="0" fontId="49" fillId="0" borderId="47" xfId="0" applyFont="1" applyBorder="1" applyProtection="1">
      <protection hidden="1"/>
    </xf>
    <xf numFmtId="0" fontId="49" fillId="0" borderId="17" xfId="0" applyFont="1" applyBorder="1" applyProtection="1">
      <protection hidden="1"/>
    </xf>
    <xf numFmtId="0" fontId="49" fillId="0" borderId="19" xfId="0" applyFont="1" applyBorder="1" applyProtection="1">
      <protection hidden="1"/>
    </xf>
    <xf numFmtId="0" fontId="42" fillId="0" borderId="0" xfId="0" applyFont="1" applyBorder="1" applyProtection="1">
      <protection hidden="1"/>
    </xf>
    <xf numFmtId="0" fontId="18" fillId="33" borderId="0" xfId="0" applyFont="1" applyFill="1" applyAlignment="1" applyProtection="1">
      <alignment horizontal="centerContinuous" vertical="center" wrapText="1"/>
      <protection hidden="1"/>
    </xf>
    <xf numFmtId="0" fontId="49" fillId="33" borderId="0" xfId="0" applyFont="1" applyFill="1" applyAlignment="1" applyProtection="1">
      <alignment horizontal="centerContinuous" vertical="center" wrapText="1"/>
      <protection hidden="1"/>
    </xf>
    <xf numFmtId="0" fontId="18" fillId="38" borderId="48" xfId="0" applyFont="1" applyFill="1" applyBorder="1" applyAlignment="1" applyProtection="1">
      <alignment vertical="center"/>
      <protection hidden="1"/>
    </xf>
    <xf numFmtId="0" fontId="18" fillId="38" borderId="49" xfId="0" applyFont="1" applyFill="1" applyBorder="1" applyProtection="1">
      <protection hidden="1"/>
    </xf>
    <xf numFmtId="0" fontId="25" fillId="38" borderId="49" xfId="0" applyFont="1" applyFill="1" applyBorder="1" applyProtection="1">
      <protection hidden="1"/>
    </xf>
    <xf numFmtId="0" fontId="102" fillId="0" borderId="50" xfId="0" applyFont="1" applyFill="1" applyBorder="1" applyAlignment="1" applyProtection="1">
      <alignment horizontal="center" vertical="center"/>
      <protection hidden="1"/>
    </xf>
    <xf numFmtId="0" fontId="44" fillId="33" borderId="0" xfId="0" applyFont="1" applyFill="1" applyAlignment="1" applyProtection="1">
      <alignment horizontal="centerContinuous" vertical="center" wrapText="1"/>
      <protection hidden="1"/>
    </xf>
    <xf numFmtId="0" fontId="34" fillId="0" borderId="0" xfId="0" applyFont="1" applyProtection="1">
      <protection locked="0"/>
    </xf>
    <xf numFmtId="0" fontId="34" fillId="13" borderId="0" xfId="0" applyFont="1" applyFill="1" applyProtection="1">
      <protection hidden="1"/>
    </xf>
    <xf numFmtId="0" fontId="44" fillId="13" borderId="0" xfId="0" applyFont="1" applyFill="1" applyProtection="1">
      <protection hidden="1"/>
    </xf>
    <xf numFmtId="4" fontId="26" fillId="29" borderId="0" xfId="0" applyNumberFormat="1" applyFont="1" applyFill="1" applyBorder="1" applyProtection="1">
      <protection hidden="1"/>
    </xf>
    <xf numFmtId="0" fontId="104" fillId="38" borderId="49" xfId="0" applyFont="1" applyFill="1" applyBorder="1" applyAlignment="1" applyProtection="1">
      <alignment horizontal="right" vertical="center"/>
      <protection hidden="1"/>
    </xf>
    <xf numFmtId="0" fontId="95" fillId="0" borderId="0" xfId="0" applyFont="1" applyProtection="1">
      <protection hidden="1"/>
    </xf>
    <xf numFmtId="0" fontId="95" fillId="0" borderId="0" xfId="0" applyFont="1" applyAlignment="1" applyProtection="1">
      <alignment horizontal="center" vertical="center"/>
      <protection hidden="1"/>
    </xf>
    <xf numFmtId="0" fontId="31" fillId="39" borderId="12" xfId="0" applyFont="1" applyFill="1" applyBorder="1" applyAlignment="1" applyProtection="1">
      <alignment horizontal="center" vertical="center"/>
      <protection hidden="1"/>
    </xf>
    <xf numFmtId="0" fontId="105" fillId="40" borderId="12" xfId="0" applyFont="1" applyFill="1" applyBorder="1" applyAlignment="1" applyProtection="1">
      <alignment horizontal="center" vertical="center"/>
      <protection hidden="1"/>
    </xf>
    <xf numFmtId="0" fontId="31" fillId="0" borderId="12" xfId="0" applyFont="1" applyBorder="1" applyAlignment="1" applyProtection="1">
      <alignment horizontal="center" vertical="center"/>
      <protection hidden="1"/>
    </xf>
    <xf numFmtId="0" fontId="77" fillId="17" borderId="12" xfId="0" applyFont="1" applyFill="1" applyBorder="1" applyAlignment="1" applyProtection="1">
      <alignment horizontal="center" vertical="center"/>
      <protection hidden="1"/>
    </xf>
    <xf numFmtId="0" fontId="106" fillId="0" borderId="0" xfId="0" applyFont="1" applyProtection="1">
      <protection hidden="1"/>
    </xf>
    <xf numFmtId="0" fontId="109" fillId="0" borderId="0" xfId="0" applyFont="1" applyAlignment="1" applyProtection="1">
      <alignment vertical="top"/>
      <protection hidden="1"/>
    </xf>
    <xf numFmtId="0" fontId="107" fillId="0" borderId="0" xfId="0" applyFont="1" applyAlignment="1" applyProtection="1">
      <alignment horizontal="justify" vertical="top"/>
      <protection hidden="1"/>
    </xf>
    <xf numFmtId="0" fontId="108" fillId="41" borderId="0" xfId="0" applyFont="1" applyFill="1" applyAlignment="1" applyProtection="1">
      <alignment vertical="top"/>
      <protection hidden="1"/>
    </xf>
    <xf numFmtId="0" fontId="109" fillId="0" borderId="0" xfId="0" applyFont="1" applyBorder="1" applyProtection="1">
      <protection hidden="1"/>
    </xf>
    <xf numFmtId="0" fontId="85" fillId="0" borderId="0" xfId="64" applyNumberFormat="1" applyFont="1" applyAlignment="1" applyProtection="1">
      <alignment vertical="center"/>
      <protection hidden="1"/>
    </xf>
    <xf numFmtId="0" fontId="34" fillId="0" borderId="0" xfId="0" applyFont="1" applyAlignment="1" applyProtection="1">
      <alignment horizontal="left" vertical="top" wrapText="1" indent="1"/>
      <protection hidden="1"/>
    </xf>
    <xf numFmtId="0" fontId="10" fillId="0" borderId="51" xfId="0" applyFont="1" applyBorder="1" applyAlignment="1" applyProtection="1">
      <alignment horizontal="center"/>
      <protection hidden="1"/>
    </xf>
    <xf numFmtId="0" fontId="34" fillId="0" borderId="0" xfId="0" applyFont="1" applyAlignment="1" applyProtection="1">
      <alignment horizontal="left" vertical="center" indent="1"/>
      <protection hidden="1"/>
    </xf>
    <xf numFmtId="0" fontId="50" fillId="0" borderId="0" xfId="0" applyFont="1" applyFill="1" applyBorder="1" applyAlignment="1" applyProtection="1">
      <alignment horizontal="center" vertical="center"/>
      <protection hidden="1"/>
    </xf>
    <xf numFmtId="0" fontId="34" fillId="0" borderId="0" xfId="0" applyFont="1" applyAlignment="1" applyProtection="1">
      <alignment horizontal="left" vertical="center" wrapText="1" indent="1"/>
      <protection hidden="1"/>
    </xf>
    <xf numFmtId="0" fontId="44" fillId="41" borderId="0" xfId="0" applyFont="1" applyFill="1" applyProtection="1">
      <protection hidden="1"/>
    </xf>
    <xf numFmtId="0" fontId="113" fillId="0" borderId="0" xfId="0" applyFont="1" applyProtection="1">
      <protection hidden="1"/>
    </xf>
    <xf numFmtId="0" fontId="50" fillId="0" borderId="14" xfId="0" applyFont="1" applyBorder="1" applyAlignment="1" applyProtection="1">
      <alignment vertical="center"/>
      <protection locked="0"/>
    </xf>
    <xf numFmtId="0" fontId="50" fillId="0" borderId="0" xfId="0" applyFont="1" applyFill="1" applyBorder="1" applyAlignment="1" applyProtection="1">
      <alignment horizontal="justify" vertical="top" wrapText="1"/>
      <protection hidden="1"/>
    </xf>
    <xf numFmtId="0" fontId="60" fillId="0" borderId="0" xfId="0" applyFont="1" applyProtection="1">
      <protection hidden="1"/>
    </xf>
    <xf numFmtId="0" fontId="60" fillId="0" borderId="0" xfId="0" applyFont="1" applyAlignment="1" applyProtection="1">
      <protection hidden="1"/>
    </xf>
    <xf numFmtId="0" fontId="60" fillId="0" borderId="0" xfId="0" applyFont="1" applyAlignment="1" applyProtection="1">
      <alignment wrapText="1"/>
      <protection hidden="1"/>
    </xf>
    <xf numFmtId="0" fontId="60" fillId="0" borderId="0" xfId="0" applyFont="1" applyFill="1" applyBorder="1" applyAlignment="1" applyProtection="1">
      <alignment vertical="top"/>
      <protection hidden="1"/>
    </xf>
    <xf numFmtId="0" fontId="50" fillId="0" borderId="14" xfId="0" applyFont="1" applyFill="1" applyBorder="1" applyAlignment="1" applyProtection="1">
      <alignment horizontal="center" vertical="center" wrapText="1"/>
      <protection locked="0"/>
    </xf>
    <xf numFmtId="0" fontId="115" fillId="0" borderId="0" xfId="0" applyFont="1" applyAlignment="1" applyProtection="1">
      <alignment vertical="center"/>
      <protection hidden="1"/>
    </xf>
    <xf numFmtId="0" fontId="5" fillId="0" borderId="0" xfId="0" applyFont="1" applyBorder="1" applyAlignment="1" applyProtection="1">
      <alignment vertical="center" wrapText="1"/>
      <protection hidden="1"/>
    </xf>
    <xf numFmtId="0" fontId="116" fillId="0" borderId="0" xfId="0" applyFont="1" applyBorder="1" applyAlignment="1" applyProtection="1">
      <alignment vertical="top" wrapText="1"/>
      <protection hidden="1"/>
    </xf>
    <xf numFmtId="253" fontId="4" fillId="0" borderId="28" xfId="61" applyNumberFormat="1" applyFont="1" applyFill="1" applyBorder="1" applyAlignment="1" applyProtection="1">
      <alignment horizontal="left" vertical="center"/>
      <protection hidden="1"/>
    </xf>
    <xf numFmtId="20" fontId="60" fillId="0" borderId="0" xfId="0" applyNumberFormat="1" applyFont="1" applyProtection="1">
      <protection hidden="1"/>
    </xf>
    <xf numFmtId="166" fontId="34" fillId="0" borderId="24" xfId="0" applyNumberFormat="1" applyFont="1" applyFill="1" applyBorder="1" applyAlignment="1" applyProtection="1">
      <alignment vertical="center"/>
      <protection hidden="1"/>
    </xf>
    <xf numFmtId="166" fontId="34" fillId="0" borderId="22" xfId="0" applyNumberFormat="1" applyFont="1" applyFill="1" applyBorder="1" applyAlignment="1" applyProtection="1">
      <alignment vertical="center"/>
      <protection hidden="1"/>
    </xf>
    <xf numFmtId="4" fontId="34" fillId="0" borderId="22" xfId="0" applyNumberFormat="1" applyFont="1" applyFill="1" applyBorder="1" applyAlignment="1" applyProtection="1">
      <alignment vertical="center"/>
      <protection hidden="1"/>
    </xf>
    <xf numFmtId="0" fontId="0" fillId="0" borderId="14" xfId="0" applyBorder="1"/>
    <xf numFmtId="0" fontId="28" fillId="0" borderId="14" xfId="0" applyFont="1" applyFill="1" applyBorder="1" applyAlignment="1" applyProtection="1">
      <alignment vertical="center"/>
      <protection locked="0" hidden="1"/>
    </xf>
    <xf numFmtId="0" fontId="77" fillId="10" borderId="0" xfId="0" applyFont="1" applyFill="1" applyProtection="1">
      <protection hidden="1"/>
    </xf>
    <xf numFmtId="0" fontId="95" fillId="10" borderId="0" xfId="0" applyFont="1" applyFill="1" applyProtection="1">
      <protection hidden="1"/>
    </xf>
    <xf numFmtId="0" fontId="121" fillId="10" borderId="0" xfId="0" applyFont="1" applyFill="1" applyProtection="1">
      <protection hidden="1"/>
    </xf>
    <xf numFmtId="171" fontId="47" fillId="41" borderId="0" xfId="0" applyNumberFormat="1" applyFont="1" applyFill="1" applyAlignment="1" applyProtection="1">
      <alignment vertical="center"/>
      <protection hidden="1"/>
    </xf>
    <xf numFmtId="0" fontId="34" fillId="0" borderId="0" xfId="0" applyFont="1" applyAlignment="1" applyProtection="1">
      <alignment vertical="center"/>
      <protection hidden="1"/>
    </xf>
    <xf numFmtId="0" fontId="47" fillId="41" borderId="0" xfId="0" applyFont="1" applyFill="1" applyAlignment="1" applyProtection="1">
      <alignment vertical="center"/>
      <protection hidden="1"/>
    </xf>
    <xf numFmtId="171" fontId="34" fillId="0" borderId="0" xfId="0" applyNumberFormat="1" applyFont="1" applyAlignment="1" applyProtection="1">
      <alignment vertical="center" wrapText="1"/>
      <protection hidden="1"/>
    </xf>
    <xf numFmtId="0" fontId="34" fillId="0" borderId="0" xfId="0" applyFont="1" applyAlignment="1" applyProtection="1">
      <alignment vertical="center"/>
      <protection locked="0"/>
    </xf>
    <xf numFmtId="0" fontId="48" fillId="0" borderId="0" xfId="0" applyFont="1" applyFill="1" applyBorder="1" applyAlignment="1" applyProtection="1">
      <alignment horizontal="justify" vertical="center" wrapText="1"/>
      <protection hidden="1"/>
    </xf>
    <xf numFmtId="0" fontId="34" fillId="0" borderId="0" xfId="0" applyFont="1" applyAlignment="1" applyProtection="1">
      <alignment horizontal="left" vertical="center" wrapText="1"/>
      <protection hidden="1"/>
    </xf>
    <xf numFmtId="0" fontId="47" fillId="0" borderId="0" xfId="0" applyFont="1" applyAlignment="1" applyProtection="1">
      <alignment vertical="center"/>
      <protection hidden="1"/>
    </xf>
    <xf numFmtId="0" fontId="30" fillId="0" borderId="0" xfId="0" applyFont="1" applyAlignment="1" applyProtection="1">
      <alignment vertical="center"/>
      <protection hidden="1"/>
    </xf>
    <xf numFmtId="0" fontId="34" fillId="0" borderId="0" xfId="0" applyFont="1" applyBorder="1" applyAlignment="1" applyProtection="1">
      <alignment horizontal="left" vertical="center" wrapText="1"/>
      <protection hidden="1"/>
    </xf>
    <xf numFmtId="0" fontId="30" fillId="0" borderId="0" xfId="0" applyFont="1" applyBorder="1" applyAlignment="1" applyProtection="1">
      <alignment horizontal="left" vertical="center" wrapText="1"/>
      <protection hidden="1"/>
    </xf>
    <xf numFmtId="0" fontId="32" fillId="0" borderId="0" xfId="0" applyFont="1" applyBorder="1" applyAlignment="1">
      <alignment vertical="center"/>
    </xf>
    <xf numFmtId="0" fontId="46" fillId="0" borderId="0" xfId="0" applyFont="1" applyAlignment="1" applyProtection="1">
      <alignment vertical="center"/>
      <protection hidden="1"/>
    </xf>
    <xf numFmtId="171" fontId="50" fillId="0" borderId="14" xfId="0" applyNumberFormat="1" applyFont="1" applyFill="1" applyBorder="1" applyAlignment="1" applyProtection="1">
      <alignment vertical="center"/>
      <protection locked="0"/>
    </xf>
    <xf numFmtId="170" fontId="34" fillId="16" borderId="23" xfId="0" applyNumberFormat="1" applyFont="1" applyFill="1" applyBorder="1" applyAlignment="1" applyProtection="1">
      <alignment vertical="center"/>
      <protection locked="0"/>
    </xf>
    <xf numFmtId="3" fontId="52" fillId="6" borderId="0" xfId="0" applyNumberFormat="1" applyFont="1" applyFill="1" applyBorder="1" applyAlignment="1" applyProtection="1">
      <alignment vertical="center"/>
      <protection hidden="1"/>
    </xf>
    <xf numFmtId="3" fontId="122" fillId="10" borderId="0" xfId="0" applyNumberFormat="1" applyFont="1" applyFill="1" applyBorder="1" applyAlignment="1" applyProtection="1">
      <alignment horizontal="centerContinuous" vertical="center"/>
      <protection hidden="1"/>
    </xf>
    <xf numFmtId="0" fontId="0" fillId="0" borderId="0" xfId="62" applyFont="1" applyFill="1" applyAlignment="1" applyProtection="1">
      <alignment vertical="center"/>
      <protection locked="0"/>
    </xf>
    <xf numFmtId="0" fontId="5" fillId="42" borderId="0" xfId="62" applyFont="1" applyFill="1" applyAlignment="1" applyProtection="1">
      <alignment vertical="center"/>
      <protection hidden="1"/>
    </xf>
    <xf numFmtId="171" fontId="28" fillId="42" borderId="0" xfId="62" applyNumberFormat="1" applyFont="1" applyFill="1" applyBorder="1" applyAlignment="1" applyProtection="1">
      <alignment vertical="center"/>
      <protection hidden="1"/>
    </xf>
    <xf numFmtId="175" fontId="32" fillId="42" borderId="0" xfId="62" applyNumberFormat="1" applyFont="1" applyFill="1" applyBorder="1" applyAlignment="1" applyProtection="1">
      <alignment vertical="center"/>
      <protection hidden="1"/>
    </xf>
    <xf numFmtId="181" fontId="28" fillId="42" borderId="0" xfId="56" applyNumberFormat="1" applyFont="1" applyFill="1" applyBorder="1" applyAlignment="1" applyProtection="1">
      <alignment vertical="center"/>
      <protection hidden="1"/>
    </xf>
    <xf numFmtId="179" fontId="28" fillId="0" borderId="33" xfId="62" applyNumberFormat="1" applyFont="1" applyBorder="1" applyAlignment="1" applyProtection="1">
      <alignment vertical="center"/>
      <protection hidden="1"/>
    </xf>
    <xf numFmtId="181" fontId="28" fillId="0" borderId="29" xfId="56" applyNumberFormat="1" applyFont="1" applyFill="1" applyBorder="1" applyAlignment="1" applyProtection="1">
      <alignment vertical="center"/>
      <protection hidden="1"/>
    </xf>
    <xf numFmtId="172" fontId="34" fillId="0" borderId="24" xfId="0" applyNumberFormat="1" applyFont="1" applyFill="1" applyBorder="1" applyAlignment="1" applyProtection="1">
      <alignment horizontal="center" vertical="center"/>
      <protection hidden="1"/>
    </xf>
    <xf numFmtId="4" fontId="34" fillId="0" borderId="24" xfId="0" applyNumberFormat="1" applyFont="1" applyFill="1" applyBorder="1" applyAlignment="1" applyProtection="1">
      <alignment horizontal="center" vertical="center"/>
      <protection hidden="1"/>
    </xf>
    <xf numFmtId="4" fontId="34" fillId="0" borderId="28" xfId="0" applyNumberFormat="1" applyFont="1" applyFill="1" applyBorder="1" applyAlignment="1" applyProtection="1">
      <alignment horizontal="center" vertical="center"/>
      <protection hidden="1"/>
    </xf>
    <xf numFmtId="4" fontId="34" fillId="0" borderId="53" xfId="0" applyNumberFormat="1" applyFont="1" applyFill="1" applyBorder="1" applyAlignment="1" applyProtection="1">
      <alignment horizontal="center" vertical="center"/>
      <protection hidden="1"/>
    </xf>
    <xf numFmtId="4" fontId="34" fillId="0" borderId="35" xfId="0" applyNumberFormat="1" applyFont="1" applyFill="1" applyBorder="1" applyAlignment="1" applyProtection="1">
      <alignment horizontal="center" vertical="center"/>
      <protection hidden="1"/>
    </xf>
    <xf numFmtId="4" fontId="30" fillId="34" borderId="27" xfId="0" applyNumberFormat="1" applyFont="1" applyFill="1" applyBorder="1" applyAlignment="1" applyProtection="1">
      <alignment horizontal="center" vertical="center"/>
      <protection hidden="1"/>
    </xf>
    <xf numFmtId="3" fontId="34" fillId="0" borderId="14" xfId="0" applyNumberFormat="1" applyFont="1" applyFill="1" applyBorder="1" applyAlignment="1" applyProtection="1">
      <alignment horizontal="center" vertical="center"/>
      <protection hidden="1"/>
    </xf>
    <xf numFmtId="4" fontId="30" fillId="34" borderId="45" xfId="0" applyNumberFormat="1" applyFont="1" applyFill="1" applyBorder="1" applyAlignment="1" applyProtection="1">
      <alignment horizontal="center" vertical="center"/>
      <protection hidden="1"/>
    </xf>
    <xf numFmtId="4" fontId="34" fillId="0" borderId="22" xfId="0" applyNumberFormat="1" applyFont="1" applyFill="1" applyBorder="1" applyAlignment="1" applyProtection="1">
      <alignment horizontal="center" vertical="center"/>
      <protection hidden="1"/>
    </xf>
    <xf numFmtId="192" fontId="34" fillId="0" borderId="22" xfId="0" applyNumberFormat="1" applyFont="1" applyFill="1" applyBorder="1" applyAlignment="1" applyProtection="1">
      <alignment horizontal="center" vertical="center"/>
      <protection hidden="1"/>
    </xf>
    <xf numFmtId="4" fontId="34" fillId="0" borderId="54" xfId="0" applyNumberFormat="1" applyFont="1" applyFill="1" applyBorder="1" applyAlignment="1" applyProtection="1">
      <alignment horizontal="center" vertical="center"/>
      <protection hidden="1"/>
    </xf>
    <xf numFmtId="3" fontId="34" fillId="0" borderId="54" xfId="0" applyNumberFormat="1" applyFont="1" applyFill="1" applyBorder="1" applyAlignment="1" applyProtection="1">
      <alignment horizontal="center" vertical="center"/>
      <protection hidden="1"/>
    </xf>
    <xf numFmtId="217" fontId="34" fillId="0" borderId="14" xfId="0" applyNumberFormat="1" applyFont="1" applyFill="1" applyBorder="1" applyAlignment="1" applyProtection="1">
      <alignment horizontal="center" vertical="center"/>
      <protection hidden="1"/>
    </xf>
    <xf numFmtId="4" fontId="34" fillId="16" borderId="14" xfId="0" applyNumberFormat="1" applyFont="1" applyFill="1" applyBorder="1" applyAlignment="1" applyProtection="1">
      <alignment horizontal="center" vertical="center"/>
      <protection hidden="1"/>
    </xf>
    <xf numFmtId="4" fontId="30" fillId="29" borderId="14" xfId="0" applyNumberFormat="1" applyFont="1" applyFill="1" applyBorder="1" applyAlignment="1" applyProtection="1">
      <alignment horizontal="center" vertical="center"/>
      <protection hidden="1"/>
    </xf>
    <xf numFmtId="3" fontId="34" fillId="0" borderId="55" xfId="45" applyNumberFormat="1" applyFont="1" applyFill="1" applyBorder="1" applyAlignment="1" applyProtection="1">
      <alignment horizontal="center" vertical="center"/>
      <protection hidden="1"/>
    </xf>
    <xf numFmtId="3" fontId="34" fillId="0" borderId="54" xfId="45" applyNumberFormat="1" applyFont="1" applyFill="1" applyBorder="1" applyAlignment="1" applyProtection="1">
      <alignment horizontal="center" vertical="center"/>
      <protection hidden="1"/>
    </xf>
    <xf numFmtId="169" fontId="34" fillId="0" borderId="33" xfId="0" applyNumberFormat="1" applyFont="1" applyFill="1" applyBorder="1" applyAlignment="1" applyProtection="1">
      <alignment vertical="center"/>
      <protection hidden="1"/>
    </xf>
    <xf numFmtId="0" fontId="65" fillId="38" borderId="49" xfId="0" applyFont="1" applyFill="1" applyBorder="1" applyAlignment="1" applyProtection="1">
      <alignment vertical="center"/>
      <protection hidden="1"/>
    </xf>
    <xf numFmtId="0" fontId="65" fillId="38" borderId="49" xfId="0" applyFont="1" applyFill="1" applyBorder="1" applyAlignment="1" applyProtection="1">
      <alignment horizontal="right" vertical="center"/>
      <protection hidden="1"/>
    </xf>
    <xf numFmtId="0" fontId="123" fillId="38" borderId="49" xfId="0" applyFont="1" applyFill="1" applyBorder="1" applyAlignment="1" applyProtection="1">
      <alignment horizontal="center" vertical="center"/>
      <protection hidden="1"/>
    </xf>
    <xf numFmtId="0" fontId="65" fillId="38" borderId="49" xfId="0" applyFont="1" applyFill="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4" fillId="44" borderId="0" xfId="0" applyFont="1" applyFill="1" applyAlignment="1" applyProtection="1">
      <alignment horizontal="center" vertical="center"/>
      <protection hidden="1"/>
    </xf>
    <xf numFmtId="0" fontId="77" fillId="45" borderId="0" xfId="0" applyFont="1" applyFill="1" applyAlignment="1" applyProtection="1">
      <alignment vertical="center"/>
      <protection hidden="1"/>
    </xf>
    <xf numFmtId="0" fontId="77" fillId="33" borderId="0" xfId="0" applyFont="1" applyFill="1" applyAlignment="1" applyProtection="1">
      <alignment vertical="center"/>
      <protection hidden="1"/>
    </xf>
    <xf numFmtId="4" fontId="44" fillId="46" borderId="0" xfId="0" applyNumberFormat="1" applyFont="1" applyFill="1" applyAlignment="1" applyProtection="1">
      <alignment vertical="center"/>
      <protection hidden="1"/>
    </xf>
    <xf numFmtId="4" fontId="44" fillId="41" borderId="0" xfId="0" applyNumberFormat="1" applyFont="1" applyFill="1" applyAlignment="1" applyProtection="1">
      <alignment vertical="center"/>
      <protection hidden="1"/>
    </xf>
    <xf numFmtId="0" fontId="44" fillId="41" borderId="0" xfId="0" applyFont="1" applyFill="1" applyAlignment="1" applyProtection="1">
      <alignment vertical="center"/>
      <protection hidden="1"/>
    </xf>
    <xf numFmtId="0" fontId="125" fillId="47" borderId="0" xfId="0" applyFont="1" applyFill="1"/>
    <xf numFmtId="0" fontId="126" fillId="48" borderId="0" xfId="0" applyFont="1" applyFill="1" applyProtection="1">
      <protection hidden="1"/>
    </xf>
    <xf numFmtId="0" fontId="127" fillId="46" borderId="0" xfId="0" applyFont="1" applyFill="1" applyProtection="1">
      <protection hidden="1"/>
    </xf>
    <xf numFmtId="4" fontId="44" fillId="41" borderId="0" xfId="0" applyNumberFormat="1" applyFont="1" applyFill="1" applyAlignment="1" applyProtection="1">
      <alignment horizontal="center" vertical="center"/>
      <protection hidden="1"/>
    </xf>
    <xf numFmtId="0" fontId="126" fillId="48" borderId="0" xfId="0" applyFont="1" applyFill="1" applyAlignment="1" applyProtection="1">
      <alignment vertical="center"/>
      <protection hidden="1"/>
    </xf>
    <xf numFmtId="0" fontId="126" fillId="0" borderId="0" xfId="0" applyFont="1" applyAlignment="1" applyProtection="1">
      <alignment textRotation="90"/>
      <protection hidden="1"/>
    </xf>
    <xf numFmtId="0" fontId="125" fillId="46" borderId="0" xfId="0" applyFont="1" applyFill="1"/>
    <xf numFmtId="4" fontId="44" fillId="41" borderId="0" xfId="0" applyNumberFormat="1" applyFont="1" applyFill="1" applyProtection="1">
      <protection hidden="1"/>
    </xf>
    <xf numFmtId="0" fontId="11" fillId="0" borderId="0" xfId="0" applyFont="1" applyAlignment="1" applyProtection="1">
      <alignment horizontal="center" vertical="center"/>
      <protection hidden="1"/>
    </xf>
    <xf numFmtId="0" fontId="4" fillId="0" borderId="0" xfId="0" applyFont="1" applyAlignment="1" applyProtection="1">
      <alignment horizontal="left"/>
      <protection hidden="1"/>
    </xf>
    <xf numFmtId="0" fontId="4" fillId="0" borderId="0" xfId="0" applyFont="1" applyAlignment="1" applyProtection="1">
      <alignment horizontal="right"/>
      <protection hidden="1"/>
    </xf>
    <xf numFmtId="3" fontId="50" fillId="0" borderId="14" xfId="0" applyNumberFormat="1" applyFont="1" applyBorder="1" applyAlignment="1" applyProtection="1">
      <alignment horizontal="right"/>
      <protection locked="0"/>
    </xf>
    <xf numFmtId="0" fontId="4" fillId="0" borderId="0" xfId="0" applyFont="1" applyAlignment="1" applyProtection="1">
      <alignment horizontal="left" vertical="top" wrapText="1" indent="1"/>
      <protection hidden="1"/>
    </xf>
    <xf numFmtId="4" fontId="44" fillId="49" borderId="0" xfId="0" applyNumberFormat="1" applyFont="1" applyFill="1" applyAlignment="1" applyProtection="1">
      <alignment horizontal="center" vertical="center"/>
      <protection hidden="1"/>
    </xf>
    <xf numFmtId="0" fontId="124" fillId="45" borderId="0" xfId="0" applyFont="1" applyFill="1" applyAlignment="1" applyProtection="1">
      <alignment horizontal="center"/>
      <protection hidden="1"/>
    </xf>
    <xf numFmtId="0" fontId="124" fillId="50" borderId="0" xfId="0" applyFont="1" applyFill="1" applyAlignment="1" applyProtection="1">
      <alignment horizontal="center"/>
      <protection hidden="1"/>
    </xf>
    <xf numFmtId="0" fontId="124" fillId="50" borderId="0" xfId="0" applyFont="1" applyFill="1" applyAlignment="1" applyProtection="1">
      <alignment horizontal="right"/>
      <protection hidden="1"/>
    </xf>
    <xf numFmtId="0" fontId="124" fillId="45" borderId="13" xfId="0" applyFont="1" applyFill="1" applyBorder="1" applyProtection="1">
      <protection hidden="1"/>
    </xf>
    <xf numFmtId="0" fontId="128" fillId="45" borderId="13" xfId="0" applyFont="1" applyFill="1" applyBorder="1" applyProtection="1">
      <protection hidden="1"/>
    </xf>
    <xf numFmtId="0" fontId="128" fillId="45" borderId="13" xfId="0" applyFont="1" applyFill="1" applyBorder="1" applyAlignment="1" applyProtection="1">
      <alignment horizontal="right"/>
      <protection hidden="1"/>
    </xf>
    <xf numFmtId="0" fontId="124" fillId="50" borderId="13" xfId="0" applyFont="1" applyFill="1" applyBorder="1" applyAlignment="1" applyProtection="1">
      <alignment horizontal="center"/>
      <protection hidden="1"/>
    </xf>
    <xf numFmtId="0" fontId="10" fillId="0" borderId="19" xfId="0" applyFont="1" applyBorder="1" applyProtection="1">
      <protection hidden="1"/>
    </xf>
    <xf numFmtId="4" fontId="4" fillId="0" borderId="17" xfId="0" applyNumberFormat="1" applyFont="1" applyBorder="1" applyAlignment="1" applyProtection="1">
      <alignment horizontal="right" indent="1"/>
      <protection hidden="1"/>
    </xf>
    <xf numFmtId="4" fontId="4" fillId="0" borderId="0" xfId="0" applyNumberFormat="1" applyFont="1" applyAlignment="1" applyProtection="1">
      <alignment horizontal="right" indent="1"/>
      <protection hidden="1"/>
    </xf>
    <xf numFmtId="0" fontId="10" fillId="0" borderId="0" xfId="0" applyFont="1" applyAlignment="1" applyProtection="1">
      <alignment horizontal="center"/>
      <protection hidden="1"/>
    </xf>
    <xf numFmtId="0" fontId="4" fillId="46" borderId="0" xfId="0" applyFont="1" applyFill="1" applyProtection="1">
      <protection hidden="1"/>
    </xf>
    <xf numFmtId="4" fontId="4" fillId="46" borderId="47" xfId="0" applyNumberFormat="1" applyFont="1" applyFill="1" applyBorder="1" applyAlignment="1" applyProtection="1">
      <alignment horizontal="right" indent="1"/>
      <protection hidden="1"/>
    </xf>
    <xf numFmtId="4" fontId="4" fillId="46" borderId="0" xfId="0" applyNumberFormat="1" applyFont="1" applyFill="1" applyAlignment="1" applyProtection="1">
      <alignment horizontal="right" indent="1"/>
      <protection hidden="1"/>
    </xf>
    <xf numFmtId="0" fontId="129" fillId="49" borderId="0" xfId="0" applyFont="1" applyFill="1" applyAlignment="1" applyProtection="1">
      <alignment horizontal="center"/>
      <protection hidden="1"/>
    </xf>
    <xf numFmtId="0" fontId="129" fillId="49" borderId="47" xfId="0" applyFont="1" applyFill="1" applyBorder="1" applyAlignment="1" applyProtection="1">
      <alignment horizontal="center"/>
      <protection hidden="1"/>
    </xf>
    <xf numFmtId="0" fontId="4" fillId="0" borderId="0" xfId="0" applyFont="1" applyAlignment="1" applyProtection="1">
      <alignment horizontal="center"/>
      <protection hidden="1"/>
    </xf>
    <xf numFmtId="0" fontId="10" fillId="0" borderId="0" xfId="0" applyFont="1" applyProtection="1">
      <protection hidden="1"/>
    </xf>
    <xf numFmtId="4" fontId="4" fillId="0" borderId="47" xfId="0" applyNumberFormat="1" applyFont="1" applyBorder="1" applyAlignment="1" applyProtection="1">
      <alignment horizontal="right" indent="1"/>
      <protection hidden="1"/>
    </xf>
    <xf numFmtId="0" fontId="4" fillId="0" borderId="47" xfId="0" applyFont="1" applyBorder="1" applyAlignment="1" applyProtection="1">
      <alignment horizontal="center"/>
      <protection hidden="1"/>
    </xf>
    <xf numFmtId="0" fontId="10" fillId="0" borderId="51" xfId="0" applyFont="1" applyBorder="1" applyProtection="1">
      <protection hidden="1"/>
    </xf>
    <xf numFmtId="4" fontId="10" fillId="46" borderId="52" xfId="0" applyNumberFormat="1" applyFont="1" applyFill="1" applyBorder="1" applyAlignment="1" applyProtection="1">
      <alignment horizontal="right" indent="1"/>
      <protection hidden="1"/>
    </xf>
    <xf numFmtId="4" fontId="10" fillId="46" borderId="51" xfId="0" applyNumberFormat="1" applyFont="1" applyFill="1" applyBorder="1" applyAlignment="1" applyProtection="1">
      <alignment horizontal="right" indent="1"/>
      <protection hidden="1"/>
    </xf>
    <xf numFmtId="0" fontId="129" fillId="49" borderId="52" xfId="0" applyFont="1" applyFill="1" applyBorder="1" applyAlignment="1" applyProtection="1">
      <alignment horizontal="center"/>
      <protection hidden="1"/>
    </xf>
    <xf numFmtId="0" fontId="129" fillId="49" borderId="51" xfId="0" applyFont="1" applyFill="1" applyBorder="1" applyAlignment="1" applyProtection="1">
      <alignment horizontal="center"/>
      <protection hidden="1"/>
    </xf>
    <xf numFmtId="0" fontId="130" fillId="43" borderId="0" xfId="0" applyFont="1" applyFill="1" applyProtection="1">
      <protection hidden="1"/>
    </xf>
    <xf numFmtId="0" fontId="124" fillId="43" borderId="0" xfId="0" applyFont="1" applyFill="1" applyProtection="1">
      <protection hidden="1"/>
    </xf>
    <xf numFmtId="0" fontId="4" fillId="44" borderId="0" xfId="0" applyFont="1" applyFill="1" applyProtection="1">
      <protection hidden="1"/>
    </xf>
    <xf numFmtId="0" fontId="44" fillId="44" borderId="0" xfId="0" applyFont="1" applyFill="1" applyProtection="1">
      <protection hidden="1"/>
    </xf>
    <xf numFmtId="0" fontId="44" fillId="41" borderId="0" xfId="0" applyFont="1" applyFill="1" applyAlignment="1" applyProtection="1">
      <alignment horizontal="center" vertical="center"/>
      <protection hidden="1"/>
    </xf>
    <xf numFmtId="0" fontId="128" fillId="43" borderId="0" xfId="0" applyFont="1" applyFill="1" applyProtection="1">
      <protection hidden="1"/>
    </xf>
    <xf numFmtId="0" fontId="131" fillId="43" borderId="0" xfId="0" applyFont="1" applyFill="1"/>
    <xf numFmtId="0" fontId="4" fillId="44" borderId="0" xfId="0" applyFont="1" applyFill="1" applyAlignment="1" applyProtection="1">
      <alignment horizontal="left"/>
      <protection hidden="1"/>
    </xf>
    <xf numFmtId="0" fontId="0" fillId="44" borderId="0" xfId="0" applyFill="1"/>
    <xf numFmtId="0" fontId="4" fillId="0" borderId="0" xfId="0" applyFont="1" applyAlignment="1" applyProtection="1">
      <alignment horizontal="left" vertical="center" indent="1"/>
      <protection hidden="1"/>
    </xf>
    <xf numFmtId="0" fontId="4" fillId="0" borderId="0" xfId="0" applyFont="1" applyAlignment="1" applyProtection="1">
      <alignment horizontal="left" vertical="center" wrapText="1" indent="1"/>
      <protection hidden="1"/>
    </xf>
    <xf numFmtId="0" fontId="5" fillId="0" borderId="0" xfId="0" applyFont="1"/>
    <xf numFmtId="0" fontId="4" fillId="0" borderId="0" xfId="0" applyFont="1" applyProtection="1">
      <protection locked="0"/>
    </xf>
    <xf numFmtId="0" fontId="31" fillId="31" borderId="0" xfId="0" applyFont="1" applyFill="1" applyAlignment="1" applyProtection="1">
      <alignment vertical="center"/>
      <protection hidden="1"/>
    </xf>
    <xf numFmtId="176" fontId="0" fillId="13" borderId="0" xfId="0" applyNumberFormat="1" applyFill="1" applyAlignment="1" applyProtection="1">
      <alignment horizontal="left"/>
      <protection hidden="1"/>
    </xf>
    <xf numFmtId="178" fontId="49" fillId="0" borderId="0" xfId="63" applyNumberFormat="1" applyFont="1" applyFill="1" applyBorder="1" applyAlignment="1" applyProtection="1">
      <alignment horizontal="left" vertical="center"/>
      <protection hidden="1"/>
    </xf>
    <xf numFmtId="165" fontId="97" fillId="31" borderId="0" xfId="0" applyNumberFormat="1" applyFont="1" applyFill="1" applyAlignment="1" applyProtection="1">
      <alignment horizontal="left" wrapText="1"/>
      <protection hidden="1"/>
    </xf>
    <xf numFmtId="0" fontId="111" fillId="41" borderId="0" xfId="0" applyFont="1" applyFill="1" applyAlignment="1" applyProtection="1">
      <alignment horizontal="justify" vertical="top"/>
      <protection hidden="1"/>
    </xf>
    <xf numFmtId="0" fontId="110" fillId="41" borderId="0" xfId="0" applyFont="1" applyFill="1" applyAlignment="1" applyProtection="1">
      <alignment horizontal="justify" vertical="top"/>
      <protection hidden="1"/>
    </xf>
    <xf numFmtId="0" fontId="124" fillId="43" borderId="0" xfId="0" applyFont="1" applyFill="1" applyAlignment="1" applyProtection="1">
      <alignment horizontal="center" vertical="center"/>
      <protection hidden="1"/>
    </xf>
    <xf numFmtId="0" fontId="103" fillId="38" borderId="0" xfId="0" applyFont="1" applyFill="1" applyAlignment="1" applyProtection="1">
      <alignment horizontal="center" wrapText="1"/>
      <protection hidden="1"/>
    </xf>
    <xf numFmtId="0" fontId="9" fillId="30" borderId="22" xfId="0" applyFont="1" applyFill="1" applyBorder="1" applyAlignment="1" applyProtection="1">
      <alignment horizontal="justify" vertical="center" wrapText="1"/>
      <protection locked="0"/>
    </xf>
    <xf numFmtId="0" fontId="9" fillId="30" borderId="24" xfId="0" applyFont="1" applyFill="1" applyBorder="1" applyAlignment="1" applyProtection="1">
      <alignment horizontal="justify" vertical="center" wrapText="1"/>
      <protection locked="0"/>
    </xf>
    <xf numFmtId="0" fontId="9" fillId="30" borderId="28" xfId="0" applyFont="1" applyFill="1" applyBorder="1" applyAlignment="1" applyProtection="1">
      <alignment horizontal="justify" vertical="center" wrapText="1"/>
      <protection locked="0"/>
    </xf>
    <xf numFmtId="0" fontId="34" fillId="0" borderId="0" xfId="0" applyFont="1" applyAlignment="1" applyProtection="1">
      <alignment horizontal="left" vertical="top" wrapText="1" indent="1"/>
      <protection hidden="1"/>
    </xf>
    <xf numFmtId="0" fontId="45" fillId="30" borderId="22" xfId="0" applyFont="1" applyFill="1" applyBorder="1" applyAlignment="1" applyProtection="1">
      <alignment horizontal="justify" vertical="top" wrapText="1"/>
      <protection locked="0"/>
    </xf>
    <xf numFmtId="0" fontId="45" fillId="30" borderId="24" xfId="0" applyFont="1" applyFill="1" applyBorder="1" applyAlignment="1" applyProtection="1">
      <alignment horizontal="justify" vertical="top" wrapText="1"/>
      <protection locked="0"/>
    </xf>
    <xf numFmtId="0" fontId="45" fillId="30" borderId="28" xfId="0" applyFont="1" applyFill="1" applyBorder="1" applyAlignment="1" applyProtection="1">
      <alignment horizontal="justify" vertical="top" wrapText="1"/>
      <protection locked="0"/>
    </xf>
    <xf numFmtId="0" fontId="4" fillId="0" borderId="0" xfId="0" applyFont="1" applyAlignment="1" applyProtection="1">
      <alignment horizontal="left" vertical="top" wrapText="1" indent="1"/>
      <protection hidden="1"/>
    </xf>
    <xf numFmtId="0" fontId="34" fillId="0" borderId="0" xfId="0" applyFont="1" applyBorder="1" applyAlignment="1" applyProtection="1">
      <alignment horizontal="left" vertical="top" wrapText="1" indent="1"/>
      <protection hidden="1"/>
    </xf>
    <xf numFmtId="0" fontId="43" fillId="32" borderId="0" xfId="0" applyFont="1" applyFill="1" applyBorder="1" applyAlignment="1" applyProtection="1">
      <alignment horizontal="center" vertical="center" wrapText="1"/>
      <protection hidden="1"/>
    </xf>
    <xf numFmtId="0" fontId="43" fillId="32" borderId="0" xfId="0" applyFont="1" applyFill="1" applyBorder="1" applyAlignment="1" applyProtection="1">
      <alignment horizontal="center" vertical="center"/>
      <protection hidden="1"/>
    </xf>
    <xf numFmtId="0" fontId="50" fillId="0" borderId="18" xfId="0" applyFont="1" applyFill="1" applyBorder="1" applyProtection="1">
      <protection locked="0"/>
    </xf>
    <xf numFmtId="0" fontId="34" fillId="0" borderId="0" xfId="0" applyFont="1" applyAlignment="1" applyProtection="1">
      <alignment horizontal="justify" vertical="top" wrapText="1"/>
      <protection hidden="1"/>
    </xf>
    <xf numFmtId="0" fontId="34" fillId="0" borderId="0" xfId="0" applyFont="1" applyAlignment="1" applyProtection="1">
      <alignment vertical="top" wrapText="1"/>
      <protection hidden="1"/>
    </xf>
    <xf numFmtId="3" fontId="50" fillId="30" borderId="22" xfId="0" applyNumberFormat="1" applyFont="1" applyFill="1" applyBorder="1" applyAlignment="1" applyProtection="1">
      <alignment vertical="center"/>
      <protection locked="0"/>
    </xf>
    <xf numFmtId="3" fontId="50" fillId="30" borderId="24" xfId="0" applyNumberFormat="1" applyFont="1" applyFill="1" applyBorder="1" applyAlignment="1" applyProtection="1">
      <alignment vertical="center"/>
      <protection locked="0"/>
    </xf>
    <xf numFmtId="3" fontId="50" fillId="30" borderId="28" xfId="0" applyNumberFormat="1" applyFont="1" applyFill="1" applyBorder="1" applyAlignment="1" applyProtection="1">
      <alignment vertical="center"/>
      <protection locked="0"/>
    </xf>
    <xf numFmtId="0" fontId="50" fillId="0" borderId="22" xfId="0" applyFont="1" applyFill="1" applyBorder="1" applyAlignment="1" applyProtection="1">
      <alignment vertical="center" wrapText="1"/>
      <protection locked="0"/>
    </xf>
    <xf numFmtId="0" fontId="50" fillId="0" borderId="24" xfId="0" applyFont="1" applyFill="1" applyBorder="1" applyAlignment="1" applyProtection="1">
      <alignment vertical="center" wrapText="1"/>
      <protection locked="0"/>
    </xf>
    <xf numFmtId="0" fontId="50" fillId="0" borderId="28" xfId="0" applyFont="1" applyFill="1" applyBorder="1" applyAlignment="1" applyProtection="1">
      <alignment vertical="center" wrapText="1"/>
      <protection locked="0"/>
    </xf>
    <xf numFmtId="0" fontId="50" fillId="0" borderId="22" xfId="0" applyFont="1" applyBorder="1" applyAlignment="1" applyProtection="1">
      <alignment vertical="center"/>
      <protection locked="0"/>
    </xf>
    <xf numFmtId="0" fontId="50" fillId="0" borderId="28" xfId="0" applyFont="1" applyBorder="1" applyAlignment="1" applyProtection="1">
      <alignment vertical="center"/>
      <protection locked="0"/>
    </xf>
    <xf numFmtId="4" fontId="50" fillId="0" borderId="22" xfId="0" applyNumberFormat="1" applyFont="1" applyFill="1" applyBorder="1" applyAlignment="1" applyProtection="1">
      <alignment vertical="center" wrapText="1"/>
      <protection locked="0"/>
    </xf>
    <xf numFmtId="4" fontId="50" fillId="0" borderId="28" xfId="0" applyNumberFormat="1" applyFont="1" applyFill="1" applyBorder="1" applyAlignment="1" applyProtection="1">
      <alignment vertical="center" wrapText="1"/>
      <protection locked="0"/>
    </xf>
    <xf numFmtId="3" fontId="50" fillId="0" borderId="22" xfId="0" applyNumberFormat="1" applyFont="1" applyFill="1" applyBorder="1" applyAlignment="1" applyProtection="1">
      <alignment vertical="center" wrapText="1"/>
      <protection locked="0"/>
    </xf>
    <xf numFmtId="3" fontId="50" fillId="0" borderId="28" xfId="0" applyNumberFormat="1" applyFont="1" applyFill="1" applyBorder="1" applyAlignment="1" applyProtection="1">
      <alignment vertical="center" wrapText="1"/>
      <protection locked="0"/>
    </xf>
    <xf numFmtId="49" fontId="50" fillId="0" borderId="22" xfId="0" applyNumberFormat="1" applyFont="1" applyFill="1" applyBorder="1" applyAlignment="1" applyProtection="1">
      <alignment vertical="center" wrapText="1"/>
      <protection locked="0"/>
    </xf>
    <xf numFmtId="49" fontId="50" fillId="0" borderId="28" xfId="0" applyNumberFormat="1" applyFont="1" applyFill="1" applyBorder="1" applyAlignment="1" applyProtection="1">
      <alignment vertical="center" wrapText="1"/>
      <protection locked="0"/>
    </xf>
    <xf numFmtId="0" fontId="50" fillId="0" borderId="22" xfId="0" applyNumberFormat="1" applyFont="1" applyFill="1" applyBorder="1" applyAlignment="1" applyProtection="1">
      <alignment vertical="center" wrapText="1"/>
      <protection locked="0"/>
    </xf>
    <xf numFmtId="0" fontId="50" fillId="0" borderId="28" xfId="0" applyNumberFormat="1" applyFont="1" applyFill="1" applyBorder="1" applyAlignment="1" applyProtection="1">
      <alignment vertical="center" wrapText="1"/>
      <protection locked="0"/>
    </xf>
    <xf numFmtId="0" fontId="126" fillId="0" borderId="0" xfId="0" applyFont="1" applyAlignment="1" applyProtection="1">
      <alignment vertical="top" textRotation="90"/>
      <protection hidden="1"/>
    </xf>
    <xf numFmtId="0" fontId="11" fillId="0" borderId="0" xfId="0" applyFont="1" applyAlignment="1" applyProtection="1">
      <alignment vertical="top" textRotation="90"/>
      <protection hidden="1"/>
    </xf>
    <xf numFmtId="0" fontId="45" fillId="30" borderId="22" xfId="0" applyFont="1" applyFill="1" applyBorder="1" applyAlignment="1" applyProtection="1">
      <alignment horizontal="justify" vertical="center" wrapText="1"/>
      <protection locked="0"/>
    </xf>
    <xf numFmtId="0" fontId="45" fillId="30" borderId="24" xfId="0" applyFont="1" applyFill="1" applyBorder="1" applyAlignment="1" applyProtection="1">
      <alignment horizontal="justify" vertical="center" wrapText="1"/>
      <protection locked="0"/>
    </xf>
    <xf numFmtId="0" fontId="45" fillId="30" borderId="28" xfId="0" applyFont="1" applyFill="1" applyBorder="1" applyAlignment="1" applyProtection="1">
      <alignment horizontal="justify" vertical="center" wrapText="1"/>
      <protection locked="0"/>
    </xf>
    <xf numFmtId="0" fontId="18" fillId="33" borderId="0" xfId="0" applyFont="1" applyFill="1" applyBorder="1" applyAlignment="1" applyProtection="1">
      <alignment vertical="center" wrapText="1"/>
      <protection hidden="1"/>
    </xf>
    <xf numFmtId="3" fontId="30" fillId="6" borderId="0" xfId="0" applyNumberFormat="1" applyFont="1" applyFill="1" applyBorder="1" applyAlignment="1" applyProtection="1">
      <alignment vertical="center" wrapText="1"/>
      <protection hidden="1"/>
    </xf>
    <xf numFmtId="169" fontId="30" fillId="6" borderId="22" xfId="0" applyNumberFormat="1" applyFont="1" applyFill="1" applyBorder="1" applyAlignment="1" applyProtection="1">
      <alignment horizontal="center" vertical="center"/>
      <protection hidden="1"/>
    </xf>
    <xf numFmtId="169" fontId="30" fillId="6" borderId="28" xfId="0" applyNumberFormat="1" applyFont="1" applyFill="1" applyBorder="1" applyAlignment="1" applyProtection="1">
      <alignment horizontal="center" vertical="center"/>
      <protection hidden="1"/>
    </xf>
    <xf numFmtId="3" fontId="30" fillId="10" borderId="0" xfId="0" applyNumberFormat="1" applyFont="1" applyFill="1" applyBorder="1" applyAlignment="1" applyProtection="1">
      <alignment vertical="center"/>
      <protection hidden="1"/>
    </xf>
    <xf numFmtId="0" fontId="30" fillId="11" borderId="0" xfId="0" applyFont="1" applyFill="1" applyBorder="1" applyAlignment="1" applyProtection="1">
      <alignment horizontal="left" vertical="center"/>
      <protection hidden="1"/>
    </xf>
    <xf numFmtId="3" fontId="30" fillId="30" borderId="0" xfId="0" applyNumberFormat="1" applyFont="1" applyFill="1" applyBorder="1" applyAlignment="1" applyProtection="1">
      <alignment horizontal="center" vertical="center" wrapText="1"/>
      <protection hidden="1"/>
    </xf>
    <xf numFmtId="3" fontId="34" fillId="29" borderId="44" xfId="0" applyNumberFormat="1" applyFont="1" applyFill="1" applyBorder="1" applyAlignment="1" applyProtection="1">
      <alignment horizontal="center" vertical="center"/>
      <protection locked="0"/>
    </xf>
    <xf numFmtId="3" fontId="34" fillId="29" borderId="6" xfId="0" applyNumberFormat="1" applyFont="1" applyFill="1" applyBorder="1" applyAlignment="1" applyProtection="1">
      <alignment horizontal="center" vertical="center"/>
      <protection locked="0"/>
    </xf>
    <xf numFmtId="3" fontId="34" fillId="29" borderId="11" xfId="0" applyNumberFormat="1" applyFont="1" applyFill="1" applyBorder="1" applyAlignment="1" applyProtection="1">
      <alignment horizontal="center" vertical="center"/>
      <protection locked="0"/>
    </xf>
    <xf numFmtId="0" fontId="30" fillId="10" borderId="0" xfId="0" applyFont="1" applyFill="1" applyBorder="1" applyAlignment="1" applyProtection="1">
      <alignment horizontal="center" vertical="center" wrapText="1"/>
      <protection hidden="1"/>
    </xf>
    <xf numFmtId="0" fontId="101" fillId="33" borderId="0" xfId="0" applyFont="1" applyFill="1" applyBorder="1" applyAlignment="1" applyProtection="1">
      <alignment horizontal="center" vertical="center" wrapText="1"/>
      <protection hidden="1"/>
    </xf>
    <xf numFmtId="0" fontId="30" fillId="10" borderId="0" xfId="0" applyFont="1" applyFill="1" applyBorder="1" applyAlignment="1" applyProtection="1">
      <alignment horizontal="left" vertical="center" wrapText="1"/>
      <protection hidden="1"/>
    </xf>
    <xf numFmtId="0" fontId="30" fillId="10" borderId="0" xfId="0" applyFont="1" applyFill="1" applyBorder="1" applyAlignment="1" applyProtection="1">
      <alignment horizontal="center" vertical="center"/>
      <protection hidden="1"/>
    </xf>
    <xf numFmtId="166" fontId="34" fillId="29" borderId="44" xfId="0" applyNumberFormat="1" applyFont="1" applyFill="1" applyBorder="1" applyAlignment="1" applyProtection="1">
      <alignment horizontal="center" vertical="center"/>
      <protection locked="0"/>
    </xf>
    <xf numFmtId="0" fontId="34" fillId="29" borderId="6" xfId="0" applyFont="1" applyFill="1" applyBorder="1" applyAlignment="1" applyProtection="1">
      <alignment horizontal="center" vertical="center"/>
      <protection locked="0"/>
    </xf>
    <xf numFmtId="0" fontId="34" fillId="29" borderId="11" xfId="0" applyFont="1" applyFill="1" applyBorder="1" applyAlignment="1" applyProtection="1">
      <alignment horizontal="center" vertical="center"/>
      <protection locked="0"/>
    </xf>
    <xf numFmtId="0" fontId="51" fillId="33" borderId="0" xfId="0" applyFont="1" applyFill="1" applyBorder="1" applyAlignment="1" applyProtection="1">
      <alignment horizontal="center" vertical="center" wrapText="1"/>
      <protection hidden="1"/>
    </xf>
    <xf numFmtId="3" fontId="34" fillId="16" borderId="44" xfId="0" applyNumberFormat="1" applyFont="1" applyFill="1" applyBorder="1" applyAlignment="1" applyProtection="1">
      <alignment horizontal="center" vertical="center"/>
      <protection locked="0"/>
    </xf>
    <xf numFmtId="3" fontId="34" fillId="16" borderId="6" xfId="0" applyNumberFormat="1" applyFont="1" applyFill="1" applyBorder="1" applyAlignment="1" applyProtection="1">
      <alignment horizontal="center" vertical="center"/>
      <protection locked="0"/>
    </xf>
    <xf numFmtId="3" fontId="34" fillId="16" borderId="11" xfId="0" applyNumberFormat="1" applyFont="1" applyFill="1" applyBorder="1" applyAlignment="1" applyProtection="1">
      <alignment horizontal="center" vertical="center"/>
      <protection locked="0"/>
    </xf>
    <xf numFmtId="166" fontId="34" fillId="16" borderId="44" xfId="0" applyNumberFormat="1" applyFont="1" applyFill="1" applyBorder="1" applyAlignment="1" applyProtection="1">
      <alignment horizontal="center" vertical="center"/>
      <protection locked="0"/>
    </xf>
    <xf numFmtId="0" fontId="34" fillId="16" borderId="6" xfId="0" applyFont="1" applyFill="1" applyBorder="1" applyAlignment="1" applyProtection="1">
      <alignment horizontal="center" vertical="center"/>
      <protection locked="0"/>
    </xf>
    <xf numFmtId="0" fontId="34" fillId="16" borderId="11" xfId="0" applyFont="1" applyFill="1" applyBorder="1" applyAlignment="1" applyProtection="1">
      <alignment horizontal="center" vertical="center"/>
      <protection locked="0"/>
    </xf>
    <xf numFmtId="169" fontId="34" fillId="0" borderId="58" xfId="0" applyNumberFormat="1" applyFont="1" applyFill="1" applyBorder="1" applyAlignment="1" applyProtection="1">
      <alignment vertical="center"/>
      <protection hidden="1"/>
    </xf>
    <xf numFmtId="169" fontId="34" fillId="0" borderId="59" xfId="0" applyNumberFormat="1" applyFont="1" applyFill="1" applyBorder="1" applyAlignment="1" applyProtection="1">
      <alignment vertical="center"/>
      <protection hidden="1"/>
    </xf>
    <xf numFmtId="3" fontId="34" fillId="30" borderId="56" xfId="0" applyNumberFormat="1" applyFont="1" applyFill="1" applyBorder="1" applyAlignment="1" applyProtection="1">
      <alignment vertical="center" wrapText="1"/>
      <protection hidden="1"/>
    </xf>
    <xf numFmtId="3" fontId="34" fillId="30" borderId="0" xfId="0" applyNumberFormat="1" applyFont="1" applyFill="1" applyBorder="1" applyAlignment="1" applyProtection="1">
      <alignment vertical="center" wrapText="1"/>
      <protection hidden="1"/>
    </xf>
    <xf numFmtId="3" fontId="34" fillId="30" borderId="57" xfId="0" applyNumberFormat="1" applyFont="1" applyFill="1" applyBorder="1" applyAlignment="1" applyProtection="1">
      <alignment vertical="center" wrapText="1"/>
      <protection hidden="1"/>
    </xf>
    <xf numFmtId="0" fontId="99" fillId="6" borderId="0" xfId="0" applyFont="1" applyFill="1" applyBorder="1" applyAlignment="1" applyProtection="1">
      <alignment horizontal="left" vertical="center" wrapText="1"/>
      <protection hidden="1"/>
    </xf>
    <xf numFmtId="0" fontId="99" fillId="6" borderId="40" xfId="0" applyFont="1" applyFill="1" applyBorder="1" applyAlignment="1" applyProtection="1">
      <alignment horizontal="left" vertical="center" wrapText="1"/>
      <protection hidden="1"/>
    </xf>
    <xf numFmtId="0" fontId="100" fillId="6" borderId="0" xfId="0" applyFont="1" applyFill="1" applyBorder="1" applyAlignment="1" applyProtection="1">
      <alignment horizontal="left" vertical="center" wrapText="1"/>
      <protection hidden="1"/>
    </xf>
    <xf numFmtId="197" fontId="34" fillId="0" borderId="26" xfId="0" applyNumberFormat="1" applyFont="1" applyFill="1" applyBorder="1" applyAlignment="1" applyProtection="1">
      <alignment horizontal="center" vertical="center"/>
      <protection hidden="1"/>
    </xf>
    <xf numFmtId="197" fontId="44" fillId="12" borderId="27" xfId="0" applyNumberFormat="1" applyFont="1" applyFill="1" applyBorder="1" applyAlignment="1" applyProtection="1">
      <alignment horizontal="center" vertical="center"/>
      <protection hidden="1"/>
    </xf>
    <xf numFmtId="0" fontId="30" fillId="10" borderId="0" xfId="0" applyFont="1" applyFill="1" applyBorder="1" applyProtection="1">
      <protection hidden="1"/>
    </xf>
    <xf numFmtId="3" fontId="52" fillId="10" borderId="0" xfId="0" applyNumberFormat="1" applyFont="1" applyFill="1" applyBorder="1" applyAlignment="1" applyProtection="1">
      <protection hidden="1"/>
    </xf>
    <xf numFmtId="188" fontId="30" fillId="16" borderId="44" xfId="0" applyNumberFormat="1" applyFont="1" applyFill="1" applyBorder="1" applyAlignment="1" applyProtection="1">
      <alignment horizontal="center" vertical="center"/>
      <protection locked="0"/>
    </xf>
    <xf numFmtId="188" fontId="30" fillId="16" borderId="6" xfId="0" applyNumberFormat="1" applyFont="1" applyFill="1" applyBorder="1" applyAlignment="1" applyProtection="1">
      <alignment horizontal="center" vertical="center"/>
      <protection locked="0"/>
    </xf>
    <xf numFmtId="188" fontId="30" fillId="16" borderId="11" xfId="0" applyNumberFormat="1" applyFont="1" applyFill="1" applyBorder="1" applyAlignment="1" applyProtection="1">
      <alignment horizontal="center" vertical="center"/>
      <protection locked="0"/>
    </xf>
    <xf numFmtId="3" fontId="34" fillId="30" borderId="61" xfId="0" applyNumberFormat="1" applyFont="1" applyFill="1" applyBorder="1" applyAlignment="1" applyProtection="1">
      <alignment horizontal="left" wrapText="1"/>
      <protection hidden="1"/>
    </xf>
    <xf numFmtId="3" fontId="34" fillId="30" borderId="0" xfId="0" applyNumberFormat="1" applyFont="1" applyFill="1" applyBorder="1" applyAlignment="1" applyProtection="1">
      <alignment horizontal="left" wrapText="1"/>
      <protection hidden="1"/>
    </xf>
    <xf numFmtId="0" fontId="18" fillId="33" borderId="0" xfId="0" applyFont="1" applyFill="1" applyBorder="1" applyAlignment="1" applyProtection="1">
      <alignment horizontal="left" vertical="center" wrapText="1"/>
      <protection hidden="1"/>
    </xf>
    <xf numFmtId="0" fontId="7" fillId="33" borderId="0" xfId="0" applyFont="1" applyFill="1" applyBorder="1" applyAlignment="1" applyProtection="1">
      <alignment horizontal="left" vertical="center" wrapText="1"/>
      <protection hidden="1"/>
    </xf>
    <xf numFmtId="3" fontId="34" fillId="13" borderId="0" xfId="0" applyNumberFormat="1" applyFont="1" applyFill="1" applyBorder="1" applyAlignment="1" applyProtection="1">
      <alignment vertical="center" wrapText="1"/>
      <protection hidden="1"/>
    </xf>
    <xf numFmtId="3" fontId="30" fillId="10" borderId="0" xfId="0" applyNumberFormat="1" applyFont="1" applyFill="1" applyBorder="1" applyAlignment="1" applyProtection="1">
      <protection hidden="1"/>
    </xf>
    <xf numFmtId="3" fontId="34" fillId="30" borderId="0" xfId="0" applyNumberFormat="1" applyFont="1" applyFill="1" applyBorder="1" applyProtection="1">
      <protection hidden="1"/>
    </xf>
    <xf numFmtId="3" fontId="34" fillId="13" borderId="0" xfId="0" applyNumberFormat="1" applyFont="1" applyFill="1" applyBorder="1" applyProtection="1">
      <protection hidden="1"/>
    </xf>
    <xf numFmtId="3" fontId="34" fillId="10" borderId="0" xfId="0" applyNumberFormat="1" applyFont="1" applyFill="1" applyBorder="1" applyProtection="1">
      <protection hidden="1"/>
    </xf>
    <xf numFmtId="3" fontId="34" fillId="30" borderId="0" xfId="0" applyNumberFormat="1" applyFont="1" applyFill="1" applyBorder="1" applyAlignment="1" applyProtection="1">
      <protection hidden="1"/>
    </xf>
    <xf numFmtId="3" fontId="34" fillId="13" borderId="0" xfId="0" applyNumberFormat="1" applyFont="1" applyFill="1" applyBorder="1" applyAlignment="1" applyProtection="1">
      <protection hidden="1"/>
    </xf>
    <xf numFmtId="3" fontId="30" fillId="34" borderId="0" xfId="0" applyNumberFormat="1" applyFont="1" applyFill="1" applyBorder="1" applyProtection="1">
      <protection hidden="1"/>
    </xf>
    <xf numFmtId="3" fontId="30" fillId="41" borderId="0" xfId="0" applyNumberFormat="1" applyFont="1" applyFill="1" applyBorder="1" applyProtection="1">
      <protection hidden="1"/>
    </xf>
    <xf numFmtId="3" fontId="52" fillId="11" borderId="0" xfId="0" applyNumberFormat="1" applyFont="1" applyFill="1" applyBorder="1" applyProtection="1">
      <protection hidden="1"/>
    </xf>
    <xf numFmtId="191" fontId="52" fillId="35" borderId="41" xfId="0" applyNumberFormat="1" applyFont="1" applyFill="1" applyBorder="1" applyProtection="1">
      <protection locked="0"/>
    </xf>
    <xf numFmtId="191" fontId="52" fillId="35" borderId="43" xfId="0" applyNumberFormat="1" applyFont="1" applyFill="1" applyBorder="1" applyProtection="1">
      <protection locked="0"/>
    </xf>
    <xf numFmtId="198" fontId="34" fillId="0" borderId="0" xfId="0" applyNumberFormat="1" applyFont="1" applyFill="1" applyBorder="1" applyProtection="1">
      <protection hidden="1"/>
    </xf>
    <xf numFmtId="198" fontId="44" fillId="12" borderId="0" xfId="0" applyNumberFormat="1" applyFont="1" applyFill="1" applyBorder="1" applyProtection="1">
      <protection hidden="1"/>
    </xf>
    <xf numFmtId="3" fontId="52" fillId="34" borderId="0" xfId="0" applyNumberFormat="1" applyFont="1" applyFill="1" applyBorder="1" applyProtection="1">
      <protection hidden="1"/>
    </xf>
    <xf numFmtId="3" fontId="52" fillId="41" borderId="0" xfId="0" applyNumberFormat="1" applyFont="1" applyFill="1" applyBorder="1" applyProtection="1">
      <protection hidden="1"/>
    </xf>
    <xf numFmtId="3" fontId="52" fillId="10" borderId="0" xfId="0" applyNumberFormat="1" applyFont="1" applyFill="1" applyBorder="1" applyAlignment="1" applyProtection="1">
      <alignment vertical="center"/>
      <protection hidden="1"/>
    </xf>
    <xf numFmtId="3" fontId="30" fillId="10" borderId="0" xfId="0" applyNumberFormat="1" applyFont="1" applyFill="1" applyBorder="1" applyAlignment="1" applyProtection="1">
      <alignment vertical="top"/>
      <protection hidden="1"/>
    </xf>
    <xf numFmtId="3" fontId="34" fillId="10" borderId="0" xfId="0" applyNumberFormat="1" applyFont="1" applyFill="1" applyBorder="1" applyAlignment="1" applyProtection="1">
      <alignment horizontal="center" vertical="center" wrapText="1"/>
      <protection hidden="1"/>
    </xf>
    <xf numFmtId="3" fontId="34" fillId="10" borderId="0" xfId="0" applyNumberFormat="1" applyFont="1" applyFill="1" applyBorder="1" applyAlignment="1" applyProtection="1">
      <alignment horizontal="center" vertical="center"/>
      <protection hidden="1"/>
    </xf>
    <xf numFmtId="193" fontId="30" fillId="29" borderId="46" xfId="0" applyNumberFormat="1" applyFont="1" applyFill="1" applyBorder="1" applyAlignment="1" applyProtection="1">
      <protection locked="0"/>
    </xf>
    <xf numFmtId="193" fontId="30" fillId="29" borderId="60" xfId="0" applyNumberFormat="1" applyFont="1" applyFill="1" applyBorder="1" applyAlignment="1" applyProtection="1">
      <protection locked="0"/>
    </xf>
    <xf numFmtId="193" fontId="34" fillId="0" borderId="56" xfId="0" applyNumberFormat="1" applyFont="1" applyFill="1" applyBorder="1" applyAlignment="1" applyProtection="1">
      <protection hidden="1"/>
    </xf>
    <xf numFmtId="193" fontId="34" fillId="0" borderId="57" xfId="0" applyNumberFormat="1" applyFont="1" applyFill="1" applyBorder="1" applyAlignment="1" applyProtection="1">
      <protection hidden="1"/>
    </xf>
    <xf numFmtId="193" fontId="30" fillId="0" borderId="22" xfId="0" applyNumberFormat="1" applyFont="1" applyFill="1" applyBorder="1" applyAlignment="1" applyProtection="1">
      <protection hidden="1"/>
    </xf>
    <xf numFmtId="193" fontId="30" fillId="0" borderId="28" xfId="0" applyNumberFormat="1" applyFont="1" applyFill="1" applyBorder="1" applyAlignment="1" applyProtection="1">
      <protection hidden="1"/>
    </xf>
    <xf numFmtId="169" fontId="34" fillId="29" borderId="36" xfId="0" applyNumberFormat="1" applyFont="1" applyFill="1" applyBorder="1" applyAlignment="1" applyProtection="1">
      <alignment horizontal="right" vertical="center"/>
      <protection locked="0"/>
    </xf>
    <xf numFmtId="169" fontId="34" fillId="29" borderId="38" xfId="0" applyNumberFormat="1" applyFont="1" applyFill="1" applyBorder="1" applyAlignment="1" applyProtection="1">
      <alignment horizontal="right" vertical="center"/>
      <protection locked="0"/>
    </xf>
    <xf numFmtId="169" fontId="34" fillId="29" borderId="41" xfId="0" applyNumberFormat="1" applyFont="1" applyFill="1" applyBorder="1" applyAlignment="1" applyProtection="1">
      <alignment horizontal="right" vertical="center"/>
      <protection locked="0"/>
    </xf>
    <xf numFmtId="169" fontId="34" fillId="29" borderId="43" xfId="0" applyNumberFormat="1" applyFont="1" applyFill="1" applyBorder="1" applyAlignment="1" applyProtection="1">
      <alignment horizontal="right" vertical="center"/>
      <protection locked="0"/>
    </xf>
    <xf numFmtId="3" fontId="30" fillId="34" borderId="0" xfId="0" applyNumberFormat="1" applyFont="1" applyFill="1" applyBorder="1" applyAlignment="1" applyProtection="1">
      <alignment horizontal="center"/>
      <protection hidden="1"/>
    </xf>
    <xf numFmtId="169" fontId="52" fillId="36" borderId="46" xfId="0" applyNumberFormat="1" applyFont="1" applyFill="1" applyBorder="1" applyProtection="1">
      <protection locked="0"/>
    </xf>
    <xf numFmtId="169" fontId="52" fillId="36" borderId="60" xfId="0" applyNumberFormat="1" applyFont="1" applyFill="1" applyBorder="1" applyProtection="1">
      <protection locked="0"/>
    </xf>
    <xf numFmtId="169" fontId="52" fillId="34" borderId="33" xfId="0" applyNumberFormat="1" applyFont="1" applyFill="1" applyBorder="1" applyProtection="1">
      <protection hidden="1"/>
    </xf>
    <xf numFmtId="169" fontId="52" fillId="34" borderId="35" xfId="0" applyNumberFormat="1" applyFont="1" applyFill="1" applyBorder="1" applyProtection="1">
      <protection hidden="1"/>
    </xf>
    <xf numFmtId="169" fontId="34" fillId="0" borderId="22" xfId="0" applyNumberFormat="1" applyFont="1" applyFill="1" applyBorder="1" applyProtection="1">
      <protection hidden="1"/>
    </xf>
    <xf numFmtId="169" fontId="34" fillId="0" borderId="28" xfId="0" applyNumberFormat="1" applyFont="1" applyFill="1" applyBorder="1" applyProtection="1">
      <protection hidden="1"/>
    </xf>
    <xf numFmtId="169" fontId="34" fillId="0" borderId="33" xfId="0" applyNumberFormat="1" applyFont="1" applyFill="1" applyBorder="1" applyProtection="1">
      <protection hidden="1"/>
    </xf>
    <xf numFmtId="169" fontId="34" fillId="0" borderId="35" xfId="0" applyNumberFormat="1" applyFont="1" applyFill="1" applyBorder="1" applyProtection="1">
      <protection hidden="1"/>
    </xf>
    <xf numFmtId="3" fontId="30" fillId="30" borderId="0" xfId="0" applyNumberFormat="1" applyFont="1" applyFill="1" applyBorder="1" applyAlignment="1" applyProtection="1">
      <protection hidden="1"/>
    </xf>
    <xf numFmtId="3" fontId="30" fillId="13" borderId="0" xfId="0" applyNumberFormat="1" applyFont="1" applyFill="1" applyBorder="1" applyAlignment="1" applyProtection="1">
      <protection hidden="1"/>
    </xf>
    <xf numFmtId="3" fontId="34" fillId="10" borderId="0" xfId="0" applyNumberFormat="1" applyFont="1" applyFill="1" applyBorder="1" applyAlignment="1" applyProtection="1">
      <alignment horizontal="center" wrapText="1"/>
      <protection hidden="1"/>
    </xf>
    <xf numFmtId="251" fontId="69" fillId="0" borderId="22" xfId="0" applyNumberFormat="1" applyFont="1" applyFill="1" applyBorder="1" applyProtection="1">
      <protection hidden="1"/>
    </xf>
    <xf numFmtId="251" fontId="69" fillId="0" borderId="28" xfId="0" applyNumberFormat="1" applyFont="1" applyFill="1" applyBorder="1" applyProtection="1">
      <protection hidden="1"/>
    </xf>
    <xf numFmtId="0" fontId="49" fillId="33" borderId="0" xfId="0" applyFont="1" applyFill="1" applyBorder="1" applyAlignment="1" applyProtection="1">
      <alignment vertical="center"/>
      <protection hidden="1"/>
    </xf>
    <xf numFmtId="3" fontId="34" fillId="0" borderId="0" xfId="0" applyNumberFormat="1" applyFont="1" applyFill="1" applyBorder="1" applyAlignment="1" applyProtection="1">
      <alignment horizontal="left" vertical="center"/>
      <protection hidden="1"/>
    </xf>
    <xf numFmtId="218" fontId="34" fillId="0" borderId="0" xfId="0" applyNumberFormat="1" applyFont="1" applyFill="1" applyBorder="1" applyAlignment="1" applyProtection="1">
      <alignment horizontal="left" vertical="center"/>
      <protection hidden="1"/>
    </xf>
    <xf numFmtId="219" fontId="34" fillId="0" borderId="0" xfId="0" applyNumberFormat="1" applyFont="1" applyFill="1" applyBorder="1" applyAlignment="1" applyProtection="1">
      <alignment horizontal="center" vertical="center"/>
      <protection hidden="1"/>
    </xf>
    <xf numFmtId="222" fontId="30" fillId="6" borderId="22" xfId="0" applyNumberFormat="1" applyFont="1" applyFill="1" applyBorder="1" applyAlignment="1" applyProtection="1">
      <alignment horizontal="center"/>
      <protection hidden="1"/>
    </xf>
    <xf numFmtId="222" fontId="30" fillId="6" borderId="24" xfId="0" applyNumberFormat="1" applyFont="1" applyFill="1" applyBorder="1" applyAlignment="1" applyProtection="1">
      <alignment horizontal="center"/>
      <protection hidden="1"/>
    </xf>
    <xf numFmtId="222" fontId="30" fillId="6" borderId="28" xfId="0" applyNumberFormat="1" applyFont="1" applyFill="1" applyBorder="1" applyAlignment="1" applyProtection="1">
      <alignment horizontal="center"/>
      <protection hidden="1"/>
    </xf>
    <xf numFmtId="206" fontId="34" fillId="0" borderId="0" xfId="0" applyNumberFormat="1" applyFont="1" applyFill="1" applyBorder="1" applyAlignment="1" applyProtection="1">
      <alignment horizontal="center" vertical="center"/>
      <protection hidden="1"/>
    </xf>
    <xf numFmtId="0" fontId="30" fillId="10" borderId="0" xfId="0" applyFont="1" applyFill="1" applyBorder="1" applyAlignment="1" applyProtection="1">
      <alignment vertical="center"/>
      <protection hidden="1"/>
    </xf>
    <xf numFmtId="0" fontId="34" fillId="6" borderId="0" xfId="0" applyFont="1" applyFill="1" applyBorder="1" applyAlignment="1" applyProtection="1">
      <alignment horizontal="center" vertical="center"/>
      <protection hidden="1"/>
    </xf>
    <xf numFmtId="221" fontId="34" fillId="6" borderId="0" xfId="0" applyNumberFormat="1" applyFont="1" applyFill="1" applyBorder="1" applyAlignment="1" applyProtection="1">
      <alignment horizontal="center" vertical="center"/>
      <protection hidden="1"/>
    </xf>
    <xf numFmtId="219" fontId="34" fillId="0" borderId="0" xfId="0" applyNumberFormat="1" applyFont="1" applyFill="1" applyBorder="1" applyAlignment="1" applyProtection="1">
      <alignment horizontal="left" vertical="center"/>
      <protection hidden="1"/>
    </xf>
    <xf numFmtId="252" fontId="34" fillId="0" borderId="0" xfId="0" applyNumberFormat="1" applyFont="1" applyFill="1" applyBorder="1" applyAlignment="1" applyProtection="1">
      <alignment horizontal="left" vertical="center"/>
      <protection hidden="1"/>
    </xf>
    <xf numFmtId="0" fontId="72" fillId="10" borderId="62" xfId="0" applyFont="1" applyFill="1" applyBorder="1" applyAlignment="1" applyProtection="1">
      <alignment vertical="center"/>
      <protection hidden="1"/>
    </xf>
    <xf numFmtId="0" fontId="72" fillId="10" borderId="32" xfId="0" applyFont="1" applyFill="1" applyBorder="1" applyAlignment="1" applyProtection="1">
      <alignment vertical="center"/>
      <protection hidden="1"/>
    </xf>
    <xf numFmtId="0" fontId="30" fillId="10" borderId="0" xfId="0" applyFont="1" applyFill="1" applyBorder="1" applyAlignment="1" applyProtection="1">
      <alignment horizontal="center"/>
      <protection hidden="1"/>
    </xf>
    <xf numFmtId="0" fontId="30" fillId="10" borderId="18" xfId="0" applyFont="1" applyFill="1" applyBorder="1" applyAlignment="1" applyProtection="1">
      <alignment horizontal="center" vertical="center"/>
      <protection hidden="1"/>
    </xf>
    <xf numFmtId="210" fontId="59" fillId="30" borderId="0" xfId="0" applyNumberFormat="1" applyFont="1" applyFill="1" applyBorder="1" applyAlignment="1" applyProtection="1">
      <alignment horizontal="center" vertical="center"/>
      <protection hidden="1"/>
    </xf>
    <xf numFmtId="210" fontId="59" fillId="30" borderId="57" xfId="0" applyNumberFormat="1" applyFont="1" applyFill="1" applyBorder="1" applyAlignment="1" applyProtection="1">
      <alignment horizontal="center" vertical="center"/>
      <protection hidden="1"/>
    </xf>
    <xf numFmtId="203" fontId="52" fillId="0" borderId="22" xfId="0" applyNumberFormat="1" applyFont="1" applyFill="1" applyBorder="1" applyAlignment="1" applyProtection="1">
      <alignment horizontal="center" vertical="center"/>
      <protection hidden="1"/>
    </xf>
    <xf numFmtId="203" fontId="52" fillId="0" borderId="24" xfId="0" applyNumberFormat="1" applyFont="1" applyFill="1" applyBorder="1" applyAlignment="1" applyProtection="1">
      <alignment horizontal="center" vertical="center"/>
      <protection hidden="1"/>
    </xf>
    <xf numFmtId="0" fontId="30" fillId="31" borderId="25" xfId="0" applyFont="1" applyFill="1" applyBorder="1" applyAlignment="1" applyProtection="1">
      <alignment horizontal="center" vertical="center" wrapText="1"/>
      <protection hidden="1"/>
    </xf>
    <xf numFmtId="0" fontId="30" fillId="31" borderId="26" xfId="0" applyFont="1" applyFill="1" applyBorder="1" applyAlignment="1" applyProtection="1">
      <alignment horizontal="center" vertical="center" wrapText="1"/>
      <protection hidden="1"/>
    </xf>
    <xf numFmtId="0" fontId="30" fillId="31" borderId="27" xfId="0" applyFont="1" applyFill="1" applyBorder="1" applyAlignment="1" applyProtection="1">
      <alignment horizontal="center" vertical="center" wrapText="1"/>
      <protection hidden="1"/>
    </xf>
    <xf numFmtId="0" fontId="84" fillId="10" borderId="0" xfId="61" applyFont="1" applyFill="1" applyBorder="1" applyAlignment="1" applyProtection="1">
      <alignment horizontal="center" vertical="center" wrapText="1"/>
      <protection hidden="1"/>
    </xf>
    <xf numFmtId="0" fontId="43" fillId="32" borderId="0" xfId="62" applyFont="1" applyFill="1" applyAlignment="1" applyProtection="1">
      <alignment horizontal="center" vertical="center" wrapText="1"/>
      <protection hidden="1"/>
    </xf>
    <xf numFmtId="0" fontId="30" fillId="10" borderId="0" xfId="61" applyFont="1" applyFill="1" applyBorder="1" applyAlignment="1" applyProtection="1">
      <alignment horizontal="center" vertical="center"/>
      <protection hidden="1"/>
    </xf>
    <xf numFmtId="0" fontId="84" fillId="10" borderId="18" xfId="61" applyFont="1" applyFill="1" applyBorder="1" applyAlignment="1" applyProtection="1">
      <alignment horizontal="center" vertical="center" wrapText="1"/>
      <protection hidden="1"/>
    </xf>
    <xf numFmtId="242" fontId="4" fillId="0" borderId="33" xfId="61" applyNumberFormat="1" applyFont="1" applyFill="1" applyBorder="1" applyAlignment="1" applyProtection="1">
      <alignment vertical="center"/>
      <protection hidden="1"/>
    </xf>
    <xf numFmtId="242" fontId="4" fillId="0" borderId="35" xfId="61" applyNumberFormat="1" applyFont="1" applyFill="1" applyBorder="1" applyAlignment="1" applyProtection="1">
      <alignment vertical="center"/>
      <protection hidden="1"/>
    </xf>
    <xf numFmtId="231" fontId="4" fillId="16" borderId="46" xfId="61" applyNumberFormat="1" applyFont="1" applyFill="1" applyBorder="1" applyAlignment="1" applyProtection="1">
      <alignment vertical="center"/>
      <protection locked="0"/>
    </xf>
    <xf numFmtId="231" fontId="4" fillId="16" borderId="60" xfId="61" applyNumberFormat="1" applyFont="1" applyFill="1" applyBorder="1" applyAlignment="1" applyProtection="1">
      <alignment vertical="center"/>
      <protection locked="0"/>
    </xf>
    <xf numFmtId="238" fontId="4" fillId="16" borderId="46" xfId="61" applyNumberFormat="1" applyFont="1" applyFill="1" applyBorder="1" applyAlignment="1" applyProtection="1">
      <alignment vertical="center"/>
      <protection locked="0"/>
    </xf>
    <xf numFmtId="238" fontId="4" fillId="16" borderId="60" xfId="61" applyNumberFormat="1" applyFont="1" applyFill="1" applyBorder="1" applyAlignment="1" applyProtection="1">
      <alignment vertical="center"/>
      <protection locked="0"/>
    </xf>
    <xf numFmtId="240" fontId="30" fillId="29" borderId="46" xfId="61" applyNumberFormat="1" applyFont="1" applyFill="1" applyBorder="1" applyAlignment="1" applyProtection="1">
      <alignment vertical="center"/>
      <protection locked="0"/>
    </xf>
    <xf numFmtId="240" fontId="30" fillId="29" borderId="60" xfId="61" applyNumberFormat="1" applyFont="1" applyFill="1" applyBorder="1" applyAlignment="1" applyProtection="1">
      <alignment vertical="center"/>
      <protection locked="0"/>
    </xf>
    <xf numFmtId="240" fontId="30" fillId="11" borderId="0" xfId="61" applyNumberFormat="1" applyFont="1" applyFill="1" applyBorder="1" applyAlignment="1" applyProtection="1">
      <alignment vertical="center" wrapText="1"/>
      <protection hidden="1"/>
    </xf>
    <xf numFmtId="240" fontId="30" fillId="11" borderId="40" xfId="61" applyNumberFormat="1" applyFont="1" applyFill="1" applyBorder="1" applyAlignment="1" applyProtection="1">
      <alignment vertical="center" wrapText="1"/>
      <protection hidden="1"/>
    </xf>
    <xf numFmtId="0" fontId="84" fillId="10" borderId="0" xfId="61" applyFont="1" applyFill="1" applyBorder="1" applyAlignment="1" applyProtection="1">
      <alignment horizontal="center" vertical="center"/>
      <protection hidden="1"/>
    </xf>
    <xf numFmtId="0" fontId="84" fillId="10" borderId="18" xfId="61" applyFont="1" applyFill="1" applyBorder="1" applyAlignment="1" applyProtection="1">
      <alignment horizontal="center" vertical="center"/>
      <protection hidden="1"/>
    </xf>
    <xf numFmtId="0" fontId="30" fillId="10" borderId="0" xfId="0" applyFont="1" applyFill="1" applyBorder="1" applyAlignment="1" applyProtection="1">
      <alignment horizontal="right"/>
      <protection hidden="1"/>
    </xf>
    <xf numFmtId="3" fontId="30" fillId="10" borderId="0" xfId="0" applyNumberFormat="1" applyFont="1" applyFill="1" applyBorder="1" applyAlignment="1" applyProtection="1">
      <alignment horizontal="center" wrapText="1"/>
      <protection hidden="1"/>
    </xf>
    <xf numFmtId="0" fontId="30" fillId="10" borderId="0" xfId="0" applyNumberFormat="1" applyFont="1" applyFill="1" applyBorder="1" applyAlignment="1" applyProtection="1">
      <alignment horizontal="left" vertical="center"/>
      <protection hidden="1"/>
    </xf>
    <xf numFmtId="0" fontId="78" fillId="0" borderId="0" xfId="62" applyFont="1" applyAlignment="1" applyProtection="1">
      <alignment horizontal="center" vertical="center" textRotation="90" wrapText="1"/>
      <protection hidden="1"/>
    </xf>
    <xf numFmtId="0" fontId="78" fillId="0" borderId="0" xfId="62" applyFont="1" applyAlignment="1" applyProtection="1">
      <alignment horizontal="center" vertical="center" textRotation="90"/>
      <protection hidden="1"/>
    </xf>
    <xf numFmtId="0" fontId="76" fillId="0" borderId="63" xfId="62" applyFont="1" applyFill="1" applyBorder="1" applyAlignment="1" applyProtection="1">
      <alignment horizontal="justify" vertical="center" wrapText="1"/>
      <protection hidden="1"/>
    </xf>
    <xf numFmtId="0" fontId="76" fillId="0" borderId="17" xfId="62" applyFont="1" applyFill="1" applyBorder="1" applyAlignment="1" applyProtection="1">
      <alignment horizontal="justify" vertical="center"/>
      <protection hidden="1"/>
    </xf>
    <xf numFmtId="0" fontId="76" fillId="0" borderId="64" xfId="62" applyFont="1" applyFill="1" applyBorder="1" applyAlignment="1" applyProtection="1">
      <alignment horizontal="justify" vertical="center"/>
      <protection hidden="1"/>
    </xf>
    <xf numFmtId="0" fontId="76" fillId="0" borderId="47" xfId="62" applyFont="1" applyFill="1" applyBorder="1" applyAlignment="1" applyProtection="1">
      <alignment horizontal="justify" vertical="center"/>
      <protection hidden="1"/>
    </xf>
    <xf numFmtId="0" fontId="76" fillId="0" borderId="0" xfId="62" applyFont="1" applyFill="1" applyBorder="1" applyAlignment="1" applyProtection="1">
      <alignment horizontal="justify" vertical="center"/>
      <protection hidden="1"/>
    </xf>
    <xf numFmtId="0" fontId="76" fillId="0" borderId="13" xfId="62" applyFont="1" applyFill="1" applyBorder="1" applyAlignment="1" applyProtection="1">
      <alignment horizontal="justify" vertical="center"/>
      <protection hidden="1"/>
    </xf>
    <xf numFmtId="0" fontId="76" fillId="0" borderId="65" xfId="62" applyFont="1" applyFill="1" applyBorder="1" applyAlignment="1" applyProtection="1">
      <alignment horizontal="justify" vertical="center"/>
      <protection hidden="1"/>
    </xf>
    <xf numFmtId="0" fontId="4" fillId="16" borderId="0" xfId="0" applyFont="1" applyFill="1" applyBorder="1" applyAlignment="1" applyProtection="1">
      <alignment horizontal="center" vertical="center"/>
      <protection locked="0"/>
    </xf>
    <xf numFmtId="0" fontId="30" fillId="11" borderId="39" xfId="0" applyFont="1" applyFill="1" applyBorder="1" applyAlignment="1" applyProtection="1">
      <alignment horizontal="right" vertical="center"/>
      <protection hidden="1"/>
    </xf>
    <xf numFmtId="0" fontId="30" fillId="11" borderId="0" xfId="0" applyFont="1" applyFill="1" applyBorder="1" applyAlignment="1" applyProtection="1">
      <alignment horizontal="center" vertical="center"/>
      <protection hidden="1"/>
    </xf>
  </cellXfs>
  <cellStyles count="72">
    <cellStyle name="Absatz1" xfId="1" xr:uid="{00000000-0005-0000-0000-000000000000}"/>
    <cellStyle name="Absatz2" xfId="2" xr:uid="{00000000-0005-0000-0000-000001000000}"/>
    <cellStyle name="Abzug-Währung mit 2 Komma" xfId="3" xr:uid="{00000000-0005-0000-0000-000002000000}"/>
    <cellStyle name="Berechnung-Währung mit 2 Komma" xfId="4" xr:uid="{00000000-0005-0000-0000-000003000000}"/>
    <cellStyle name="Berechnung-Währung mit 2 Komma-Fett" xfId="5" xr:uid="{00000000-0005-0000-0000-000004000000}"/>
    <cellStyle name="d1" xfId="6" xr:uid="{00000000-0005-0000-0000-000005000000}"/>
    <cellStyle name="d2l" xfId="7" xr:uid="{00000000-0005-0000-0000-000006000000}"/>
    <cellStyle name="d2r" xfId="8" xr:uid="{00000000-0005-0000-0000-000007000000}"/>
    <cellStyle name="d3l" xfId="9" xr:uid="{00000000-0005-0000-0000-000008000000}"/>
    <cellStyle name="d3r" xfId="10" xr:uid="{00000000-0005-0000-0000-000009000000}"/>
    <cellStyle name="D-Angaben" xfId="11" xr:uid="{00000000-0005-0000-0000-00000A000000}"/>
    <cellStyle name="Dateneingabe-Überschrift3" xfId="12" xr:uid="{00000000-0005-0000-0000-00000B000000}"/>
    <cellStyle name="D-Copyright" xfId="13" xr:uid="{00000000-0005-0000-0000-00000C000000}"/>
    <cellStyle name="D-Eingabefelder" xfId="14" xr:uid="{00000000-0005-0000-0000-00000D000000}"/>
    <cellStyle name="D-Euro8F" xfId="15" xr:uid="{00000000-0005-0000-0000-00000E000000}"/>
    <cellStyle name="D-Grau" xfId="16" xr:uid="{00000000-0005-0000-0000-00000F000000}"/>
    <cellStyle name="D-Grau-Unterstirch-hell" xfId="17" xr:uid="{00000000-0005-0000-0000-000010000000}"/>
    <cellStyle name="D-Hilfetext" xfId="18" xr:uid="{00000000-0005-0000-0000-000011000000}"/>
    <cellStyle name="Diabeschreibung" xfId="19" xr:uid="{00000000-0005-0000-0000-000012000000}"/>
    <cellStyle name="DiabeZeile1" xfId="20" xr:uid="{00000000-0005-0000-0000-000013000000}"/>
    <cellStyle name="Dialog_Elemente" xfId="21" xr:uid="{00000000-0005-0000-0000-000014000000}"/>
    <cellStyle name="D-Jahr8F" xfId="22" xr:uid="{00000000-0005-0000-0000-000015000000}"/>
    <cellStyle name="D-Jahre8F" xfId="23" xr:uid="{00000000-0005-0000-0000-000016000000}"/>
    <cellStyle name="D-Prozent8Blau" xfId="24" xr:uid="{00000000-0005-0000-0000-000017000000}"/>
    <cellStyle name="D-Prozent8F" xfId="25" xr:uid="{00000000-0005-0000-0000-000018000000}"/>
    <cellStyle name="D-Stunden8F" xfId="26" xr:uid="{00000000-0005-0000-0000-000019000000}"/>
    <cellStyle name="D-Text" xfId="27" xr:uid="{00000000-0005-0000-0000-00001A000000}"/>
    <cellStyle name="D-Text12" xfId="28" xr:uid="{00000000-0005-0000-0000-00001B000000}"/>
    <cellStyle name="D-Text12F" xfId="29" xr:uid="{00000000-0005-0000-0000-00001C000000}"/>
    <cellStyle name="D-Text8" xfId="30" xr:uid="{00000000-0005-0000-0000-00001D000000}"/>
    <cellStyle name="D-Text8ArialBlack" xfId="31" xr:uid="{00000000-0005-0000-0000-00001E000000}"/>
    <cellStyle name="D-Text8F" xfId="32" xr:uid="{00000000-0005-0000-0000-00001F000000}"/>
    <cellStyle name="D-Text8Schwarz" xfId="33" xr:uid="{00000000-0005-0000-0000-000020000000}"/>
    <cellStyle name="D-Text8SchwarzF" xfId="34" xr:uid="{00000000-0005-0000-0000-000021000000}"/>
    <cellStyle name="D-Überschrift" xfId="35" xr:uid="{00000000-0005-0000-0000-000022000000}"/>
    <cellStyle name="D-Weiß12" xfId="36" xr:uid="{00000000-0005-0000-0000-000023000000}"/>
    <cellStyle name="e1" xfId="37" xr:uid="{00000000-0005-0000-0000-000024000000}"/>
    <cellStyle name="Euro" xfId="38" xr:uid="{00000000-0005-0000-0000-000025000000}"/>
    <cellStyle name="Formel-Fett" xfId="39" xr:uid="{00000000-0005-0000-0000-000026000000}"/>
    <cellStyle name="Formel-Rabatt-Prozent ohne Komma" xfId="40" xr:uid="{00000000-0005-0000-0000-000027000000}"/>
    <cellStyle name="Formel-Skonto-Prozent ohne Komma" xfId="41" xr:uid="{00000000-0005-0000-0000-000028000000}"/>
    <cellStyle name="Formel-Standard" xfId="42" xr:uid="{00000000-0005-0000-0000-000029000000}"/>
    <cellStyle name="grau" xfId="43" xr:uid="{00000000-0005-0000-0000-00002A000000}"/>
    <cellStyle name="grün" xfId="44" xr:uid="{00000000-0005-0000-0000-00002B000000}"/>
    <cellStyle name="Komma" xfId="45" builtinId="3"/>
    <cellStyle name="Leerzelle" xfId="46" xr:uid="{00000000-0005-0000-0000-00002D000000}"/>
    <cellStyle name="Makro_Aufruf" xfId="47" xr:uid="{00000000-0005-0000-0000-00002E000000}"/>
    <cellStyle name="Makrobefehle" xfId="48" xr:uid="{00000000-0005-0000-0000-00002F000000}"/>
    <cellStyle name="Makrobeginn" xfId="49" xr:uid="{00000000-0005-0000-0000-000030000000}"/>
    <cellStyle name="Makrobezeichnung" xfId="50" xr:uid="{00000000-0005-0000-0000-000031000000}"/>
    <cellStyle name="Makrocode" xfId="51" xr:uid="{00000000-0005-0000-0000-000032000000}"/>
    <cellStyle name="Makroende" xfId="52" xr:uid="{00000000-0005-0000-0000-000033000000}"/>
    <cellStyle name="Menübeschreibung" xfId="53" xr:uid="{00000000-0005-0000-0000-000034000000}"/>
    <cellStyle name="Namen_Bereich" xfId="54" xr:uid="{00000000-0005-0000-0000-000035000000}"/>
    <cellStyle name="Namensliste" xfId="55" xr:uid="{00000000-0005-0000-0000-000036000000}"/>
    <cellStyle name="Prozent" xfId="56" builtinId="5"/>
    <cellStyle name="Rot" xfId="57" xr:uid="{00000000-0005-0000-0000-000038000000}"/>
    <cellStyle name="Schleife" xfId="58" xr:uid="{00000000-0005-0000-0000-000039000000}"/>
    <cellStyle name="Schleifenbeginn" xfId="59" xr:uid="{00000000-0005-0000-0000-00003A000000}"/>
    <cellStyle name="Schleifenende" xfId="60" xr:uid="{00000000-0005-0000-0000-00003B000000}"/>
    <cellStyle name="Standard" xfId="0" builtinId="0"/>
    <cellStyle name="Standard_bsp - jogurt" xfId="61" xr:uid="{00000000-0005-0000-0000-00003D000000}"/>
    <cellStyle name="Standard_mkk für plare neu" xfId="62" xr:uid="{00000000-0005-0000-0000-00003E000000}"/>
    <cellStyle name="Standard_Modell VK-Wirtschaftsduengung" xfId="63" xr:uid="{00000000-0005-0000-0000-00003F000000}"/>
    <cellStyle name="Standard_vollkostenrechnung jogurt für plare neu" xfId="64" xr:uid="{00000000-0005-0000-0000-000040000000}"/>
    <cellStyle name="Suchkriterien" xfId="65" xr:uid="{00000000-0005-0000-0000-000041000000}"/>
    <cellStyle name="Überschrift" xfId="66" builtinId="15" customBuiltin="1"/>
    <cellStyle name="Überschrift1" xfId="67" xr:uid="{00000000-0005-0000-0000-000043000000}"/>
    <cellStyle name="Überschrift2" xfId="68" xr:uid="{00000000-0005-0000-0000-000044000000}"/>
    <cellStyle name="Überschrift3" xfId="69" xr:uid="{00000000-0005-0000-0000-000045000000}"/>
    <cellStyle name="Wenn_Bedingung" xfId="70" xr:uid="{00000000-0005-0000-0000-000046000000}"/>
    <cellStyle name="zahlen" xfId="71" xr:uid="{00000000-0005-0000-0000-000047000000}"/>
  </cellStyles>
  <dxfs count="198">
    <dxf>
      <fill>
        <patternFill patternType="none">
          <bgColor indexed="65"/>
        </patternFill>
      </fill>
    </dxf>
    <dxf>
      <font>
        <b/>
        <i val="0"/>
        <condense val="0"/>
        <extend val="0"/>
        <color indexed="17"/>
      </font>
    </dxf>
    <dxf>
      <font>
        <b/>
        <i val="0"/>
        <condense val="0"/>
        <extend val="0"/>
        <color indexed="10"/>
      </font>
    </dxf>
    <dxf>
      <font>
        <condense val="0"/>
        <extend val="0"/>
        <color indexed="22"/>
      </font>
      <fill>
        <patternFill>
          <bgColor indexed="22"/>
        </patternFill>
      </fill>
      <border>
        <left/>
        <right/>
        <top/>
        <bottom/>
      </border>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22"/>
      </font>
      <fill>
        <patternFill>
          <bgColor indexed="22"/>
        </patternFill>
      </fill>
      <border>
        <left/>
        <right/>
        <top/>
        <bottom/>
      </border>
    </dxf>
    <dxf>
      <font>
        <condense val="0"/>
        <extend val="0"/>
        <color indexed="22"/>
      </font>
      <fill>
        <patternFill>
          <bgColor indexed="22"/>
        </patternFill>
      </fill>
      <border>
        <left/>
        <right/>
        <top/>
        <bottom/>
      </border>
    </dxf>
    <dxf>
      <font>
        <condense val="0"/>
        <extend val="0"/>
        <color indexed="22"/>
      </font>
      <fill>
        <patternFill>
          <bgColor indexed="22"/>
        </patternFill>
      </fill>
      <border>
        <left/>
        <right/>
        <top/>
        <bottom/>
      </border>
    </dxf>
    <dxf>
      <font>
        <condense val="0"/>
        <extend val="0"/>
        <color indexed="22"/>
      </font>
      <fill>
        <patternFill>
          <bgColor indexed="22"/>
        </patternFill>
      </fill>
      <border>
        <left/>
        <right/>
        <top/>
        <bottom/>
      </border>
    </dxf>
    <dxf>
      <font>
        <condense val="0"/>
        <extend val="0"/>
        <color indexed="22"/>
      </font>
      <fill>
        <patternFill>
          <bgColor indexed="22"/>
        </patternFill>
      </fill>
      <border>
        <left/>
        <right/>
        <top/>
        <bottom/>
      </border>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ill>
        <patternFill patternType="none">
          <bgColor indexed="65"/>
        </patternFill>
      </fill>
      <border>
        <left/>
        <right/>
        <top/>
        <bottom/>
      </border>
    </dxf>
    <dxf>
      <font>
        <b/>
        <i val="0"/>
        <condense val="0"/>
        <extend val="0"/>
        <color indexed="10"/>
      </font>
    </dxf>
    <dxf>
      <font>
        <b/>
        <i val="0"/>
        <condense val="0"/>
        <extend val="0"/>
        <color indexed="9"/>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ndense val="0"/>
        <extend val="0"/>
        <color indexed="45"/>
      </font>
    </dxf>
    <dxf>
      <font>
        <b/>
        <i val="0"/>
        <condense val="0"/>
        <extend val="0"/>
        <color indexed="10"/>
      </font>
    </dxf>
    <dxf>
      <font>
        <condense val="0"/>
        <extend val="0"/>
        <color indexed="9"/>
      </font>
      <fill>
        <patternFill patternType="none">
          <bgColor indexed="65"/>
        </patternFill>
      </fill>
      <border>
        <left/>
        <right/>
        <top/>
        <bottom/>
      </border>
    </dxf>
    <dxf>
      <font>
        <b/>
        <i val="0"/>
        <condense val="0"/>
        <extend val="0"/>
        <color indexed="10"/>
      </font>
      <fill>
        <patternFill>
          <bgColor indexed="8"/>
        </patternFill>
      </fill>
    </dxf>
    <dxf>
      <font>
        <b/>
        <i val="0"/>
        <condense val="0"/>
        <extend val="0"/>
        <color indexed="43"/>
      </font>
      <fill>
        <patternFill>
          <bgColor indexed="12"/>
        </patternFill>
      </fill>
    </dxf>
    <dxf>
      <font>
        <b/>
        <i val="0"/>
        <condense val="0"/>
        <extend val="0"/>
        <color indexed="34"/>
      </font>
      <fill>
        <patternFill>
          <bgColor indexed="10"/>
        </patternFill>
      </fill>
    </dxf>
    <dxf>
      <font>
        <b/>
        <i val="0"/>
        <condense val="0"/>
        <extend val="0"/>
        <color indexed="10"/>
      </font>
      <fill>
        <patternFill>
          <bgColor indexed="8"/>
        </patternFill>
      </fill>
    </dxf>
    <dxf>
      <font>
        <b/>
        <i val="0"/>
        <condense val="0"/>
        <extend val="0"/>
        <color indexed="43"/>
      </font>
      <fill>
        <patternFill>
          <bgColor indexed="12"/>
        </patternFill>
      </fill>
    </dxf>
    <dxf>
      <font>
        <b/>
        <i val="0"/>
        <condense val="0"/>
        <extend val="0"/>
        <color indexed="34"/>
      </font>
      <fill>
        <patternFill>
          <bgColor indexed="10"/>
        </patternFill>
      </fill>
    </dxf>
    <dxf>
      <font>
        <b/>
        <i val="0"/>
        <condense val="0"/>
        <extend val="0"/>
        <color indexed="10"/>
      </font>
    </dxf>
    <dxf>
      <font>
        <b/>
        <i val="0"/>
        <condense val="0"/>
        <extend val="0"/>
        <color indexed="43"/>
      </font>
      <fill>
        <patternFill>
          <bgColor indexed="12"/>
        </patternFill>
      </fill>
    </dxf>
    <dxf>
      <font>
        <b/>
        <i val="0"/>
        <condense val="0"/>
        <extend val="0"/>
        <color indexed="34"/>
      </font>
      <fill>
        <patternFill>
          <bgColor indexed="10"/>
        </patternFill>
      </fill>
    </dxf>
    <dxf>
      <font>
        <b/>
        <i val="0"/>
        <condense val="0"/>
        <extend val="0"/>
        <color indexed="34"/>
      </font>
      <fill>
        <patternFill>
          <bgColor indexed="10"/>
        </patternFill>
      </fill>
    </dxf>
    <dxf>
      <font>
        <b/>
        <i val="0"/>
        <condense val="0"/>
        <extend val="0"/>
        <color indexed="43"/>
      </font>
      <fill>
        <patternFill>
          <bgColor indexed="12"/>
        </patternFill>
      </fill>
    </dxf>
    <dxf>
      <font>
        <b/>
        <i val="0"/>
        <condense val="0"/>
        <extend val="0"/>
        <color indexed="10"/>
      </font>
      <fill>
        <patternFill>
          <bgColor indexed="8"/>
        </patternFill>
      </fill>
    </dxf>
    <dxf>
      <border>
        <left/>
        <right/>
        <top/>
        <bottom/>
      </border>
    </dxf>
    <dxf>
      <border>
        <left/>
        <right/>
        <top/>
        <bottom/>
      </border>
    </dxf>
    <dxf>
      <font>
        <condense val="0"/>
        <extend val="0"/>
        <color indexed="23"/>
      </font>
      <fill>
        <patternFill>
          <bgColor indexed="23"/>
        </patternFill>
      </fill>
      <border>
        <left/>
        <right/>
        <top/>
        <bottom/>
      </border>
    </dxf>
    <dxf>
      <fill>
        <patternFill patternType="none">
          <bgColor indexed="65"/>
        </patternFill>
      </fill>
      <border>
        <left/>
        <right/>
        <top/>
        <bottom/>
      </border>
    </dxf>
    <dxf>
      <font>
        <condense val="0"/>
        <extend val="0"/>
        <color indexed="23"/>
      </font>
    </dxf>
    <dxf>
      <font>
        <condense val="0"/>
        <extend val="0"/>
        <color auto="1"/>
      </font>
      <fill>
        <patternFill patternType="none">
          <bgColor indexed="65"/>
        </patternFill>
      </fill>
      <border>
        <left/>
        <right/>
        <top/>
        <bottom/>
      </border>
    </dxf>
    <dxf>
      <font>
        <b/>
        <i val="0"/>
        <condense val="0"/>
        <extend val="0"/>
        <color indexed="10"/>
      </font>
    </dxf>
    <dxf>
      <fill>
        <patternFill>
          <bgColor indexed="23"/>
        </patternFill>
      </fill>
      <border>
        <left/>
        <right/>
        <top/>
        <bottom/>
      </border>
    </dxf>
    <dxf>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bgColor indexed="23"/>
        </patternFill>
      </fill>
      <border>
        <left style="hair">
          <color indexed="9"/>
        </left>
        <right style="hair">
          <color indexed="9"/>
        </right>
        <top style="hair">
          <color indexed="9"/>
        </top>
        <bottom style="hair">
          <color indexed="9"/>
        </bottom>
      </border>
    </dxf>
    <dxf>
      <fill>
        <patternFill patternType="none">
          <bgColor indexed="65"/>
        </patternFill>
      </fill>
      <border>
        <left/>
        <right/>
        <top/>
        <bottom/>
      </border>
    </dxf>
    <dxf>
      <border>
        <left/>
        <right/>
        <top/>
        <bottom/>
      </border>
    </dxf>
    <dxf>
      <font>
        <b/>
        <i val="0"/>
        <condense val="0"/>
        <extend val="0"/>
        <color indexed="10"/>
      </font>
    </dxf>
    <dxf>
      <border>
        <left/>
        <right/>
        <top/>
        <bottom/>
      </border>
    </dxf>
    <dxf>
      <font>
        <b/>
        <i val="0"/>
        <condense val="0"/>
        <extend val="0"/>
        <color indexed="10"/>
      </font>
    </dxf>
    <dxf>
      <font>
        <condense val="0"/>
        <extend val="0"/>
        <color indexed="9"/>
      </font>
      <fill>
        <patternFill>
          <bgColor indexed="23"/>
        </patternFill>
      </fill>
      <border>
        <left style="hair">
          <color indexed="9"/>
        </left>
        <right style="hair">
          <color indexed="9"/>
        </right>
        <top style="hair">
          <color indexed="9"/>
        </top>
        <bottom style="hair">
          <color indexed="9"/>
        </bottom>
      </border>
    </dxf>
    <dxf>
      <fill>
        <patternFill patternType="none">
          <bgColor indexed="65"/>
        </patternFill>
      </fill>
      <border>
        <left/>
        <right/>
        <top/>
        <bottom/>
      </border>
    </dxf>
    <dxf>
      <font>
        <condense val="0"/>
        <extend val="0"/>
        <color indexed="9"/>
      </font>
      <fill>
        <patternFill>
          <bgColor indexed="23"/>
        </patternFill>
      </fill>
      <border>
        <left style="hair">
          <color indexed="9"/>
        </left>
        <right style="hair">
          <color indexed="9"/>
        </right>
        <top style="hair">
          <color indexed="9"/>
        </top>
        <bottom style="hair">
          <color indexed="9"/>
        </bottom>
      </border>
    </dxf>
    <dxf>
      <fill>
        <patternFill patternType="none">
          <bgColor indexed="65"/>
        </patternFill>
      </fill>
      <border>
        <left/>
        <right/>
        <top/>
        <bottom/>
      </border>
    </dxf>
    <dxf>
      <border>
        <left/>
        <right/>
        <top/>
        <bottom/>
      </border>
    </dxf>
    <dxf>
      <font>
        <b/>
        <i val="0"/>
        <condense val="0"/>
        <extend val="0"/>
        <color indexed="10"/>
      </font>
    </dxf>
    <dxf>
      <fill>
        <patternFill>
          <bgColor indexed="47"/>
        </patternFill>
      </fill>
      <border>
        <left/>
        <right/>
        <top/>
        <bottom/>
      </border>
    </dxf>
    <dxf>
      <fill>
        <patternFill>
          <bgColor indexed="47"/>
        </patternFill>
      </fill>
      <border>
        <left/>
        <right/>
        <top/>
        <bottom/>
      </border>
    </dxf>
    <dxf>
      <border>
        <left/>
        <right/>
        <top/>
        <bottom/>
      </border>
    </dxf>
    <dxf>
      <font>
        <b/>
        <i val="0"/>
        <condense val="0"/>
        <extend val="0"/>
        <color indexed="10"/>
      </font>
    </dxf>
    <dxf>
      <border>
        <left style="hair">
          <color indexed="64"/>
        </left>
        <right style="hair">
          <color indexed="64"/>
        </right>
        <top style="hair">
          <color indexed="64"/>
        </top>
        <bottom style="hair">
          <color indexed="64"/>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bgColor indexed="23"/>
        </patternFill>
      </fill>
      <border>
        <left style="hair">
          <color indexed="9"/>
        </left>
        <right style="hair">
          <color indexed="9"/>
        </right>
        <top style="hair">
          <color indexed="9"/>
        </top>
        <bottom style="hair">
          <color indexed="9"/>
        </bottom>
      </border>
    </dxf>
    <dxf>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b/>
        <i val="0"/>
        <condense val="0"/>
        <extend val="0"/>
        <color indexed="10"/>
      </font>
    </dxf>
    <dxf>
      <font>
        <condense val="0"/>
        <extend val="0"/>
        <color indexed="44"/>
      </font>
      <border>
        <left/>
        <right/>
        <top/>
        <bottom/>
      </border>
    </dxf>
    <dxf>
      <font>
        <condense val="0"/>
        <extend val="0"/>
        <color indexed="42"/>
      </font>
      <border>
        <left/>
        <right/>
        <top/>
        <bottom/>
      </border>
    </dxf>
    <dxf>
      <font>
        <condense val="0"/>
        <extend val="0"/>
        <color indexed="47"/>
      </font>
      <border>
        <left/>
        <right/>
        <top/>
        <bottom/>
      </border>
    </dxf>
    <dxf>
      <font>
        <condense val="0"/>
        <extend val="0"/>
        <color indexed="9"/>
      </font>
      <border>
        <left/>
        <right/>
        <top/>
        <bottom/>
      </border>
    </dxf>
    <dxf>
      <font>
        <condense val="0"/>
        <extend val="0"/>
        <color indexed="9"/>
      </font>
    </dxf>
    <dxf>
      <border>
        <left/>
        <right/>
        <top/>
        <bottom/>
      </border>
    </dxf>
    <dxf>
      <font>
        <condense val="0"/>
        <extend val="0"/>
        <color indexed="9"/>
      </font>
      <fill>
        <patternFill patternType="none">
          <bgColor indexed="65"/>
        </patternFill>
      </fill>
      <border>
        <left/>
        <right/>
        <top/>
        <bottom/>
      </border>
    </dxf>
    <dxf>
      <border>
        <left/>
        <right/>
        <top/>
        <bottom/>
      </border>
    </dxf>
    <dxf>
      <border>
        <left/>
        <right/>
        <top/>
        <bottom/>
      </border>
    </dxf>
    <dxf>
      <font>
        <condense val="0"/>
        <extend val="0"/>
        <color indexed="9"/>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border>
        <left/>
        <right/>
        <top/>
        <bottom/>
      </border>
    </dxf>
    <dxf>
      <fill>
        <patternFill patternType="none">
          <bgColor indexed="65"/>
        </patternFill>
      </fill>
      <border>
        <left/>
        <right/>
        <top/>
        <bottom/>
      </border>
    </dxf>
    <dxf>
      <fill>
        <patternFill patternType="none">
          <bgColor indexed="65"/>
        </patternFill>
      </fill>
      <border>
        <left/>
        <right/>
        <top/>
        <bottom/>
      </border>
    </dxf>
    <dxf>
      <font>
        <b/>
        <i val="0"/>
        <condense val="0"/>
        <extend val="0"/>
        <color indexed="10"/>
      </font>
    </dxf>
    <dxf>
      <font>
        <b/>
        <i val="0"/>
        <condense val="0"/>
        <extend val="0"/>
        <color auto="1"/>
      </font>
      <border>
        <left/>
        <right/>
        <top/>
        <bottom/>
      </border>
    </dxf>
    <dxf>
      <font>
        <b/>
        <i val="0"/>
        <condense val="0"/>
        <extend val="0"/>
        <color auto="1"/>
      </font>
      <border>
        <left/>
        <right/>
        <top/>
        <bottom/>
      </border>
    </dxf>
    <dxf>
      <fill>
        <patternFill patternType="none">
          <bgColor indexed="65"/>
        </patternFill>
      </fill>
      <border>
        <left/>
        <right style="hair">
          <color indexed="64"/>
        </right>
        <top/>
        <bottom/>
      </border>
    </dxf>
    <dxf>
      <fill>
        <patternFill patternType="none">
          <bgColor indexed="65"/>
        </patternFill>
      </fill>
      <border>
        <left/>
        <right/>
        <top/>
        <bottom/>
      </border>
    </dxf>
    <dxf>
      <fill>
        <patternFill patternType="none">
          <bgColor indexed="65"/>
        </patternFill>
      </fill>
      <border>
        <left/>
        <right/>
        <top/>
        <bottom/>
      </border>
    </dxf>
    <dxf>
      <font>
        <b/>
        <i val="0"/>
        <condense val="0"/>
        <extend val="0"/>
        <color auto="1"/>
      </font>
      <border>
        <left/>
        <right/>
        <top/>
        <bottom/>
      </border>
    </dxf>
    <dxf>
      <font>
        <b/>
        <i val="0"/>
        <condense val="0"/>
        <extend val="0"/>
        <color auto="1"/>
      </font>
      <border>
        <left/>
        <right/>
        <top/>
        <bottom/>
      </border>
    </dxf>
    <dxf>
      <font>
        <b/>
        <i val="0"/>
        <condense val="0"/>
        <extend val="0"/>
        <color indexed="10"/>
      </font>
    </dxf>
    <dxf>
      <fill>
        <patternFill patternType="none">
          <bgColor indexed="65"/>
        </patternFill>
      </fill>
      <border>
        <left/>
        <right/>
        <top/>
        <bottom/>
      </border>
    </dxf>
    <dxf>
      <font>
        <b/>
        <i val="0"/>
        <condense val="0"/>
        <extend val="0"/>
        <color indexed="10"/>
      </font>
    </dxf>
    <dxf>
      <font>
        <b/>
        <i val="0"/>
        <condense val="0"/>
        <extend val="0"/>
        <color auto="1"/>
      </font>
      <border>
        <left/>
        <right/>
        <top/>
        <bottom/>
      </border>
    </dxf>
    <dxf>
      <font>
        <b/>
        <i val="0"/>
        <condense val="0"/>
        <extend val="0"/>
        <color auto="1"/>
      </font>
      <border>
        <left/>
        <right/>
        <top/>
        <bottom/>
      </border>
    </dxf>
    <dxf>
      <border>
        <left/>
        <right/>
        <top/>
        <bottom/>
      </border>
    </dxf>
    <dxf>
      <border>
        <left/>
        <right/>
        <top/>
        <bottom/>
      </border>
    </dxf>
    <dxf>
      <font>
        <b/>
        <i val="0"/>
        <condense val="0"/>
        <extend val="0"/>
        <color auto="1"/>
      </font>
      <border>
        <left/>
        <right/>
        <top/>
        <bottom/>
      </border>
    </dxf>
    <dxf>
      <font>
        <b/>
        <i val="0"/>
        <condense val="0"/>
        <extend val="0"/>
        <color indexed="10"/>
      </font>
    </dxf>
    <dxf>
      <font>
        <condense val="0"/>
        <extend val="0"/>
        <color indexed="9"/>
      </font>
      <border>
        <left/>
        <right/>
        <top/>
        <bottom/>
      </border>
    </dxf>
    <dxf>
      <font>
        <b/>
        <i val="0"/>
        <condense val="0"/>
        <extend val="0"/>
        <color indexed="10"/>
      </font>
    </dxf>
    <dxf>
      <font>
        <condense val="0"/>
        <extend val="0"/>
        <color indexed="47"/>
      </font>
      <fill>
        <patternFill>
          <bgColor indexed="47"/>
        </patternFill>
      </fill>
      <border>
        <left/>
        <right/>
        <top/>
        <bottom/>
      </border>
    </dxf>
    <dxf>
      <font>
        <condense val="0"/>
        <extend val="0"/>
        <color indexed="23"/>
      </font>
      <border>
        <left/>
        <right/>
        <top/>
        <bottom/>
      </border>
    </dxf>
    <dxf>
      <font>
        <condense val="0"/>
        <extend val="0"/>
        <color indexed="23"/>
      </font>
      <border>
        <left/>
        <right/>
        <top/>
        <bottom/>
      </border>
    </dxf>
    <dxf>
      <font>
        <condense val="0"/>
        <extend val="0"/>
        <color indexed="23"/>
      </font>
      <border>
        <left/>
        <right/>
        <top/>
        <bottom/>
      </border>
    </dxf>
    <dxf>
      <font>
        <b/>
        <i val="0"/>
        <condense val="0"/>
        <extend val="0"/>
        <color indexed="10"/>
      </font>
    </dxf>
    <dxf>
      <fill>
        <patternFill patternType="none">
          <bgColor indexed="65"/>
        </patternFill>
      </fill>
      <border>
        <left/>
        <right/>
        <top/>
        <bottom/>
      </border>
    </dxf>
    <dxf>
      <fill>
        <patternFill patternType="none">
          <bgColor indexed="65"/>
        </patternFill>
      </fill>
      <border>
        <left/>
        <right/>
        <top/>
        <bottom/>
      </border>
    </dxf>
    <dxf>
      <font>
        <b/>
        <i val="0"/>
        <condense val="0"/>
        <extend val="0"/>
        <color indexed="10"/>
      </font>
    </dxf>
    <dxf>
      <border>
        <left/>
        <right/>
        <top/>
        <bottom/>
      </border>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dxf>
    <dxf>
      <font>
        <b/>
        <i val="0"/>
        <condense val="0"/>
        <extend val="0"/>
        <color indexed="10"/>
      </font>
    </dxf>
    <dxf>
      <font>
        <condense val="0"/>
        <extend val="0"/>
        <color indexed="9"/>
      </font>
      <fill>
        <patternFill>
          <bgColor indexed="9"/>
        </patternFill>
      </fill>
      <border>
        <left/>
        <right/>
        <top/>
        <bottom/>
      </border>
    </dxf>
    <dxf>
      <font>
        <condense val="0"/>
        <extend val="0"/>
        <color indexed="9"/>
      </font>
    </dxf>
    <dxf>
      <font>
        <b/>
        <i val="0"/>
        <condense val="0"/>
        <extend val="0"/>
        <color indexed="10"/>
      </font>
    </dxf>
    <dxf>
      <font>
        <condense val="0"/>
        <extend val="0"/>
        <color indexed="9"/>
      </font>
      <fill>
        <patternFill>
          <bgColor indexed="9"/>
        </patternFill>
      </fill>
      <border>
        <left/>
        <right/>
        <top/>
        <bottom/>
      </border>
    </dxf>
    <dxf>
      <font>
        <condense val="0"/>
        <extend val="0"/>
        <color indexed="9"/>
      </font>
    </dxf>
    <dxf>
      <font>
        <b/>
        <i val="0"/>
        <condense val="0"/>
        <extend val="0"/>
        <color indexed="10"/>
      </font>
    </dxf>
    <dxf>
      <font>
        <condense val="0"/>
        <extend val="0"/>
        <color indexed="9"/>
      </font>
      <fill>
        <patternFill>
          <bgColor indexed="9"/>
        </patternFill>
      </fill>
      <border>
        <left/>
        <right/>
        <top/>
        <bottom/>
      </border>
    </dxf>
    <dxf>
      <font>
        <condense val="0"/>
        <extend val="0"/>
        <color indexed="9"/>
      </font>
    </dxf>
    <dxf>
      <font>
        <b/>
        <i val="0"/>
        <condense val="0"/>
        <extend val="0"/>
        <color indexed="10"/>
      </font>
    </dxf>
    <dxf>
      <font>
        <condense val="0"/>
        <extend val="0"/>
        <color indexed="9"/>
      </font>
      <fill>
        <patternFill>
          <bgColor indexed="9"/>
        </patternFill>
      </fill>
      <border>
        <left/>
        <right/>
        <top/>
        <bottom/>
      </border>
    </dxf>
    <dxf>
      <font>
        <condense val="0"/>
        <extend val="0"/>
        <color indexed="9"/>
      </font>
    </dxf>
    <dxf>
      <font>
        <b/>
        <i val="0"/>
        <condense val="0"/>
        <extend val="0"/>
        <color indexed="10"/>
      </font>
    </dxf>
    <dxf>
      <font>
        <condense val="0"/>
        <extend val="0"/>
        <color indexed="9"/>
      </font>
      <fill>
        <patternFill>
          <bgColor indexed="9"/>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b/>
        <i val="0"/>
        <condense val="0"/>
        <extend val="0"/>
        <color indexed="10"/>
      </font>
    </dxf>
    <dxf>
      <font>
        <condense val="0"/>
        <extend val="0"/>
        <color indexed="9"/>
      </font>
      <fill>
        <patternFill>
          <bgColor indexed="9"/>
        </patternFill>
      </fill>
      <border>
        <left/>
        <right/>
        <top/>
        <bottom/>
      </border>
    </dxf>
    <dxf>
      <font>
        <b/>
        <i val="0"/>
        <condense val="0"/>
        <extend val="0"/>
        <color indexed="10"/>
      </font>
    </dxf>
    <dxf>
      <font>
        <condense val="0"/>
        <extend val="0"/>
        <color indexed="9"/>
      </font>
      <fill>
        <patternFill>
          <bgColor indexed="9"/>
        </patternFill>
      </fill>
      <border>
        <left/>
        <right/>
        <top/>
        <bottom/>
      </border>
    </dxf>
    <dxf>
      <font>
        <b/>
        <i val="0"/>
        <condense val="0"/>
        <extend val="0"/>
        <color indexed="10"/>
      </font>
    </dxf>
    <dxf>
      <font>
        <condense val="0"/>
        <extend val="0"/>
        <color indexed="9"/>
      </font>
      <fill>
        <patternFill>
          <bgColor indexed="9"/>
        </patternFill>
      </fill>
      <border>
        <left/>
        <right/>
        <top/>
        <bottom/>
      </border>
    </dxf>
    <dxf>
      <font>
        <b/>
        <i val="0"/>
        <condense val="0"/>
        <extend val="0"/>
        <color indexed="10"/>
      </font>
    </dxf>
    <dxf>
      <font>
        <condense val="0"/>
        <extend val="0"/>
        <color indexed="9"/>
      </font>
      <fill>
        <patternFill>
          <bgColor indexed="9"/>
        </patternFill>
      </fill>
      <border>
        <left/>
        <right/>
        <top/>
        <bottom/>
      </border>
    </dxf>
    <dxf>
      <font>
        <b/>
        <i val="0"/>
        <condense val="0"/>
        <extend val="0"/>
        <color indexed="10"/>
      </font>
    </dxf>
    <dxf>
      <font>
        <condense val="0"/>
        <extend val="0"/>
        <color indexed="9"/>
      </font>
      <fill>
        <patternFill>
          <bgColor indexed="9"/>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B6C9D2"/>
      <rgbColor rgb="000000FF"/>
      <rgbColor rgb="009EB8C4"/>
      <rgbColor rgb="00FFFFCC"/>
      <rgbColor rgb="00CCDAE0"/>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BF1F3"/>
      <rgbColor rgb="00CCFFFF"/>
      <rgbColor rgb="00E8FBAD"/>
      <rgbColor rgb="00FFFF66"/>
      <rgbColor rgb="00CCCCFF"/>
      <rgbColor rgb="00FFFF99"/>
      <rgbColor rgb="00CC99FF"/>
      <rgbColor rgb="00FDEA97"/>
      <rgbColor rgb="003366FF"/>
      <rgbColor rgb="0033CCCC"/>
      <rgbColor rgb="00D5EBAD"/>
      <rgbColor rgb="00FFCC00"/>
      <rgbColor rgb="00FF9900"/>
      <rgbColor rgb="00FF6600"/>
      <rgbColor rgb="00666699"/>
      <rgbColor rgb="00C0C0C0"/>
      <rgbColor rgb="00003366"/>
      <rgbColor rgb="00339966"/>
      <rgbColor rgb="00003300"/>
      <rgbColor rgb="00333300"/>
      <rgbColor rgb="00CC66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4827658611639061"/>
          <c:y val="5.6911422657533663E-2"/>
        </c:manualLayout>
      </c:layout>
      <c:overlay val="0"/>
      <c:spPr>
        <a:solidFill>
          <a:srgbClr val="FFFFFF"/>
        </a:solidFill>
        <a:ln w="3175">
          <a:solidFill>
            <a:srgbClr val="000000"/>
          </a:solidFill>
          <a:prstDash val="solid"/>
        </a:ln>
        <a:effectLst>
          <a:outerShdw dist="35921" dir="2700000" algn="br">
            <a:srgbClr val="000000"/>
          </a:outerShdw>
        </a:effectLst>
      </c:spPr>
      <c:txPr>
        <a:bodyPr/>
        <a:lstStyle/>
        <a:p>
          <a:pPr>
            <a:defRPr sz="500" b="0" i="0" u="none" strike="noStrike" baseline="0">
              <a:solidFill>
                <a:srgbClr val="000000"/>
              </a:solidFill>
              <a:latin typeface="Arial"/>
              <a:ea typeface="Arial"/>
              <a:cs typeface="Arial"/>
            </a:defRPr>
          </a:pPr>
          <a:endParaRPr lang="de-DE"/>
        </a:p>
      </c:txPr>
    </c:title>
    <c:autoTitleDeleted val="0"/>
    <c:plotArea>
      <c:layout>
        <c:manualLayout>
          <c:layoutTarget val="inner"/>
          <c:xMode val="edge"/>
          <c:yMode val="edge"/>
          <c:x val="0.20689724844170407"/>
          <c:y val="0.34959627156592643"/>
          <c:w val="0.69655406975373702"/>
          <c:h val="0.38211685496740794"/>
        </c:manualLayout>
      </c:layout>
      <c:barChart>
        <c:barDir val="col"/>
        <c:grouping val="clustered"/>
        <c:varyColors val="0"/>
        <c:ser>
          <c:idx val="0"/>
          <c:order val="0"/>
          <c:tx>
            <c:strRef>
              <c:f>'MKK1'!$D$1</c:f>
              <c:strCache>
                <c:ptCount val="1"/>
                <c:pt idx="0">
                  <c:v>Allradtraktor - 65 KW</c:v>
                </c:pt>
              </c:strCache>
            </c:strRef>
          </c:tx>
          <c:spPr>
            <a:solidFill>
              <a:srgbClr val="FF0000"/>
            </a:solidFill>
            <a:ln w="12700">
              <a:solidFill>
                <a:srgbClr val="000000"/>
              </a:solidFill>
              <a:prstDash val="solid"/>
            </a:ln>
          </c:spPr>
          <c:invertIfNegative val="0"/>
          <c:dPt>
            <c:idx val="4"/>
            <c:invertIfNegative val="0"/>
            <c:bubble3D val="0"/>
            <c:spPr>
              <a:solidFill>
                <a:srgbClr val="0000FF"/>
              </a:solidFill>
              <a:ln w="12700">
                <a:solidFill>
                  <a:srgbClr val="000000"/>
                </a:solidFill>
                <a:prstDash val="solid"/>
              </a:ln>
            </c:spPr>
            <c:extLst>
              <c:ext xmlns:c16="http://schemas.microsoft.com/office/drawing/2014/chart" uri="{C3380CC4-5D6E-409C-BE32-E72D297353CC}">
                <c16:uniqueId val="{00000000-40A6-4BB4-8828-192091F6C325}"/>
              </c:ext>
            </c:extLst>
          </c:dPt>
          <c:dPt>
            <c:idx val="5"/>
            <c:invertIfNegative val="0"/>
            <c:bubble3D val="0"/>
            <c:spPr>
              <a:solidFill>
                <a:srgbClr val="0000FF"/>
              </a:solidFill>
              <a:ln w="12700">
                <a:solidFill>
                  <a:srgbClr val="000000"/>
                </a:solidFill>
                <a:prstDash val="solid"/>
              </a:ln>
            </c:spPr>
            <c:extLst>
              <c:ext xmlns:c16="http://schemas.microsoft.com/office/drawing/2014/chart" uri="{C3380CC4-5D6E-409C-BE32-E72D297353CC}">
                <c16:uniqueId val="{00000001-40A6-4BB4-8828-192091F6C325}"/>
              </c:ext>
            </c:extLst>
          </c:dPt>
          <c:cat>
            <c:strRef>
              <c:f>('MKK1'!$A$12:$A$15,'MKK1'!$A$19:$A$20)</c:f>
              <c:strCache>
                <c:ptCount val="6"/>
                <c:pt idx="0">
                  <c:v>Afa</c:v>
                </c:pt>
                <c:pt idx="1">
                  <c:v>U</c:v>
                </c:pt>
                <c:pt idx="2">
                  <c:v>V</c:v>
                </c:pt>
                <c:pt idx="3">
                  <c:v>Z</c:v>
                </c:pt>
                <c:pt idx="4">
                  <c:v>E</c:v>
                </c:pt>
                <c:pt idx="5">
                  <c:v>R</c:v>
                </c:pt>
              </c:strCache>
            </c:strRef>
          </c:cat>
          <c:val>
            <c:numRef>
              <c:f>('MKK1'!$F$12:$F$15,'MKK1'!$F$19:$F$20)</c:f>
              <c:numCache>
                <c:formatCode>#\ ##0.\-\ "€"</c:formatCode>
                <c:ptCount val="6"/>
                <c:pt idx="0">
                  <c:v>0</c:v>
                </c:pt>
                <c:pt idx="1">
                  <c:v>0</c:v>
                </c:pt>
                <c:pt idx="2">
                  <c:v>0</c:v>
                </c:pt>
                <c:pt idx="3">
                  <c:v>0</c:v>
                </c:pt>
              </c:numCache>
            </c:numRef>
          </c:val>
          <c:extLst>
            <c:ext xmlns:c16="http://schemas.microsoft.com/office/drawing/2014/chart" uri="{C3380CC4-5D6E-409C-BE32-E72D297353CC}">
              <c16:uniqueId val="{00000002-40A6-4BB4-8828-192091F6C325}"/>
            </c:ext>
          </c:extLst>
        </c:ser>
        <c:dLbls>
          <c:showLegendKey val="0"/>
          <c:showVal val="0"/>
          <c:showCatName val="0"/>
          <c:showSerName val="0"/>
          <c:showPercent val="0"/>
          <c:showBubbleSize val="0"/>
        </c:dLbls>
        <c:gapWidth val="150"/>
        <c:axId val="2028390543"/>
        <c:axId val="1"/>
      </c:barChart>
      <c:catAx>
        <c:axId val="2028390543"/>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5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 ##0.\-\ &quot;€&quot;" sourceLinked="1"/>
        <c:majorTickMark val="out"/>
        <c:minorTickMark val="none"/>
        <c:tickLblPos val="nextTo"/>
        <c:spPr>
          <a:ln w="3175">
            <a:solidFill>
              <a:srgbClr val="000000"/>
            </a:solidFill>
            <a:prstDash val="solid"/>
          </a:ln>
        </c:spPr>
        <c:txPr>
          <a:bodyPr rot="0" vert="horz"/>
          <a:lstStyle/>
          <a:p>
            <a:pPr>
              <a:defRPr sz="400" b="0" i="0" u="none" strike="noStrike" baseline="0">
                <a:solidFill>
                  <a:srgbClr val="000000"/>
                </a:solidFill>
                <a:latin typeface="Arial"/>
                <a:ea typeface="Arial"/>
                <a:cs typeface="Arial"/>
              </a:defRPr>
            </a:pPr>
            <a:endParaRPr lang="de-DE"/>
          </a:p>
        </c:txPr>
        <c:crossAx val="2028390543"/>
        <c:crosses val="autoZero"/>
        <c:crossBetween val="between"/>
      </c:valAx>
      <c:spPr>
        <a:solidFill>
          <a:srgbClr val="FFFFFF"/>
        </a:solidFill>
        <a:ln w="25400">
          <a:noFill/>
        </a:ln>
      </c:spPr>
    </c:plotArea>
    <c:plotVisOnly val="1"/>
    <c:dispBlanksAs val="gap"/>
    <c:showDLblsOverMax val="0"/>
  </c:chart>
  <c:spPr>
    <a:solidFill>
      <a:srgbClr val="EBF1F3"/>
    </a:solidFill>
    <a:ln w="3175">
      <a:solidFill>
        <a:srgbClr val="000000"/>
      </a:solidFill>
      <a:prstDash val="solid"/>
    </a:ln>
  </c:spPr>
  <c:txPr>
    <a:bodyPr/>
    <a:lstStyle/>
    <a:p>
      <a:pPr>
        <a:defRPr sz="4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2069037921983889"/>
          <c:y val="5.6911422657533663E-2"/>
        </c:manualLayout>
      </c:layout>
      <c:overlay val="0"/>
      <c:spPr>
        <a:solidFill>
          <a:srgbClr val="FFFFFF"/>
        </a:solidFill>
        <a:ln w="3175">
          <a:solidFill>
            <a:srgbClr val="000000"/>
          </a:solidFill>
          <a:prstDash val="solid"/>
        </a:ln>
        <a:effectLst>
          <a:outerShdw dist="35921" dir="2700000" algn="br">
            <a:srgbClr val="000000"/>
          </a:outerShdw>
        </a:effectLst>
      </c:spPr>
      <c:txPr>
        <a:bodyPr/>
        <a:lstStyle/>
        <a:p>
          <a:pPr>
            <a:defRPr sz="500" b="0" i="0" u="none" strike="noStrike" baseline="0">
              <a:solidFill>
                <a:srgbClr val="000000"/>
              </a:solidFill>
              <a:latin typeface="Arial"/>
              <a:ea typeface="Arial"/>
              <a:cs typeface="Arial"/>
            </a:defRPr>
          </a:pPr>
          <a:endParaRPr lang="de-DE"/>
        </a:p>
      </c:txPr>
    </c:title>
    <c:autoTitleDeleted val="0"/>
    <c:plotArea>
      <c:layout>
        <c:manualLayout>
          <c:layoutTarget val="inner"/>
          <c:xMode val="edge"/>
          <c:yMode val="edge"/>
          <c:x val="0.20689724844170407"/>
          <c:y val="0.34959627156592643"/>
          <c:w val="0.69655406975373702"/>
          <c:h val="0.38211685496740794"/>
        </c:manualLayout>
      </c:layout>
      <c:barChart>
        <c:barDir val="col"/>
        <c:grouping val="clustered"/>
        <c:varyColors val="0"/>
        <c:ser>
          <c:idx val="0"/>
          <c:order val="0"/>
          <c:tx>
            <c:strRef>
              <c:f>'MKK2'!$D$1</c:f>
              <c:strCache>
                <c:ptCount val="1"/>
                <c:pt idx="0">
                  <c:v>PKW-Anhänger - 600 kg</c:v>
                </c:pt>
              </c:strCache>
            </c:strRef>
          </c:tx>
          <c:spPr>
            <a:solidFill>
              <a:srgbClr val="FF0000"/>
            </a:solidFill>
            <a:ln w="12700">
              <a:solidFill>
                <a:srgbClr val="000000"/>
              </a:solidFill>
              <a:prstDash val="solid"/>
            </a:ln>
          </c:spPr>
          <c:invertIfNegative val="0"/>
          <c:dPt>
            <c:idx val="4"/>
            <c:invertIfNegative val="0"/>
            <c:bubble3D val="0"/>
            <c:spPr>
              <a:solidFill>
                <a:srgbClr val="0000FF"/>
              </a:solidFill>
              <a:ln w="12700">
                <a:solidFill>
                  <a:srgbClr val="000000"/>
                </a:solidFill>
                <a:prstDash val="solid"/>
              </a:ln>
            </c:spPr>
            <c:extLst>
              <c:ext xmlns:c16="http://schemas.microsoft.com/office/drawing/2014/chart" uri="{C3380CC4-5D6E-409C-BE32-E72D297353CC}">
                <c16:uniqueId val="{00000000-6632-4EE5-8BFD-E58DF5C93208}"/>
              </c:ext>
            </c:extLst>
          </c:dPt>
          <c:dPt>
            <c:idx val="5"/>
            <c:invertIfNegative val="0"/>
            <c:bubble3D val="0"/>
            <c:spPr>
              <a:solidFill>
                <a:srgbClr val="0000FF"/>
              </a:solidFill>
              <a:ln w="12700">
                <a:solidFill>
                  <a:srgbClr val="000000"/>
                </a:solidFill>
                <a:prstDash val="solid"/>
              </a:ln>
            </c:spPr>
            <c:extLst>
              <c:ext xmlns:c16="http://schemas.microsoft.com/office/drawing/2014/chart" uri="{C3380CC4-5D6E-409C-BE32-E72D297353CC}">
                <c16:uniqueId val="{00000001-6632-4EE5-8BFD-E58DF5C93208}"/>
              </c:ext>
            </c:extLst>
          </c:dPt>
          <c:cat>
            <c:strRef>
              <c:f>('MKK2'!$A$12:$A$15,'MKK2'!$A$19:$A$20)</c:f>
              <c:strCache>
                <c:ptCount val="6"/>
                <c:pt idx="0">
                  <c:v>Afa</c:v>
                </c:pt>
                <c:pt idx="1">
                  <c:v>U</c:v>
                </c:pt>
                <c:pt idx="2">
                  <c:v>V</c:v>
                </c:pt>
                <c:pt idx="3">
                  <c:v>Z</c:v>
                </c:pt>
                <c:pt idx="4">
                  <c:v>E</c:v>
                </c:pt>
                <c:pt idx="5">
                  <c:v>R</c:v>
                </c:pt>
              </c:strCache>
            </c:strRef>
          </c:cat>
          <c:val>
            <c:numRef>
              <c:f>('MKK2'!$F$12:$F$15,'MKK2'!$F$19:$F$20)</c:f>
              <c:numCache>
                <c:formatCode>#\ ##0.\-\ "€"</c:formatCode>
                <c:ptCount val="6"/>
                <c:pt idx="0">
                  <c:v>0</c:v>
                </c:pt>
                <c:pt idx="1">
                  <c:v>0</c:v>
                </c:pt>
                <c:pt idx="2">
                  <c:v>0</c:v>
                </c:pt>
                <c:pt idx="3">
                  <c:v>0</c:v>
                </c:pt>
              </c:numCache>
            </c:numRef>
          </c:val>
          <c:extLst>
            <c:ext xmlns:c16="http://schemas.microsoft.com/office/drawing/2014/chart" uri="{C3380CC4-5D6E-409C-BE32-E72D297353CC}">
              <c16:uniqueId val="{00000002-6632-4EE5-8BFD-E58DF5C93208}"/>
            </c:ext>
          </c:extLst>
        </c:ser>
        <c:dLbls>
          <c:showLegendKey val="0"/>
          <c:showVal val="0"/>
          <c:showCatName val="0"/>
          <c:showSerName val="0"/>
          <c:showPercent val="0"/>
          <c:showBubbleSize val="0"/>
        </c:dLbls>
        <c:gapWidth val="150"/>
        <c:axId val="2028383743"/>
        <c:axId val="1"/>
      </c:barChart>
      <c:catAx>
        <c:axId val="2028383743"/>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5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 ##0.\-\ &quot;€&quot;" sourceLinked="1"/>
        <c:majorTickMark val="out"/>
        <c:minorTickMark val="none"/>
        <c:tickLblPos val="nextTo"/>
        <c:spPr>
          <a:ln w="3175">
            <a:solidFill>
              <a:srgbClr val="000000"/>
            </a:solidFill>
            <a:prstDash val="solid"/>
          </a:ln>
        </c:spPr>
        <c:txPr>
          <a:bodyPr rot="0" vert="horz"/>
          <a:lstStyle/>
          <a:p>
            <a:pPr>
              <a:defRPr sz="400" b="0" i="0" u="none" strike="noStrike" baseline="0">
                <a:solidFill>
                  <a:srgbClr val="000000"/>
                </a:solidFill>
                <a:latin typeface="Arial"/>
                <a:ea typeface="Arial"/>
                <a:cs typeface="Arial"/>
              </a:defRPr>
            </a:pPr>
            <a:endParaRPr lang="de-DE"/>
          </a:p>
        </c:txPr>
        <c:crossAx val="2028383743"/>
        <c:crosses val="autoZero"/>
        <c:crossBetween val="between"/>
      </c:valAx>
      <c:spPr>
        <a:solidFill>
          <a:srgbClr val="FFFFFF"/>
        </a:solidFill>
        <a:ln w="25400">
          <a:noFill/>
        </a:ln>
      </c:spPr>
    </c:plotArea>
    <c:plotVisOnly val="1"/>
    <c:dispBlanksAs val="gap"/>
    <c:showDLblsOverMax val="0"/>
  </c:chart>
  <c:spPr>
    <a:solidFill>
      <a:srgbClr val="EBF1F3"/>
    </a:solidFill>
    <a:ln w="3175">
      <a:solidFill>
        <a:srgbClr val="000000"/>
      </a:solidFill>
      <a:prstDash val="solid"/>
    </a:ln>
  </c:spPr>
  <c:txPr>
    <a:bodyPr/>
    <a:lstStyle/>
    <a:p>
      <a:pPr>
        <a:defRPr sz="4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1" Type="http://schemas.openxmlformats.org/officeDocument/2006/relationships/hyperlink" Target="#Berechnung!E6"/></Relationships>
</file>

<file path=xl/drawings/_rels/drawing1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255</xdr:col>
      <xdr:colOff>0</xdr:colOff>
      <xdr:row>13</xdr:row>
      <xdr:rowOff>19050</xdr:rowOff>
    </xdr:from>
    <xdr:to>
      <xdr:col>255</xdr:col>
      <xdr:colOff>0</xdr:colOff>
      <xdr:row>14</xdr:row>
      <xdr:rowOff>76200</xdr:rowOff>
    </xdr:to>
    <xdr:grpSp>
      <xdr:nvGrpSpPr>
        <xdr:cNvPr id="1205" name="Group 1">
          <a:hlinkClick xmlns:r="http://schemas.openxmlformats.org/officeDocument/2006/relationships" r:id="rId1" tooltip="Zurück zur Berechnung!"/>
          <a:extLst>
            <a:ext uri="{FF2B5EF4-FFF2-40B4-BE49-F238E27FC236}">
              <a16:creationId xmlns:a16="http://schemas.microsoft.com/office/drawing/2014/main" id="{822C4B6B-A8F5-4FC5-A188-D8A310E70CCD}"/>
            </a:ext>
          </a:extLst>
        </xdr:cNvPr>
        <xdr:cNvGrpSpPr>
          <a:grpSpLocks/>
        </xdr:cNvGrpSpPr>
      </xdr:nvGrpSpPr>
      <xdr:grpSpPr bwMode="auto">
        <a:xfrm>
          <a:off x="146761200" y="1962150"/>
          <a:ext cx="0" cy="0"/>
          <a:chOff x="690" y="221"/>
          <a:chExt cx="94" cy="19"/>
        </a:xfrm>
      </xdr:grpSpPr>
      <xdr:sp macro="" textlink="">
        <xdr:nvSpPr>
          <xdr:cNvPr id="1210" name="Rectangle 2">
            <a:extLst>
              <a:ext uri="{FF2B5EF4-FFF2-40B4-BE49-F238E27FC236}">
                <a16:creationId xmlns:a16="http://schemas.microsoft.com/office/drawing/2014/main" id="{8C72A385-5212-4620-9750-C480194D95FD}"/>
              </a:ext>
            </a:extLst>
          </xdr:cNvPr>
          <xdr:cNvSpPr>
            <a:spLocks noChangeArrowheads="1"/>
          </xdr:cNvSpPr>
        </xdr:nvSpPr>
        <xdr:spPr bwMode="auto">
          <a:xfrm>
            <a:off x="690" y="221"/>
            <a:ext cx="94" cy="19"/>
          </a:xfrm>
          <a:prstGeom prst="rect">
            <a:avLst/>
          </a:prstGeom>
          <a:solidFill>
            <a:srgbClr xmlns:mc="http://schemas.openxmlformats.org/markup-compatibility/2006" xmlns:a14="http://schemas.microsoft.com/office/drawing/2010/main" val="FF0000" mc:Ignorable="a14" a14:legacySpreadsheetColorIndex="10"/>
          </a:solidFill>
          <a:ln w="6350" algn="ctr">
            <a:solidFill>
              <a:srgbClr xmlns:mc="http://schemas.openxmlformats.org/markup-compatibility/2006" xmlns:a14="http://schemas.microsoft.com/office/drawing/2010/main" val="333333" mc:Ignorable="a14" a14:legacySpreadsheetColorIndex="63"/>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sp macro="" textlink="">
        <xdr:nvSpPr>
          <xdr:cNvPr id="1027" name="Text Box 3">
            <a:extLst>
              <a:ext uri="{FF2B5EF4-FFF2-40B4-BE49-F238E27FC236}">
                <a16:creationId xmlns:a16="http://schemas.microsoft.com/office/drawing/2014/main" id="{D15BD292-3231-46D0-861B-94DDEFF1D855}"/>
              </a:ext>
            </a:extLst>
          </xdr:cNvPr>
          <xdr:cNvSpPr txBox="1">
            <a:spLocks noChangeArrowheads="1"/>
          </xdr:cNvSpPr>
        </xdr:nvSpPr>
        <xdr:spPr bwMode="auto">
          <a:xfrm>
            <a:off x="7162800" y="1962150"/>
            <a:ext cx="0" cy="0"/>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6350" algn="ctr">
                <a:solidFill>
                  <a:srgbClr xmlns:mc="http://schemas.openxmlformats.org/markup-compatibility/2006" val="0000FF" mc:Ignorable="a14" a14:legacySpreadsheetColorIndex="12"/>
                </a:solidFill>
                <a:miter lim="800000"/>
                <a:headEnd/>
                <a:tailEnd/>
              </a14:hiddenLine>
            </a:ext>
            <a:ext uri="{53640926-AAD7-44D8-BBD7-CCE9431645EC}">
              <a14:shadowObscured xmlns:a14="http://schemas.microsoft.com/office/drawing/2010/main" val="1"/>
            </a:ext>
          </a:extLst>
        </xdr:spPr>
        <xdr:txBody>
          <a:bodyPr vertOverflow="clip" wrap="square" lIns="0" tIns="0" rIns="0" bIns="0" anchor="ctr" upright="1"/>
          <a:lstStyle/>
          <a:p>
            <a:pPr algn="ctr" rtl="0">
              <a:defRPr sz="1000"/>
            </a:pPr>
            <a:r>
              <a:rPr lang="de-DE" sz="800" b="1" i="0" u="none" strike="noStrike" baseline="0">
                <a:solidFill>
                  <a:srgbClr val="FFFFFF"/>
                </a:solidFill>
                <a:latin typeface="Wingdings 3"/>
              </a:rPr>
              <a:t>t</a:t>
            </a:r>
            <a:r>
              <a:rPr lang="de-DE" sz="800" b="1" i="0" u="none" strike="noStrike" baseline="0">
                <a:solidFill>
                  <a:srgbClr val="FFFFFF"/>
                </a:solidFill>
                <a:latin typeface="Arial"/>
                <a:cs typeface="Arial"/>
              </a:rPr>
              <a:t> DB/VK ges.</a:t>
            </a:r>
          </a:p>
        </xdr:txBody>
      </xdr:sp>
      <xdr:sp macro="" textlink="">
        <xdr:nvSpPr>
          <xdr:cNvPr id="1212" name="Freeform 4">
            <a:extLst>
              <a:ext uri="{FF2B5EF4-FFF2-40B4-BE49-F238E27FC236}">
                <a16:creationId xmlns:a16="http://schemas.microsoft.com/office/drawing/2014/main" id="{76A59B0A-D338-4FE7-A116-B85515DE6124}"/>
              </a:ext>
            </a:extLst>
          </xdr:cNvPr>
          <xdr:cNvSpPr>
            <a:spLocks/>
          </xdr:cNvSpPr>
        </xdr:nvSpPr>
        <xdr:spPr bwMode="auto">
          <a:xfrm>
            <a:off x="690" y="221"/>
            <a:ext cx="94" cy="19"/>
          </a:xfrm>
          <a:custGeom>
            <a:avLst/>
            <a:gdLst>
              <a:gd name="T0" fmla="*/ 0 w 62"/>
              <a:gd name="T1" fmla="*/ 2 h 28"/>
              <a:gd name="T2" fmla="*/ 0 w 62"/>
              <a:gd name="T3" fmla="*/ 0 h 28"/>
              <a:gd name="T4" fmla="*/ 1148 w 62"/>
              <a:gd name="T5" fmla="*/ 0 h 28"/>
              <a:gd name="T6" fmla="*/ 0 60000 65536"/>
              <a:gd name="T7" fmla="*/ 0 60000 65536"/>
              <a:gd name="T8" fmla="*/ 0 60000 65536"/>
            </a:gdLst>
            <a:ahLst/>
            <a:cxnLst>
              <a:cxn ang="T6">
                <a:pos x="T0" y="T1"/>
              </a:cxn>
              <a:cxn ang="T7">
                <a:pos x="T2" y="T3"/>
              </a:cxn>
              <a:cxn ang="T8">
                <a:pos x="T4" y="T5"/>
              </a:cxn>
            </a:cxnLst>
            <a:rect l="0" t="0" r="r" b="b"/>
            <a:pathLst>
              <a:path w="62" h="28">
                <a:moveTo>
                  <a:pt x="0" y="28"/>
                </a:moveTo>
                <a:lnTo>
                  <a:pt x="0" y="0"/>
                </a:lnTo>
                <a:lnTo>
                  <a:pt x="62" y="0"/>
                </a:lnTo>
              </a:path>
            </a:pathLst>
          </a:custGeom>
          <a:noFill/>
          <a:ln w="6350" cap="flat" cmpd="sng">
            <a:solidFill>
              <a:srgbClr xmlns:mc="http://schemas.openxmlformats.org/markup-compatibility/2006" xmlns:a14="http://schemas.microsoft.com/office/drawing/2010/main" val="EAEAEA" mc:Ignorable="a14" a14:legacySpreadsheetColorIndex="22"/>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grpSp>
    <xdr:clientData/>
  </xdr:twoCellAnchor>
  <xdr:twoCellAnchor>
    <xdr:from>
      <xdr:col>255</xdr:col>
      <xdr:colOff>0</xdr:colOff>
      <xdr:row>782</xdr:row>
      <xdr:rowOff>19050</xdr:rowOff>
    </xdr:from>
    <xdr:to>
      <xdr:col>255</xdr:col>
      <xdr:colOff>0</xdr:colOff>
      <xdr:row>783</xdr:row>
      <xdr:rowOff>76200</xdr:rowOff>
    </xdr:to>
    <xdr:grpSp>
      <xdr:nvGrpSpPr>
        <xdr:cNvPr id="1206" name="Group 5">
          <a:hlinkClick xmlns:r="http://schemas.openxmlformats.org/officeDocument/2006/relationships" r:id="rId1" tooltip="Zurück zur Berechnung!"/>
          <a:extLst>
            <a:ext uri="{FF2B5EF4-FFF2-40B4-BE49-F238E27FC236}">
              <a16:creationId xmlns:a16="http://schemas.microsoft.com/office/drawing/2014/main" id="{8AF80F68-6307-45EE-96B8-31F035F6F101}"/>
            </a:ext>
          </a:extLst>
        </xdr:cNvPr>
        <xdr:cNvGrpSpPr>
          <a:grpSpLocks/>
        </xdr:cNvGrpSpPr>
      </xdr:nvGrpSpPr>
      <xdr:grpSpPr bwMode="auto">
        <a:xfrm>
          <a:off x="146761200" y="66789300"/>
          <a:ext cx="0" cy="219075"/>
          <a:chOff x="690" y="221"/>
          <a:chExt cx="94" cy="19"/>
        </a:xfrm>
      </xdr:grpSpPr>
      <xdr:sp macro="" textlink="">
        <xdr:nvSpPr>
          <xdr:cNvPr id="1207" name="Rectangle 6">
            <a:extLst>
              <a:ext uri="{FF2B5EF4-FFF2-40B4-BE49-F238E27FC236}">
                <a16:creationId xmlns:a16="http://schemas.microsoft.com/office/drawing/2014/main" id="{108E5536-BE80-4BBD-8537-4B22A7E9B402}"/>
              </a:ext>
            </a:extLst>
          </xdr:cNvPr>
          <xdr:cNvSpPr>
            <a:spLocks noChangeArrowheads="1"/>
          </xdr:cNvSpPr>
        </xdr:nvSpPr>
        <xdr:spPr bwMode="auto">
          <a:xfrm>
            <a:off x="690" y="221"/>
            <a:ext cx="94" cy="19"/>
          </a:xfrm>
          <a:prstGeom prst="rect">
            <a:avLst/>
          </a:prstGeom>
          <a:solidFill>
            <a:srgbClr xmlns:mc="http://schemas.openxmlformats.org/markup-compatibility/2006" xmlns:a14="http://schemas.microsoft.com/office/drawing/2010/main" val="FF0000" mc:Ignorable="a14" a14:legacySpreadsheetColorIndex="10"/>
          </a:solidFill>
          <a:ln w="6350" algn="ctr">
            <a:solidFill>
              <a:srgbClr xmlns:mc="http://schemas.openxmlformats.org/markup-compatibility/2006" xmlns:a14="http://schemas.microsoft.com/office/drawing/2010/main" val="333333" mc:Ignorable="a14" a14:legacySpreadsheetColorIndex="63"/>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sp macro="" textlink="">
        <xdr:nvSpPr>
          <xdr:cNvPr id="1031" name="Text Box 7">
            <a:extLst>
              <a:ext uri="{FF2B5EF4-FFF2-40B4-BE49-F238E27FC236}">
                <a16:creationId xmlns:a16="http://schemas.microsoft.com/office/drawing/2014/main" id="{48590D43-0624-4B97-96F8-86ED5D418D0C}"/>
              </a:ext>
            </a:extLst>
          </xdr:cNvPr>
          <xdr:cNvSpPr txBox="1">
            <a:spLocks noChangeArrowheads="1"/>
          </xdr:cNvSpPr>
        </xdr:nvSpPr>
        <xdr:spPr bwMode="auto">
          <a:xfrm>
            <a:off x="7162800" y="8367031552979"/>
            <a:ext cx="0" cy="17"/>
          </a:xfrm>
          <a:prstGeom prst="rect">
            <a:avLst/>
          </a:pr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6350" algn="ctr">
                <a:solidFill>
                  <a:srgbClr xmlns:mc="http://schemas.openxmlformats.org/markup-compatibility/2006" val="0000FF" mc:Ignorable="a14" a14:legacySpreadsheetColorIndex="12"/>
                </a:solidFill>
                <a:miter lim="800000"/>
                <a:headEnd/>
                <a:tailEnd/>
              </a14:hiddenLine>
            </a:ext>
            <a:ext uri="{53640926-AAD7-44D8-BBD7-CCE9431645EC}">
              <a14:shadowObscured xmlns:a14="http://schemas.microsoft.com/office/drawing/2010/main" val="1"/>
            </a:ext>
          </a:extLst>
        </xdr:spPr>
        <xdr:txBody>
          <a:bodyPr vertOverflow="clip" wrap="square" lIns="0" tIns="0" rIns="0" bIns="0" anchor="ctr" upright="1"/>
          <a:lstStyle/>
          <a:p>
            <a:pPr algn="ctr" rtl="0">
              <a:defRPr sz="1000"/>
            </a:pPr>
            <a:r>
              <a:rPr lang="de-DE" sz="800" b="1" i="0" u="none" strike="noStrike" baseline="0">
                <a:solidFill>
                  <a:srgbClr val="FFFFFF"/>
                </a:solidFill>
                <a:latin typeface="Wingdings 3"/>
              </a:rPr>
              <a:t>t</a:t>
            </a:r>
            <a:r>
              <a:rPr lang="de-DE" sz="800" b="1" i="0" u="none" strike="noStrike" baseline="0">
                <a:solidFill>
                  <a:srgbClr val="FFFFFF"/>
                </a:solidFill>
                <a:latin typeface="Arial"/>
                <a:cs typeface="Arial"/>
              </a:rPr>
              <a:t> DB/VK ges.</a:t>
            </a:r>
          </a:p>
        </xdr:txBody>
      </xdr:sp>
      <xdr:sp macro="" textlink="">
        <xdr:nvSpPr>
          <xdr:cNvPr id="1209" name="Freeform 8">
            <a:extLst>
              <a:ext uri="{FF2B5EF4-FFF2-40B4-BE49-F238E27FC236}">
                <a16:creationId xmlns:a16="http://schemas.microsoft.com/office/drawing/2014/main" id="{F2535BED-3E3A-45CA-8327-127C537E87D9}"/>
              </a:ext>
            </a:extLst>
          </xdr:cNvPr>
          <xdr:cNvSpPr>
            <a:spLocks/>
          </xdr:cNvSpPr>
        </xdr:nvSpPr>
        <xdr:spPr bwMode="auto">
          <a:xfrm>
            <a:off x="690" y="221"/>
            <a:ext cx="94" cy="19"/>
          </a:xfrm>
          <a:custGeom>
            <a:avLst/>
            <a:gdLst>
              <a:gd name="T0" fmla="*/ 0 w 62"/>
              <a:gd name="T1" fmla="*/ 2 h 28"/>
              <a:gd name="T2" fmla="*/ 0 w 62"/>
              <a:gd name="T3" fmla="*/ 0 h 28"/>
              <a:gd name="T4" fmla="*/ 1148 w 62"/>
              <a:gd name="T5" fmla="*/ 0 h 28"/>
              <a:gd name="T6" fmla="*/ 0 60000 65536"/>
              <a:gd name="T7" fmla="*/ 0 60000 65536"/>
              <a:gd name="T8" fmla="*/ 0 60000 65536"/>
            </a:gdLst>
            <a:ahLst/>
            <a:cxnLst>
              <a:cxn ang="T6">
                <a:pos x="T0" y="T1"/>
              </a:cxn>
              <a:cxn ang="T7">
                <a:pos x="T2" y="T3"/>
              </a:cxn>
              <a:cxn ang="T8">
                <a:pos x="T4" y="T5"/>
              </a:cxn>
            </a:cxnLst>
            <a:rect l="0" t="0" r="r" b="b"/>
            <a:pathLst>
              <a:path w="62" h="28">
                <a:moveTo>
                  <a:pt x="0" y="28"/>
                </a:moveTo>
                <a:lnTo>
                  <a:pt x="0" y="0"/>
                </a:lnTo>
                <a:lnTo>
                  <a:pt x="62" y="0"/>
                </a:lnTo>
              </a:path>
            </a:pathLst>
          </a:custGeom>
          <a:noFill/>
          <a:ln w="6350" cap="flat" cmpd="sng">
            <a:solidFill>
              <a:srgbClr xmlns:mc="http://schemas.openxmlformats.org/markup-compatibility/2006" xmlns:a14="http://schemas.microsoft.com/office/drawing/2010/main" val="EAEAEA" mc:Ignorable="a14" a14:legacySpreadsheetColorIndex="22"/>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38100</xdr:colOff>
      <xdr:row>0</xdr:row>
      <xdr:rowOff>9525</xdr:rowOff>
    </xdr:from>
    <xdr:to>
      <xdr:col>1</xdr:col>
      <xdr:colOff>0</xdr:colOff>
      <xdr:row>0</xdr:row>
      <xdr:rowOff>95250</xdr:rowOff>
    </xdr:to>
    <xdr:sp macro="" textlink="">
      <xdr:nvSpPr>
        <xdr:cNvPr id="14356" name="AutoShape 1">
          <a:extLst>
            <a:ext uri="{FF2B5EF4-FFF2-40B4-BE49-F238E27FC236}">
              <a16:creationId xmlns:a16="http://schemas.microsoft.com/office/drawing/2014/main" id="{F7578FB4-D911-4ABC-8A44-E44AB4269C61}"/>
            </a:ext>
          </a:extLst>
        </xdr:cNvPr>
        <xdr:cNvSpPr>
          <a:spLocks noChangeArrowheads="1"/>
        </xdr:cNvSpPr>
      </xdr:nvSpPr>
      <xdr:spPr bwMode="auto">
        <a:xfrm rot="10800000">
          <a:off x="38100" y="9525"/>
          <a:ext cx="142875" cy="85725"/>
        </a:xfrm>
        <a:prstGeom prst="rtTriangl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0</xdr:col>
      <xdr:colOff>38100</xdr:colOff>
      <xdr:row>0</xdr:row>
      <xdr:rowOff>9525</xdr:rowOff>
    </xdr:from>
    <xdr:to>
      <xdr:col>1</xdr:col>
      <xdr:colOff>0</xdr:colOff>
      <xdr:row>0</xdr:row>
      <xdr:rowOff>95250</xdr:rowOff>
    </xdr:to>
    <xdr:sp macro="" textlink="">
      <xdr:nvSpPr>
        <xdr:cNvPr id="15380" name="AutoShape 1">
          <a:extLst>
            <a:ext uri="{FF2B5EF4-FFF2-40B4-BE49-F238E27FC236}">
              <a16:creationId xmlns:a16="http://schemas.microsoft.com/office/drawing/2014/main" id="{AC1D6273-3AE8-432A-B8D9-1E7A5D72BD51}"/>
            </a:ext>
          </a:extLst>
        </xdr:cNvPr>
        <xdr:cNvSpPr>
          <a:spLocks noChangeArrowheads="1"/>
        </xdr:cNvSpPr>
      </xdr:nvSpPr>
      <xdr:spPr bwMode="auto">
        <a:xfrm rot="10800000">
          <a:off x="38100" y="9525"/>
          <a:ext cx="142875" cy="85725"/>
        </a:xfrm>
        <a:prstGeom prst="rtTriangl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0</xdr:col>
      <xdr:colOff>142875</xdr:colOff>
      <xdr:row>0</xdr:row>
      <xdr:rowOff>0</xdr:rowOff>
    </xdr:from>
    <xdr:to>
      <xdr:col>0</xdr:col>
      <xdr:colOff>114300</xdr:colOff>
      <xdr:row>0</xdr:row>
      <xdr:rowOff>85725</xdr:rowOff>
    </xdr:to>
    <xdr:sp macro="" textlink="">
      <xdr:nvSpPr>
        <xdr:cNvPr id="10280" name="AutoShape 4">
          <a:extLst>
            <a:ext uri="{FF2B5EF4-FFF2-40B4-BE49-F238E27FC236}">
              <a16:creationId xmlns:a16="http://schemas.microsoft.com/office/drawing/2014/main" id="{D60CB9CC-5B1A-476F-9B59-A37897C344D5}"/>
            </a:ext>
          </a:extLst>
        </xdr:cNvPr>
        <xdr:cNvSpPr>
          <a:spLocks noChangeArrowheads="1"/>
        </xdr:cNvSpPr>
      </xdr:nvSpPr>
      <xdr:spPr bwMode="auto">
        <a:xfrm rot="10800000">
          <a:off x="142875" y="0"/>
          <a:ext cx="0" cy="85725"/>
        </a:xfrm>
        <a:prstGeom prst="rtTriangl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3</xdr:row>
      <xdr:rowOff>0</xdr:rowOff>
    </xdr:from>
    <xdr:to>
      <xdr:col>6</xdr:col>
      <xdr:colOff>0</xdr:colOff>
      <xdr:row>9</xdr:row>
      <xdr:rowOff>0</xdr:rowOff>
    </xdr:to>
    <xdr:graphicFrame macro="">
      <xdr:nvGraphicFramePr>
        <xdr:cNvPr id="10281" name="Diagramm 5">
          <a:extLst>
            <a:ext uri="{FF2B5EF4-FFF2-40B4-BE49-F238E27FC236}">
              <a16:creationId xmlns:a16="http://schemas.microsoft.com/office/drawing/2014/main" id="{D39BA27F-BE8B-41DF-AB3A-57AA2B3C83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142875</xdr:colOff>
      <xdr:row>0</xdr:row>
      <xdr:rowOff>0</xdr:rowOff>
    </xdr:from>
    <xdr:to>
      <xdr:col>0</xdr:col>
      <xdr:colOff>114300</xdr:colOff>
      <xdr:row>0</xdr:row>
      <xdr:rowOff>85725</xdr:rowOff>
    </xdr:to>
    <xdr:sp macro="" textlink="">
      <xdr:nvSpPr>
        <xdr:cNvPr id="11323" name="AutoShape 4">
          <a:extLst>
            <a:ext uri="{FF2B5EF4-FFF2-40B4-BE49-F238E27FC236}">
              <a16:creationId xmlns:a16="http://schemas.microsoft.com/office/drawing/2014/main" id="{96776D9E-F196-4000-A55B-33F3776841E2}"/>
            </a:ext>
          </a:extLst>
        </xdr:cNvPr>
        <xdr:cNvSpPr>
          <a:spLocks noChangeArrowheads="1"/>
        </xdr:cNvSpPr>
      </xdr:nvSpPr>
      <xdr:spPr bwMode="auto">
        <a:xfrm rot="10800000">
          <a:off x="142875" y="0"/>
          <a:ext cx="0" cy="85725"/>
        </a:xfrm>
        <a:prstGeom prst="rtTriangl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142875</xdr:colOff>
      <xdr:row>0</xdr:row>
      <xdr:rowOff>0</xdr:rowOff>
    </xdr:from>
    <xdr:to>
      <xdr:col>0</xdr:col>
      <xdr:colOff>114300</xdr:colOff>
      <xdr:row>0</xdr:row>
      <xdr:rowOff>85725</xdr:rowOff>
    </xdr:to>
    <xdr:sp macro="" textlink="">
      <xdr:nvSpPr>
        <xdr:cNvPr id="11324" name="AutoShape 5">
          <a:extLst>
            <a:ext uri="{FF2B5EF4-FFF2-40B4-BE49-F238E27FC236}">
              <a16:creationId xmlns:a16="http://schemas.microsoft.com/office/drawing/2014/main" id="{E3D302FF-9FD8-41A5-BBD6-FE2194A93689}"/>
            </a:ext>
          </a:extLst>
        </xdr:cNvPr>
        <xdr:cNvSpPr>
          <a:spLocks noChangeArrowheads="1"/>
        </xdr:cNvSpPr>
      </xdr:nvSpPr>
      <xdr:spPr bwMode="auto">
        <a:xfrm rot="10800000">
          <a:off x="142875" y="0"/>
          <a:ext cx="0" cy="85725"/>
        </a:xfrm>
        <a:prstGeom prst="rtTriangl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3</xdr:row>
      <xdr:rowOff>0</xdr:rowOff>
    </xdr:from>
    <xdr:to>
      <xdr:col>6</xdr:col>
      <xdr:colOff>0</xdr:colOff>
      <xdr:row>9</xdr:row>
      <xdr:rowOff>0</xdr:rowOff>
    </xdr:to>
    <xdr:graphicFrame macro="">
      <xdr:nvGraphicFramePr>
        <xdr:cNvPr id="11325" name="Diagramm 7">
          <a:extLst>
            <a:ext uri="{FF2B5EF4-FFF2-40B4-BE49-F238E27FC236}">
              <a16:creationId xmlns:a16="http://schemas.microsoft.com/office/drawing/2014/main" id="{95DA3684-71C6-4617-A639-A415CD5E68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9525</xdr:rowOff>
    </xdr:from>
    <xdr:to>
      <xdr:col>1</xdr:col>
      <xdr:colOff>0</xdr:colOff>
      <xdr:row>0</xdr:row>
      <xdr:rowOff>95250</xdr:rowOff>
    </xdr:to>
    <xdr:sp macro="" textlink="">
      <xdr:nvSpPr>
        <xdr:cNvPr id="5144" name="AutoShape 1">
          <a:extLst>
            <a:ext uri="{FF2B5EF4-FFF2-40B4-BE49-F238E27FC236}">
              <a16:creationId xmlns:a16="http://schemas.microsoft.com/office/drawing/2014/main" id="{E7E1AE08-6933-48BF-9A64-8B218B56EABF}"/>
            </a:ext>
          </a:extLst>
        </xdr:cNvPr>
        <xdr:cNvSpPr>
          <a:spLocks noChangeArrowheads="1"/>
        </xdr:cNvSpPr>
      </xdr:nvSpPr>
      <xdr:spPr bwMode="auto">
        <a:xfrm rot="10800000">
          <a:off x="38100" y="9525"/>
          <a:ext cx="142875" cy="85725"/>
        </a:xfrm>
        <a:prstGeom prst="rtTriangl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9525</xdr:rowOff>
    </xdr:from>
    <xdr:to>
      <xdr:col>1</xdr:col>
      <xdr:colOff>0</xdr:colOff>
      <xdr:row>0</xdr:row>
      <xdr:rowOff>95250</xdr:rowOff>
    </xdr:to>
    <xdr:sp macro="" textlink="">
      <xdr:nvSpPr>
        <xdr:cNvPr id="4116" name="AutoShape 2">
          <a:extLst>
            <a:ext uri="{FF2B5EF4-FFF2-40B4-BE49-F238E27FC236}">
              <a16:creationId xmlns:a16="http://schemas.microsoft.com/office/drawing/2014/main" id="{042C8F69-DAEF-4F9D-A329-9C9236E80DD7}"/>
            </a:ext>
          </a:extLst>
        </xdr:cNvPr>
        <xdr:cNvSpPr>
          <a:spLocks noChangeArrowheads="1"/>
        </xdr:cNvSpPr>
      </xdr:nvSpPr>
      <xdr:spPr bwMode="auto">
        <a:xfrm rot="10800000">
          <a:off x="38100" y="9525"/>
          <a:ext cx="142875" cy="85725"/>
        </a:xfrm>
        <a:prstGeom prst="rtTriangl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9525</xdr:rowOff>
    </xdr:from>
    <xdr:to>
      <xdr:col>1</xdr:col>
      <xdr:colOff>0</xdr:colOff>
      <xdr:row>0</xdr:row>
      <xdr:rowOff>95250</xdr:rowOff>
    </xdr:to>
    <xdr:sp macro="" textlink="">
      <xdr:nvSpPr>
        <xdr:cNvPr id="3092" name="AutoShape 2">
          <a:extLst>
            <a:ext uri="{FF2B5EF4-FFF2-40B4-BE49-F238E27FC236}">
              <a16:creationId xmlns:a16="http://schemas.microsoft.com/office/drawing/2014/main" id="{A7BF6402-B8C7-40A5-B048-6932A94FDA47}"/>
            </a:ext>
          </a:extLst>
        </xdr:cNvPr>
        <xdr:cNvSpPr>
          <a:spLocks noChangeArrowheads="1"/>
        </xdr:cNvSpPr>
      </xdr:nvSpPr>
      <xdr:spPr bwMode="auto">
        <a:xfrm rot="10800000">
          <a:off x="38100" y="9525"/>
          <a:ext cx="76200" cy="85725"/>
        </a:xfrm>
        <a:prstGeom prst="rtTriangl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9</xdr:row>
      <xdr:rowOff>0</xdr:rowOff>
    </xdr:from>
    <xdr:to>
      <xdr:col>0</xdr:col>
      <xdr:colOff>0</xdr:colOff>
      <xdr:row>9</xdr:row>
      <xdr:rowOff>0</xdr:rowOff>
    </xdr:to>
    <xdr:sp macro="" textlink="">
      <xdr:nvSpPr>
        <xdr:cNvPr id="6272" name="Rectangle 1">
          <a:extLst>
            <a:ext uri="{FF2B5EF4-FFF2-40B4-BE49-F238E27FC236}">
              <a16:creationId xmlns:a16="http://schemas.microsoft.com/office/drawing/2014/main" id="{F8E60EF1-E089-4B61-9CCB-BFBC5C8A96FA}"/>
            </a:ext>
          </a:extLst>
        </xdr:cNvPr>
        <xdr:cNvSpPr>
          <a:spLocks noChangeArrowheads="1"/>
        </xdr:cNvSpPr>
      </xdr:nvSpPr>
      <xdr:spPr bwMode="auto">
        <a:xfrm>
          <a:off x="0" y="1695450"/>
          <a:ext cx="0"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0</xdr:col>
      <xdr:colOff>0</xdr:colOff>
      <xdr:row>8</xdr:row>
      <xdr:rowOff>180975</xdr:rowOff>
    </xdr:from>
    <xdr:to>
      <xdr:col>0</xdr:col>
      <xdr:colOff>0</xdr:colOff>
      <xdr:row>8</xdr:row>
      <xdr:rowOff>180975</xdr:rowOff>
    </xdr:to>
    <xdr:sp macro="" textlink="">
      <xdr:nvSpPr>
        <xdr:cNvPr id="6273" name="Rectangle 2">
          <a:extLst>
            <a:ext uri="{FF2B5EF4-FFF2-40B4-BE49-F238E27FC236}">
              <a16:creationId xmlns:a16="http://schemas.microsoft.com/office/drawing/2014/main" id="{C9EB2DDD-EB3B-4317-AA6F-39008074D9AF}"/>
            </a:ext>
          </a:extLst>
        </xdr:cNvPr>
        <xdr:cNvSpPr>
          <a:spLocks noChangeArrowheads="1"/>
        </xdr:cNvSpPr>
      </xdr:nvSpPr>
      <xdr:spPr bwMode="auto">
        <a:xfrm>
          <a:off x="0" y="16954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9</xdr:row>
      <xdr:rowOff>0</xdr:rowOff>
    </xdr:from>
    <xdr:to>
      <xdr:col>0</xdr:col>
      <xdr:colOff>0</xdr:colOff>
      <xdr:row>9</xdr:row>
      <xdr:rowOff>0</xdr:rowOff>
    </xdr:to>
    <xdr:sp macro="" textlink="">
      <xdr:nvSpPr>
        <xdr:cNvPr id="6274" name="Rectangle 3">
          <a:extLst>
            <a:ext uri="{FF2B5EF4-FFF2-40B4-BE49-F238E27FC236}">
              <a16:creationId xmlns:a16="http://schemas.microsoft.com/office/drawing/2014/main" id="{D4C3EC40-2326-47F5-864C-8AC3A42F59E5}"/>
            </a:ext>
          </a:extLst>
        </xdr:cNvPr>
        <xdr:cNvSpPr>
          <a:spLocks noChangeArrowheads="1"/>
        </xdr:cNvSpPr>
      </xdr:nvSpPr>
      <xdr:spPr bwMode="auto">
        <a:xfrm>
          <a:off x="0" y="1695450"/>
          <a:ext cx="0"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0</xdr:col>
      <xdr:colOff>0</xdr:colOff>
      <xdr:row>8</xdr:row>
      <xdr:rowOff>180975</xdr:rowOff>
    </xdr:from>
    <xdr:to>
      <xdr:col>0</xdr:col>
      <xdr:colOff>0</xdr:colOff>
      <xdr:row>8</xdr:row>
      <xdr:rowOff>180975</xdr:rowOff>
    </xdr:to>
    <xdr:sp macro="" textlink="">
      <xdr:nvSpPr>
        <xdr:cNvPr id="6275" name="Rectangle 4">
          <a:extLst>
            <a:ext uri="{FF2B5EF4-FFF2-40B4-BE49-F238E27FC236}">
              <a16:creationId xmlns:a16="http://schemas.microsoft.com/office/drawing/2014/main" id="{473FA40D-13E6-4861-AA58-693CF6A414D6}"/>
            </a:ext>
          </a:extLst>
        </xdr:cNvPr>
        <xdr:cNvSpPr>
          <a:spLocks noChangeArrowheads="1"/>
        </xdr:cNvSpPr>
      </xdr:nvSpPr>
      <xdr:spPr bwMode="auto">
        <a:xfrm>
          <a:off x="0" y="16954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0</xdr:colOff>
      <xdr:row>6</xdr:row>
      <xdr:rowOff>180975</xdr:rowOff>
    </xdr:from>
    <xdr:to>
      <xdr:col>8</xdr:col>
      <xdr:colOff>0</xdr:colOff>
      <xdr:row>6</xdr:row>
      <xdr:rowOff>180975</xdr:rowOff>
    </xdr:to>
    <xdr:sp macro="" textlink="">
      <xdr:nvSpPr>
        <xdr:cNvPr id="6276" name="Rectangle 5">
          <a:extLst>
            <a:ext uri="{FF2B5EF4-FFF2-40B4-BE49-F238E27FC236}">
              <a16:creationId xmlns:a16="http://schemas.microsoft.com/office/drawing/2014/main" id="{28CF29F0-A3A8-4F88-8074-206DB931B152}"/>
            </a:ext>
          </a:extLst>
        </xdr:cNvPr>
        <xdr:cNvSpPr>
          <a:spLocks noChangeArrowheads="1"/>
        </xdr:cNvSpPr>
      </xdr:nvSpPr>
      <xdr:spPr bwMode="auto">
        <a:xfrm>
          <a:off x="3124200" y="1371600"/>
          <a:ext cx="26574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0</xdr:colOff>
      <xdr:row>6</xdr:row>
      <xdr:rowOff>180975</xdr:rowOff>
    </xdr:from>
    <xdr:to>
      <xdr:col>8</xdr:col>
      <xdr:colOff>0</xdr:colOff>
      <xdr:row>6</xdr:row>
      <xdr:rowOff>180975</xdr:rowOff>
    </xdr:to>
    <xdr:sp macro="" textlink="">
      <xdr:nvSpPr>
        <xdr:cNvPr id="6277" name="Rectangle 6">
          <a:extLst>
            <a:ext uri="{FF2B5EF4-FFF2-40B4-BE49-F238E27FC236}">
              <a16:creationId xmlns:a16="http://schemas.microsoft.com/office/drawing/2014/main" id="{E90A51E8-5B0F-442C-9214-9EB16FF1F465}"/>
            </a:ext>
          </a:extLst>
        </xdr:cNvPr>
        <xdr:cNvSpPr>
          <a:spLocks noChangeArrowheads="1"/>
        </xdr:cNvSpPr>
      </xdr:nvSpPr>
      <xdr:spPr bwMode="auto">
        <a:xfrm>
          <a:off x="3124200" y="1371600"/>
          <a:ext cx="26574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114300</xdr:colOff>
      <xdr:row>0</xdr:row>
      <xdr:rowOff>9525</xdr:rowOff>
    </xdr:from>
    <xdr:to>
      <xdr:col>1</xdr:col>
      <xdr:colOff>9525</xdr:colOff>
      <xdr:row>0</xdr:row>
      <xdr:rowOff>95250</xdr:rowOff>
    </xdr:to>
    <xdr:sp macro="" textlink="">
      <xdr:nvSpPr>
        <xdr:cNvPr id="6278" name="AutoShape 8">
          <a:extLst>
            <a:ext uri="{FF2B5EF4-FFF2-40B4-BE49-F238E27FC236}">
              <a16:creationId xmlns:a16="http://schemas.microsoft.com/office/drawing/2014/main" id="{90BCF5FB-7A8E-46F3-9896-BA204CD524B9}"/>
            </a:ext>
          </a:extLst>
        </xdr:cNvPr>
        <xdr:cNvSpPr>
          <a:spLocks noChangeArrowheads="1"/>
        </xdr:cNvSpPr>
      </xdr:nvSpPr>
      <xdr:spPr bwMode="auto">
        <a:xfrm rot="10800000">
          <a:off x="114300" y="9525"/>
          <a:ext cx="76200" cy="85725"/>
        </a:xfrm>
        <a:prstGeom prst="rtTriangl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0</xdr:col>
      <xdr:colOff>28575</xdr:colOff>
      <xdr:row>0</xdr:row>
      <xdr:rowOff>9525</xdr:rowOff>
    </xdr:from>
    <xdr:to>
      <xdr:col>1</xdr:col>
      <xdr:colOff>0</xdr:colOff>
      <xdr:row>0</xdr:row>
      <xdr:rowOff>95250</xdr:rowOff>
    </xdr:to>
    <xdr:sp macro="" textlink="">
      <xdr:nvSpPr>
        <xdr:cNvPr id="7188" name="AutoShape 1">
          <a:extLst>
            <a:ext uri="{FF2B5EF4-FFF2-40B4-BE49-F238E27FC236}">
              <a16:creationId xmlns:a16="http://schemas.microsoft.com/office/drawing/2014/main" id="{82AF7B32-FEF1-481A-8471-1C6CD36E26B6}"/>
            </a:ext>
          </a:extLst>
        </xdr:cNvPr>
        <xdr:cNvSpPr>
          <a:spLocks noChangeArrowheads="1"/>
        </xdr:cNvSpPr>
      </xdr:nvSpPr>
      <xdr:spPr bwMode="auto">
        <a:xfrm rot="10800000">
          <a:off x="28575" y="9525"/>
          <a:ext cx="152400" cy="85725"/>
        </a:xfrm>
        <a:prstGeom prst="rtTriangl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0</xdr:col>
      <xdr:colOff>28575</xdr:colOff>
      <xdr:row>0</xdr:row>
      <xdr:rowOff>9525</xdr:rowOff>
    </xdr:from>
    <xdr:to>
      <xdr:col>1</xdr:col>
      <xdr:colOff>0</xdr:colOff>
      <xdr:row>0</xdr:row>
      <xdr:rowOff>95250</xdr:rowOff>
    </xdr:to>
    <xdr:sp macro="" textlink="">
      <xdr:nvSpPr>
        <xdr:cNvPr id="9237" name="AutoShape 1">
          <a:extLst>
            <a:ext uri="{FF2B5EF4-FFF2-40B4-BE49-F238E27FC236}">
              <a16:creationId xmlns:a16="http://schemas.microsoft.com/office/drawing/2014/main" id="{89205C61-C2D4-4355-8EDD-1DCCF62D0EAB}"/>
            </a:ext>
          </a:extLst>
        </xdr:cNvPr>
        <xdr:cNvSpPr>
          <a:spLocks noChangeArrowheads="1"/>
        </xdr:cNvSpPr>
      </xdr:nvSpPr>
      <xdr:spPr bwMode="auto">
        <a:xfrm rot="10800000">
          <a:off x="28575" y="9525"/>
          <a:ext cx="123825" cy="85725"/>
        </a:xfrm>
        <a:prstGeom prst="rtTriangl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0</xdr:col>
      <xdr:colOff>85725</xdr:colOff>
      <xdr:row>0</xdr:row>
      <xdr:rowOff>9525</xdr:rowOff>
    </xdr:from>
    <xdr:to>
      <xdr:col>1</xdr:col>
      <xdr:colOff>9525</xdr:colOff>
      <xdr:row>0</xdr:row>
      <xdr:rowOff>95250</xdr:rowOff>
    </xdr:to>
    <xdr:sp macro="" textlink="">
      <xdr:nvSpPr>
        <xdr:cNvPr id="12308" name="AutoShape 2">
          <a:extLst>
            <a:ext uri="{FF2B5EF4-FFF2-40B4-BE49-F238E27FC236}">
              <a16:creationId xmlns:a16="http://schemas.microsoft.com/office/drawing/2014/main" id="{AA28B552-9C4E-4751-9053-EF4882932446}"/>
            </a:ext>
          </a:extLst>
        </xdr:cNvPr>
        <xdr:cNvSpPr>
          <a:spLocks noChangeArrowheads="1"/>
        </xdr:cNvSpPr>
      </xdr:nvSpPr>
      <xdr:spPr bwMode="auto">
        <a:xfrm rot="10800000">
          <a:off x="85725" y="9525"/>
          <a:ext cx="76200" cy="85725"/>
        </a:xfrm>
        <a:prstGeom prst="rtTriangl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38100</xdr:colOff>
      <xdr:row>0</xdr:row>
      <xdr:rowOff>9525</xdr:rowOff>
    </xdr:from>
    <xdr:to>
      <xdr:col>1</xdr:col>
      <xdr:colOff>0</xdr:colOff>
      <xdr:row>0</xdr:row>
      <xdr:rowOff>95250</xdr:rowOff>
    </xdr:to>
    <xdr:sp macro="" textlink="">
      <xdr:nvSpPr>
        <xdr:cNvPr id="13332" name="AutoShape 2">
          <a:extLst>
            <a:ext uri="{FF2B5EF4-FFF2-40B4-BE49-F238E27FC236}">
              <a16:creationId xmlns:a16="http://schemas.microsoft.com/office/drawing/2014/main" id="{2B1DCBA2-9D04-45B6-BCFD-2E9AEFE8A89A}"/>
            </a:ext>
          </a:extLst>
        </xdr:cNvPr>
        <xdr:cNvSpPr>
          <a:spLocks noChangeArrowheads="1"/>
        </xdr:cNvSpPr>
      </xdr:nvSpPr>
      <xdr:spPr bwMode="auto">
        <a:xfrm rot="10800000">
          <a:off x="38100" y="9525"/>
          <a:ext cx="142875" cy="85725"/>
        </a:xfrm>
        <a:prstGeom prst="rtTriangl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sp4xls-Lehr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ext"/>
      <sheetName val="GBA"/>
      <sheetName val="Angaben"/>
      <sheetName val="GB"/>
      <sheetName val="Allg"/>
      <sheetName val="Ist"/>
      <sheetName val="Plan"/>
      <sheetName val="Milch"/>
      <sheetName val="MuKu"/>
      <sheetName val="WD.ILeist"/>
      <sheetName val="ILeist"/>
      <sheetName val="Jog"/>
      <sheetName val="MKK1"/>
      <sheetName val="MKK2"/>
      <sheetName val="FK"/>
      <sheetName val="UV"/>
      <sheetName val="AV"/>
      <sheetName val="2NGeb"/>
      <sheetName val="Geb"/>
      <sheetName val="E-ErgInt"/>
      <sheetName val="E-Ist"/>
      <sheetName val="E-Plan"/>
      <sheetName val="E-Fin"/>
      <sheetName val="E-Milch"/>
      <sheetName val="E-MuKu"/>
      <sheetName val="E-WD.ILeist"/>
      <sheetName val="E-ILeist"/>
      <sheetName val="E-MKK1"/>
      <sheetName val="E-MKK2"/>
      <sheetName val="E-Jog"/>
      <sheetName val="E-FK"/>
      <sheetName val="E-UV"/>
      <sheetName val="E-AV"/>
      <sheetName val="E-2NGeb"/>
      <sheetName val="E-Geb"/>
    </sheetNames>
    <sheetDataSet>
      <sheetData sheetId="0"/>
      <sheetData sheetId="1"/>
      <sheetData sheetId="2"/>
      <sheetData sheetId="3">
        <row r="199">
          <cell r="U199" t="str">
            <v>KG – Arzl im Pitztal</v>
          </cell>
          <cell r="V199">
            <v>80001</v>
          </cell>
          <cell r="W199" t="str">
            <v>BEZIRKSGERICHT Imst</v>
          </cell>
          <cell r="Y199" t="str">
            <v>Ab- und Zuschreibung</v>
          </cell>
          <cell r="Z199" t="str">
            <v>Ab- und Zuschreibung gem. Grundzusammenlegungsverfahren der KG – Kappl</v>
          </cell>
        </row>
        <row r="200">
          <cell r="U200" t="str">
            <v>KG – Imst</v>
          </cell>
          <cell r="V200">
            <v>80002</v>
          </cell>
          <cell r="W200" t="str">
            <v>BEZIRKSGERICHT Imst</v>
          </cell>
          <cell r="Y200" t="str">
            <v>Feuerwehrzone</v>
          </cell>
          <cell r="Z200" t="str">
            <v>Feuerwehrzone Volksschule Kappl</v>
          </cell>
        </row>
        <row r="201">
          <cell r="U201" t="str">
            <v>KG – Imsterberg</v>
          </cell>
          <cell r="V201">
            <v>80003</v>
          </cell>
          <cell r="W201" t="str">
            <v>BEZIRKSGERICHT Imst</v>
          </cell>
          <cell r="Y201" t="str">
            <v>Fischereirecht</v>
          </cell>
          <cell r="Z201" t="str">
            <v>Grunddienstbarkeit des Rechtes der FISCHEREI und des FISCHFANGS</v>
          </cell>
          <cell r="AB201" t="str">
            <v>an</v>
          </cell>
        </row>
        <row r="202">
          <cell r="U202" t="str">
            <v>KG – Jerzens</v>
          </cell>
          <cell r="V202">
            <v>80004</v>
          </cell>
          <cell r="W202" t="str">
            <v>BEZIRKSGERICHT Imst</v>
          </cell>
        </row>
        <row r="203">
          <cell r="U203" t="str">
            <v>KG – Karres</v>
          </cell>
          <cell r="V203">
            <v>80005</v>
          </cell>
          <cell r="W203" t="str">
            <v>BEZIRKSGERICHT Imst</v>
          </cell>
        </row>
        <row r="204">
          <cell r="U204" t="str">
            <v>KG – Karrösten</v>
          </cell>
          <cell r="V204">
            <v>80006</v>
          </cell>
          <cell r="W204" t="str">
            <v>BEZIRKSGERICHT Imst</v>
          </cell>
        </row>
        <row r="205">
          <cell r="U205" t="str">
            <v>KG – Mils bei Imst</v>
          </cell>
          <cell r="V205">
            <v>80007</v>
          </cell>
          <cell r="W205" t="str">
            <v>BEZIRKSGERICHT Imst</v>
          </cell>
        </row>
        <row r="206">
          <cell r="U206" t="str">
            <v>KG – Nassereith</v>
          </cell>
          <cell r="V206">
            <v>80008</v>
          </cell>
          <cell r="W206" t="str">
            <v>BEZIRKSGERICHT Imst</v>
          </cell>
        </row>
        <row r="207">
          <cell r="U207" t="str">
            <v>KG – Pitztal</v>
          </cell>
          <cell r="V207">
            <v>80009</v>
          </cell>
          <cell r="W207" t="str">
            <v>BEZIRKSGERICHT Imst</v>
          </cell>
        </row>
        <row r="208">
          <cell r="U208" t="str">
            <v>KG – Tarrenz</v>
          </cell>
          <cell r="V208">
            <v>80010</v>
          </cell>
          <cell r="W208" t="str">
            <v>BEZIRKSGERICHT Imst</v>
          </cell>
        </row>
        <row r="209">
          <cell r="U209" t="str">
            <v>KG – Wenns</v>
          </cell>
          <cell r="V209">
            <v>80011</v>
          </cell>
          <cell r="W209" t="str">
            <v>BEZIRKSGERICHT Imst</v>
          </cell>
        </row>
        <row r="210">
          <cell r="U210" t="str">
            <v>KG – Haiming</v>
          </cell>
          <cell r="V210">
            <v>80101</v>
          </cell>
          <cell r="W210" t="str">
            <v>BEZIRKSGERICHT Imst</v>
          </cell>
        </row>
        <row r="211">
          <cell r="U211" t="str">
            <v>KG – Längenfeld</v>
          </cell>
          <cell r="V211">
            <v>80102</v>
          </cell>
          <cell r="W211" t="str">
            <v>BEZIRKSGERICHT Imst</v>
          </cell>
        </row>
        <row r="212">
          <cell r="U212" t="str">
            <v>KG – Mieming</v>
          </cell>
          <cell r="V212">
            <v>80103</v>
          </cell>
          <cell r="W212" t="str">
            <v>BEZIRKSGERICHT Imst</v>
          </cell>
        </row>
        <row r="213">
          <cell r="U213" t="str">
            <v>KG – Obsteig</v>
          </cell>
          <cell r="V213">
            <v>80104</v>
          </cell>
          <cell r="W213" t="str">
            <v>BEZIRKSGERICHT Imst</v>
          </cell>
        </row>
        <row r="214">
          <cell r="U214" t="str">
            <v>KG – Oetz</v>
          </cell>
          <cell r="V214">
            <v>80105</v>
          </cell>
          <cell r="W214" t="str">
            <v>BEZIRKSGERICHT Imst</v>
          </cell>
        </row>
        <row r="215">
          <cell r="U215" t="str">
            <v>KG – Rietz</v>
          </cell>
          <cell r="V215">
            <v>80106</v>
          </cell>
          <cell r="W215" t="str">
            <v>BEZIRKSGERICHT Imst</v>
          </cell>
        </row>
        <row r="216">
          <cell r="U216" t="str">
            <v>KG – Roppen</v>
          </cell>
          <cell r="V216">
            <v>80107</v>
          </cell>
          <cell r="W216" t="str">
            <v>BEZIRKSGERICHT Imst</v>
          </cell>
        </row>
        <row r="217">
          <cell r="U217" t="str">
            <v>KG – Sautens</v>
          </cell>
          <cell r="V217">
            <v>80108</v>
          </cell>
          <cell r="W217" t="str">
            <v>BEZIRKSGERICHT Imst</v>
          </cell>
        </row>
        <row r="218">
          <cell r="U218" t="str">
            <v>KG – Silz</v>
          </cell>
          <cell r="V218">
            <v>80109</v>
          </cell>
          <cell r="W218" t="str">
            <v>BEZIRKSGERICHT Imst</v>
          </cell>
        </row>
        <row r="219">
          <cell r="U219" t="str">
            <v>KG – Sölden</v>
          </cell>
          <cell r="V219">
            <v>80110</v>
          </cell>
          <cell r="W219" t="str">
            <v>BEZIRKSGERICHT Imst</v>
          </cell>
        </row>
        <row r="220">
          <cell r="U220" t="str">
            <v>KG – Stams</v>
          </cell>
          <cell r="V220">
            <v>80111</v>
          </cell>
          <cell r="W220" t="str">
            <v>BEZIRKSGERICHT Imst</v>
          </cell>
        </row>
        <row r="221">
          <cell r="U221" t="str">
            <v>KG – Umhausen</v>
          </cell>
          <cell r="V221">
            <v>80112</v>
          </cell>
          <cell r="W221" t="str">
            <v>BEZIRKSGERICHT Imst</v>
          </cell>
        </row>
        <row r="222">
          <cell r="U222" t="str">
            <v>KG – Mötz</v>
          </cell>
          <cell r="V222">
            <v>80113</v>
          </cell>
          <cell r="W222" t="str">
            <v>BEZIRKSGERICHT Imst</v>
          </cell>
        </row>
        <row r="223">
          <cell r="U223" t="str">
            <v>KG – Fließ</v>
          </cell>
          <cell r="V223">
            <v>84001</v>
          </cell>
          <cell r="W223" t="str">
            <v>BEZIRKSGERICHT Landeck</v>
          </cell>
        </row>
        <row r="224">
          <cell r="U224" t="str">
            <v>KG – Flirsch</v>
          </cell>
          <cell r="V224">
            <v>84002</v>
          </cell>
          <cell r="W224" t="str">
            <v>BEZIRKSGERICHT Landeck</v>
          </cell>
        </row>
        <row r="225">
          <cell r="U225" t="str">
            <v>KG – Galtür</v>
          </cell>
          <cell r="V225">
            <v>84003</v>
          </cell>
          <cell r="W225" t="str">
            <v>BEZIRKSGERICHT Landeck</v>
          </cell>
        </row>
        <row r="226">
          <cell r="U226" t="str">
            <v>KG – Grins</v>
          </cell>
          <cell r="V226">
            <v>84004</v>
          </cell>
          <cell r="W226" t="str">
            <v>BEZIRKSGERICHT Landeck</v>
          </cell>
        </row>
        <row r="227">
          <cell r="U227" t="str">
            <v>KG – Ischgl</v>
          </cell>
          <cell r="V227">
            <v>84005</v>
          </cell>
          <cell r="W227" t="str">
            <v>BEZIRKSGERICHT Landeck</v>
          </cell>
        </row>
        <row r="228">
          <cell r="U228" t="str">
            <v>KG – Kappl</v>
          </cell>
          <cell r="V228">
            <v>84006</v>
          </cell>
          <cell r="W228" t="str">
            <v>BEZIRKSGERICHT Landeck</v>
          </cell>
        </row>
        <row r="229">
          <cell r="U229" t="str">
            <v>KG – Landeck</v>
          </cell>
          <cell r="V229">
            <v>84007</v>
          </cell>
          <cell r="W229" t="str">
            <v>BEZIRKSGERICHT Landeck</v>
          </cell>
        </row>
        <row r="230">
          <cell r="U230" t="str">
            <v>KG – Pettneu</v>
          </cell>
          <cell r="V230">
            <v>84008</v>
          </cell>
          <cell r="W230" t="str">
            <v>BEZIRKSGERICHT Landeck</v>
          </cell>
        </row>
        <row r="231">
          <cell r="U231" t="str">
            <v>KG – Pians</v>
          </cell>
          <cell r="V231">
            <v>84009</v>
          </cell>
          <cell r="W231" t="str">
            <v>BEZIRKSGERICHT Landeck</v>
          </cell>
        </row>
        <row r="232">
          <cell r="U232" t="str">
            <v>KG – St. Anton</v>
          </cell>
          <cell r="V232">
            <v>84010</v>
          </cell>
          <cell r="W232" t="str">
            <v>BEZIRKSGERICHT Landeck</v>
          </cell>
        </row>
        <row r="233">
          <cell r="U233" t="str">
            <v>KG – Schönwies</v>
          </cell>
          <cell r="V233">
            <v>84011</v>
          </cell>
          <cell r="W233" t="str">
            <v>BEZIRKSGERICHT Landeck</v>
          </cell>
        </row>
        <row r="234">
          <cell r="U234" t="str">
            <v>KG – See</v>
          </cell>
          <cell r="V234">
            <v>84012</v>
          </cell>
          <cell r="W234" t="str">
            <v>BEZIRKSGERICHT Landeck</v>
          </cell>
        </row>
        <row r="235">
          <cell r="U235" t="str">
            <v>KG – Stanz</v>
          </cell>
          <cell r="V235">
            <v>84013</v>
          </cell>
          <cell r="W235" t="str">
            <v>BEZIRKSGERICHT Landeck</v>
          </cell>
        </row>
        <row r="236">
          <cell r="U236" t="str">
            <v>KG – Strengen</v>
          </cell>
          <cell r="V236">
            <v>84014</v>
          </cell>
          <cell r="W236" t="str">
            <v>BEZIRKSGERICHT Landeck</v>
          </cell>
        </row>
        <row r="237">
          <cell r="U237" t="str">
            <v>KG – Zams</v>
          </cell>
          <cell r="V237">
            <v>84015</v>
          </cell>
          <cell r="W237" t="str">
            <v>BEZIRKSGERICHT Landeck</v>
          </cell>
        </row>
        <row r="238">
          <cell r="U238" t="str">
            <v>KG – Zamserberg</v>
          </cell>
          <cell r="V238">
            <v>84016</v>
          </cell>
          <cell r="W238" t="str">
            <v>BEZIRKSGERICHT Landeck</v>
          </cell>
        </row>
        <row r="239">
          <cell r="U239" t="str">
            <v>KG – Tobadill</v>
          </cell>
          <cell r="V239">
            <v>84017</v>
          </cell>
          <cell r="W239" t="str">
            <v>BEZIRKSGERICHT Landeck</v>
          </cell>
        </row>
        <row r="240">
          <cell r="U240" t="str">
            <v>KG – Faggen</v>
          </cell>
          <cell r="V240">
            <v>84101</v>
          </cell>
          <cell r="W240" t="str">
            <v>BEZIRKSGERICHT Landeck</v>
          </cell>
        </row>
        <row r="241">
          <cell r="U241" t="str">
            <v>KG – Fendels</v>
          </cell>
          <cell r="V241">
            <v>84102</v>
          </cell>
          <cell r="W241" t="str">
            <v>BEZIRKSGERICHT Landeck</v>
          </cell>
        </row>
        <row r="242">
          <cell r="U242" t="str">
            <v>KG – Fiss</v>
          </cell>
          <cell r="V242">
            <v>84103</v>
          </cell>
          <cell r="W242" t="str">
            <v>BEZIRKSGERICHT Landeck</v>
          </cell>
        </row>
        <row r="243">
          <cell r="U243" t="str">
            <v>KG – Kauns</v>
          </cell>
          <cell r="V243">
            <v>84104</v>
          </cell>
          <cell r="W243" t="str">
            <v>BEZIRKSGERICHT Landeck</v>
          </cell>
        </row>
        <row r="244">
          <cell r="U244" t="str">
            <v>KG – Kaunerberg</v>
          </cell>
          <cell r="V244">
            <v>84105</v>
          </cell>
          <cell r="W244" t="str">
            <v>BEZIRKSGERICHT Landeck</v>
          </cell>
        </row>
        <row r="245">
          <cell r="U245" t="str">
            <v>KG – Kaunertal</v>
          </cell>
          <cell r="V245">
            <v>84106</v>
          </cell>
          <cell r="W245" t="str">
            <v>BEZIRKSGERICHT Landeck</v>
          </cell>
        </row>
        <row r="246">
          <cell r="U246" t="str">
            <v>KG – Ladis</v>
          </cell>
          <cell r="V246">
            <v>84107</v>
          </cell>
          <cell r="W246" t="str">
            <v>BEZIRKSGERICHT Landeck</v>
          </cell>
        </row>
        <row r="247">
          <cell r="U247" t="str">
            <v>KG – Nauders I</v>
          </cell>
          <cell r="V247">
            <v>84108</v>
          </cell>
          <cell r="W247" t="str">
            <v>BEZIRKSGERICHT Landeck</v>
          </cell>
        </row>
        <row r="248">
          <cell r="U248" t="str">
            <v>KG – Nauders II Noggels</v>
          </cell>
          <cell r="V248">
            <v>84109</v>
          </cell>
          <cell r="W248" t="str">
            <v>BEZIRKSGERICHT Landeck</v>
          </cell>
        </row>
        <row r="249">
          <cell r="U249" t="str">
            <v>KG – Pfunds</v>
          </cell>
          <cell r="V249">
            <v>84110</v>
          </cell>
          <cell r="W249" t="str">
            <v>BEZIRKSGERICHT Landeck</v>
          </cell>
        </row>
        <row r="250">
          <cell r="U250" t="str">
            <v>KG – Prutz</v>
          </cell>
          <cell r="V250">
            <v>84111</v>
          </cell>
          <cell r="W250" t="str">
            <v>BEZIRKSGERICHT Landeck</v>
          </cell>
        </row>
        <row r="251">
          <cell r="U251" t="str">
            <v>KG – Ried im Oberinntal</v>
          </cell>
          <cell r="V251">
            <v>84112</v>
          </cell>
          <cell r="W251" t="str">
            <v>BEZIRKSGERICHT Landeck</v>
          </cell>
        </row>
        <row r="252">
          <cell r="U252" t="str">
            <v>KG – Serfaus</v>
          </cell>
          <cell r="V252">
            <v>84113</v>
          </cell>
          <cell r="W252" t="str">
            <v>BEZIRKSGERICHT Landeck</v>
          </cell>
        </row>
        <row r="253">
          <cell r="U253" t="str">
            <v>KG – Spiss</v>
          </cell>
          <cell r="V253">
            <v>84114</v>
          </cell>
          <cell r="W253" t="str">
            <v>BEZIRKSGERICHT Landeck</v>
          </cell>
        </row>
        <row r="254">
          <cell r="U254" t="str">
            <v>KG – Tösens</v>
          </cell>
          <cell r="V254">
            <v>84115</v>
          </cell>
          <cell r="W254" t="str">
            <v>BEZIRKSGERICHT Landeck</v>
          </cell>
        </row>
      </sheetData>
      <sheetData sheetId="4">
        <row r="12">
          <cell r="E12">
            <v>2019</v>
          </cell>
        </row>
      </sheetData>
      <sheetData sheetId="5">
        <row r="13">
          <cell r="B13" t="str">
            <v>DB</v>
          </cell>
          <cell r="D13" t="str">
            <v>Milchkuh</v>
          </cell>
          <cell r="G13">
            <v>13</v>
          </cell>
          <cell r="K13">
            <v>1623.7</v>
          </cell>
          <cell r="M13">
            <v>19995</v>
          </cell>
          <cell r="O13">
            <v>206.5</v>
          </cell>
        </row>
        <row r="15">
          <cell r="B15" t="str">
            <v>DB</v>
          </cell>
          <cell r="D15" t="str">
            <v>Kalbinnen</v>
          </cell>
          <cell r="G15">
            <v>4</v>
          </cell>
          <cell r="K15">
            <v>796.6</v>
          </cell>
          <cell r="M15">
            <v>29070</v>
          </cell>
          <cell r="O15">
            <v>61.2</v>
          </cell>
        </row>
        <row r="17">
          <cell r="B17" t="str">
            <v>DB</v>
          </cell>
          <cell r="D17" t="str">
            <v>Milchkälber</v>
          </cell>
          <cell r="G17">
            <v>5</v>
          </cell>
          <cell r="K17">
            <v>8.1999999999999993</v>
          </cell>
          <cell r="M17">
            <v>0</v>
          </cell>
          <cell r="O17">
            <v>9.5</v>
          </cell>
        </row>
        <row r="19">
          <cell r="B19" t="str">
            <v>DB</v>
          </cell>
          <cell r="D19" t="str">
            <v>Masthühner</v>
          </cell>
          <cell r="G19">
            <v>450</v>
          </cell>
          <cell r="K19">
            <v>0.1</v>
          </cell>
          <cell r="M19">
            <v>0</v>
          </cell>
          <cell r="O19">
            <v>0.3</v>
          </cell>
        </row>
        <row r="21">
          <cell r="B21" t="str">
            <v>DB</v>
          </cell>
          <cell r="D21" t="str">
            <v>Kartoffel</v>
          </cell>
          <cell r="G21">
            <v>0.4</v>
          </cell>
          <cell r="K21">
            <v>918</v>
          </cell>
          <cell r="M21">
            <v>0</v>
          </cell>
          <cell r="O21">
            <v>86.7</v>
          </cell>
        </row>
        <row r="23">
          <cell r="B23" t="str">
            <v>DB</v>
          </cell>
          <cell r="K23" t="str">
            <v/>
          </cell>
          <cell r="M23" t="str">
            <v/>
          </cell>
          <cell r="O23" t="str">
            <v/>
          </cell>
        </row>
        <row r="25">
          <cell r="B25" t="str">
            <v>DB</v>
          </cell>
          <cell r="K25" t="str">
            <v/>
          </cell>
          <cell r="M25" t="str">
            <v/>
          </cell>
          <cell r="O25" t="str">
            <v/>
          </cell>
        </row>
        <row r="27">
          <cell r="B27" t="str">
            <v>VK</v>
          </cell>
          <cell r="D27" t="str">
            <v>Feldfutter - Heu</v>
          </cell>
          <cell r="G27">
            <v>1.5</v>
          </cell>
          <cell r="K27">
            <v>831.3</v>
          </cell>
          <cell r="M27">
            <v>58242</v>
          </cell>
          <cell r="O27">
            <v>43.9</v>
          </cell>
        </row>
        <row r="29">
          <cell r="B29" t="str">
            <v>VK</v>
          </cell>
          <cell r="D29" t="str">
            <v>Dauergrünland 3-schnittig</v>
          </cell>
          <cell r="G29">
            <v>7.24</v>
          </cell>
          <cell r="K29">
            <v>1625.5</v>
          </cell>
          <cell r="M29">
            <v>46900</v>
          </cell>
          <cell r="O29">
            <v>68.8</v>
          </cell>
        </row>
        <row r="31">
          <cell r="B31" t="str">
            <v>VK</v>
          </cell>
          <cell r="D31" t="str">
            <v>Dauergrünland 1-schnittig</v>
          </cell>
          <cell r="G31">
            <v>1</v>
          </cell>
          <cell r="K31">
            <v>198.9</v>
          </cell>
          <cell r="M31">
            <v>16279</v>
          </cell>
          <cell r="O31">
            <v>18.399999999999999</v>
          </cell>
        </row>
        <row r="33">
          <cell r="B33" t="str">
            <v>VK</v>
          </cell>
          <cell r="K33" t="str">
            <v/>
          </cell>
          <cell r="M33" t="str">
            <v/>
          </cell>
          <cell r="O33" t="str">
            <v/>
          </cell>
        </row>
        <row r="35">
          <cell r="B35" t="str">
            <v>VK</v>
          </cell>
          <cell r="K35" t="str">
            <v/>
          </cell>
          <cell r="M35" t="str">
            <v/>
          </cell>
          <cell r="O35" t="str">
            <v/>
          </cell>
        </row>
        <row r="39">
          <cell r="B39" t="str">
            <v>VK</v>
          </cell>
          <cell r="K39" t="str">
            <v/>
          </cell>
          <cell r="M39" t="str">
            <v/>
          </cell>
          <cell r="O39" t="str">
            <v/>
          </cell>
        </row>
        <row r="43">
          <cell r="B43" t="str">
            <v>Maschinenringtätigkeit</v>
          </cell>
          <cell r="G43">
            <v>1350</v>
          </cell>
          <cell r="O43">
            <v>-25400</v>
          </cell>
        </row>
        <row r="45">
          <cell r="B45" t="str">
            <v>Holztransporte</v>
          </cell>
          <cell r="G45">
            <v>695</v>
          </cell>
        </row>
        <row r="50">
          <cell r="B50" t="str">
            <v>Ausgleichszulage</v>
          </cell>
          <cell r="G50">
            <v>2850</v>
          </cell>
          <cell r="O50">
            <v>-2600</v>
          </cell>
        </row>
        <row r="52">
          <cell r="B52" t="str">
            <v>EBP</v>
          </cell>
          <cell r="G52">
            <v>1690</v>
          </cell>
        </row>
        <row r="54">
          <cell r="B54" t="str">
            <v>Tierprämien</v>
          </cell>
          <cell r="G54">
            <v>1510</v>
          </cell>
        </row>
        <row r="56">
          <cell r="B56" t="str">
            <v>ÖPUL</v>
          </cell>
          <cell r="G56">
            <v>808</v>
          </cell>
        </row>
        <row r="66">
          <cell r="G66">
            <v>6048</v>
          </cell>
          <cell r="O66">
            <v>398</v>
          </cell>
        </row>
        <row r="68">
          <cell r="G68">
            <v>14950</v>
          </cell>
        </row>
      </sheetData>
      <sheetData sheetId="6">
        <row r="15">
          <cell r="D15" t="str">
            <v>Stallneubau</v>
          </cell>
          <cell r="G15">
            <v>255300</v>
          </cell>
          <cell r="I15">
            <v>40</v>
          </cell>
          <cell r="M15" t="str">
            <v>Eigenkapital</v>
          </cell>
          <cell r="P15">
            <v>66500</v>
          </cell>
          <cell r="R15">
            <v>0.03</v>
          </cell>
          <cell r="T15">
            <v>40</v>
          </cell>
        </row>
        <row r="17">
          <cell r="D17" t="str">
            <v>Ausstattung</v>
          </cell>
          <cell r="G17">
            <v>53670</v>
          </cell>
          <cell r="I17">
            <v>25</v>
          </cell>
          <cell r="M17" t="str">
            <v>AIK-Kredit</v>
          </cell>
          <cell r="P17">
            <v>140000</v>
          </cell>
          <cell r="R17">
            <v>2.5000000000000001E-2</v>
          </cell>
          <cell r="T17">
            <v>19</v>
          </cell>
        </row>
        <row r="19">
          <cell r="D19" t="str">
            <v>Tierzukauf</v>
          </cell>
          <cell r="G19">
            <v>15144</v>
          </cell>
          <cell r="I19">
            <v>5</v>
          </cell>
        </row>
        <row r="23">
          <cell r="R23">
            <v>0.06</v>
          </cell>
          <cell r="T23">
            <v>10</v>
          </cell>
        </row>
        <row r="25">
          <cell r="B25" t="str">
            <v>Investitionszuschuss (=verlorener Zuschuss)</v>
          </cell>
          <cell r="I25">
            <v>84630</v>
          </cell>
        </row>
        <row r="27">
          <cell r="B27" t="str">
            <v>Rationalisierungsgewinne</v>
          </cell>
        </row>
        <row r="28">
          <cell r="G28">
            <v>8.5000000000000006E-2</v>
          </cell>
          <cell r="P28">
            <v>-0.38</v>
          </cell>
        </row>
        <row r="30">
          <cell r="G30">
            <v>-0.11</v>
          </cell>
          <cell r="P30">
            <v>0.1</v>
          </cell>
        </row>
        <row r="33">
          <cell r="B33" t="str">
            <v>DB</v>
          </cell>
          <cell r="D33" t="str">
            <v>Milchkuh</v>
          </cell>
          <cell r="G33">
            <v>25</v>
          </cell>
          <cell r="K33">
            <v>1623.7</v>
          </cell>
          <cell r="M33">
            <v>19995</v>
          </cell>
          <cell r="P33">
            <v>206.5</v>
          </cell>
        </row>
        <row r="35">
          <cell r="B35" t="str">
            <v>DB</v>
          </cell>
          <cell r="D35" t="str">
            <v>Kalbinnen</v>
          </cell>
          <cell r="G35">
            <v>6</v>
          </cell>
          <cell r="K35">
            <v>796.6</v>
          </cell>
          <cell r="M35">
            <v>29070</v>
          </cell>
          <cell r="P35">
            <v>61.2</v>
          </cell>
        </row>
        <row r="37">
          <cell r="B37" t="str">
            <v>DB</v>
          </cell>
          <cell r="D37" t="str">
            <v>Milchkälber</v>
          </cell>
          <cell r="G37">
            <v>12</v>
          </cell>
          <cell r="K37">
            <v>8.1999999999999993</v>
          </cell>
          <cell r="M37">
            <v>0</v>
          </cell>
          <cell r="P37">
            <v>9.5</v>
          </cell>
        </row>
        <row r="39">
          <cell r="B39" t="str">
            <v>DB</v>
          </cell>
          <cell r="D39" t="str">
            <v>Masthühner</v>
          </cell>
          <cell r="G39">
            <v>600</v>
          </cell>
          <cell r="K39">
            <v>0.1</v>
          </cell>
          <cell r="M39">
            <v>0</v>
          </cell>
          <cell r="P39">
            <v>0.3</v>
          </cell>
        </row>
        <row r="41">
          <cell r="B41" t="str">
            <v>DB</v>
          </cell>
          <cell r="D41" t="str">
            <v>Kartoffel</v>
          </cell>
          <cell r="G41">
            <v>0.4</v>
          </cell>
          <cell r="K41">
            <v>918</v>
          </cell>
          <cell r="M41">
            <v>0</v>
          </cell>
          <cell r="P41">
            <v>86.7</v>
          </cell>
        </row>
        <row r="43">
          <cell r="B43" t="str">
            <v>DB</v>
          </cell>
          <cell r="K43" t="str">
            <v/>
          </cell>
          <cell r="M43" t="str">
            <v/>
          </cell>
          <cell r="P43" t="str">
            <v/>
          </cell>
        </row>
        <row r="45">
          <cell r="B45" t="str">
            <v>DB</v>
          </cell>
          <cell r="K45" t="str">
            <v/>
          </cell>
          <cell r="M45" t="str">
            <v/>
          </cell>
          <cell r="P45" t="str">
            <v/>
          </cell>
        </row>
        <row r="48">
          <cell r="B48" t="str">
            <v>VK</v>
          </cell>
          <cell r="D48" t="str">
            <v>Feldfutter  - Silage</v>
          </cell>
          <cell r="G48">
            <v>1.5</v>
          </cell>
          <cell r="K48">
            <v>981.2</v>
          </cell>
          <cell r="M48">
            <v>78336</v>
          </cell>
          <cell r="P48">
            <v>34.700000000000003</v>
          </cell>
        </row>
        <row r="50">
          <cell r="B50" t="str">
            <v>VK</v>
          </cell>
          <cell r="D50" t="str">
            <v>Dauergrünland 3-schnittig</v>
          </cell>
          <cell r="G50">
            <v>12.14</v>
          </cell>
          <cell r="K50">
            <v>1625.5</v>
          </cell>
          <cell r="M50">
            <v>46900</v>
          </cell>
          <cell r="P50">
            <v>68.8</v>
          </cell>
        </row>
        <row r="52">
          <cell r="B52" t="str">
            <v>VK</v>
          </cell>
          <cell r="D52" t="str">
            <v>Dauergrünland 1-schnittig</v>
          </cell>
          <cell r="G52">
            <v>1</v>
          </cell>
          <cell r="K52">
            <v>198.9</v>
          </cell>
          <cell r="M52">
            <v>16279</v>
          </cell>
          <cell r="P52">
            <v>18.399999999999999</v>
          </cell>
        </row>
        <row r="54">
          <cell r="B54" t="str">
            <v>VK</v>
          </cell>
          <cell r="K54" t="str">
            <v/>
          </cell>
          <cell r="M54" t="str">
            <v/>
          </cell>
          <cell r="P54" t="str">
            <v/>
          </cell>
        </row>
        <row r="56">
          <cell r="B56" t="str">
            <v>VK</v>
          </cell>
          <cell r="K56" t="str">
            <v/>
          </cell>
          <cell r="M56" t="str">
            <v/>
          </cell>
          <cell r="P56" t="str">
            <v/>
          </cell>
        </row>
        <row r="58">
          <cell r="B58" t="str">
            <v>VK</v>
          </cell>
          <cell r="K58" t="str">
            <v/>
          </cell>
          <cell r="M58" t="str">
            <v/>
          </cell>
          <cell r="P58" t="str">
            <v/>
          </cell>
        </row>
        <row r="60">
          <cell r="B60" t="str">
            <v>VK</v>
          </cell>
          <cell r="K60" t="str">
            <v/>
          </cell>
          <cell r="M60" t="str">
            <v/>
          </cell>
          <cell r="P60" t="str">
            <v/>
          </cell>
        </row>
        <row r="64">
          <cell r="B64" t="str">
            <v>Maschinenringtätigkeit</v>
          </cell>
          <cell r="G64">
            <v>1755</v>
          </cell>
        </row>
        <row r="66">
          <cell r="B66" t="str">
            <v>Holztransporte</v>
          </cell>
          <cell r="G66">
            <v>1043</v>
          </cell>
        </row>
        <row r="71">
          <cell r="B71" t="str">
            <v>Ausgleichszulage</v>
          </cell>
          <cell r="G71">
            <v>2850</v>
          </cell>
        </row>
        <row r="73">
          <cell r="B73" t="str">
            <v>EBP</v>
          </cell>
          <cell r="G73">
            <v>1690</v>
          </cell>
        </row>
        <row r="75">
          <cell r="B75" t="str">
            <v>Tierptämien</v>
          </cell>
          <cell r="G75">
            <v>3310</v>
          </cell>
        </row>
        <row r="77">
          <cell r="B77" t="str">
            <v>ÖPUL</v>
          </cell>
          <cell r="G77">
            <v>1906</v>
          </cell>
        </row>
        <row r="84">
          <cell r="G84">
            <v>4032</v>
          </cell>
        </row>
        <row r="86">
          <cell r="G86">
            <v>14950</v>
          </cell>
        </row>
      </sheetData>
      <sheetData sheetId="7">
        <row r="12">
          <cell r="B12" t="str">
            <v>Durchschnittliche Anzahl der Laktationen</v>
          </cell>
          <cell r="G12" t="str">
            <v>Kraftfutterbedarf</v>
          </cell>
          <cell r="O12">
            <v>5</v>
          </cell>
          <cell r="R12">
            <v>979</v>
          </cell>
        </row>
        <row r="14">
          <cell r="B14" t="str">
            <v>Milchleistung</v>
          </cell>
          <cell r="O14">
            <v>5600</v>
          </cell>
        </row>
        <row r="16">
          <cell r="B16" t="str">
            <v>Lebendgewicht</v>
          </cell>
          <cell r="G16" t="str">
            <v>MJ NEL/kg</v>
          </cell>
          <cell r="O16">
            <v>620</v>
          </cell>
          <cell r="R16">
            <v>5</v>
          </cell>
        </row>
        <row r="18">
          <cell r="B18" t="str">
            <v>Stallhaltungstage</v>
          </cell>
          <cell r="G18" t="str">
            <v>g RP/kg</v>
          </cell>
          <cell r="O18">
            <v>288</v>
          </cell>
          <cell r="R18">
            <v>123</v>
          </cell>
        </row>
        <row r="20">
          <cell r="B20" t="str">
            <v>A-Quote:</v>
          </cell>
          <cell r="G20" t="str">
            <v>Umwandlungsschlüssel</v>
          </cell>
          <cell r="O20">
            <v>41280</v>
          </cell>
          <cell r="R20">
            <v>0.55000000000000004</v>
          </cell>
        </row>
        <row r="22">
          <cell r="B22" t="str">
            <v>D-Quote</v>
          </cell>
          <cell r="O22">
            <v>25536</v>
          </cell>
        </row>
        <row r="24">
          <cell r="B24" t="str">
            <v>Ø Anzahl der Kühe</v>
          </cell>
          <cell r="O24">
            <v>13</v>
          </cell>
        </row>
        <row r="26">
          <cell r="B26" t="str">
            <v>Fett</v>
          </cell>
          <cell r="O26">
            <v>3.9E-2</v>
          </cell>
        </row>
        <row r="28">
          <cell r="B28" t="str">
            <v>Eiweiß</v>
          </cell>
          <cell r="O28">
            <v>3.5000000000000003E-2</v>
          </cell>
        </row>
        <row r="33">
          <cell r="B33" t="str">
            <v>Ab-Hof</v>
          </cell>
          <cell r="O33">
            <v>288</v>
          </cell>
        </row>
        <row r="35">
          <cell r="B35" t="str">
            <v>Eigen- u. Gästeverbrauch</v>
          </cell>
          <cell r="O35">
            <v>62</v>
          </cell>
        </row>
        <row r="39">
          <cell r="B39" t="str">
            <v>Butter</v>
          </cell>
          <cell r="K39">
            <v>23</v>
          </cell>
          <cell r="O39" t="str">
            <v/>
          </cell>
          <cell r="P39">
            <v>36</v>
          </cell>
          <cell r="Q39">
            <v>2.9</v>
          </cell>
        </row>
        <row r="41">
          <cell r="B41" t="str">
            <v>Jogurt</v>
          </cell>
          <cell r="K41">
            <v>1</v>
          </cell>
          <cell r="O41">
            <v>768</v>
          </cell>
          <cell r="P41" t="str">
            <v/>
          </cell>
          <cell r="Q41">
            <v>4.3</v>
          </cell>
        </row>
        <row r="43">
          <cell r="B43" t="str">
            <v>Topfen aus Vollmilch</v>
          </cell>
          <cell r="K43">
            <v>8</v>
          </cell>
          <cell r="O43" t="str">
            <v/>
          </cell>
          <cell r="P43" t="str">
            <v/>
          </cell>
          <cell r="Q43">
            <v>4.3</v>
          </cell>
        </row>
        <row r="45">
          <cell r="B45" t="str">
            <v>Käse</v>
          </cell>
          <cell r="K45">
            <v>8.5</v>
          </cell>
          <cell r="O45">
            <v>8</v>
          </cell>
          <cell r="P45">
            <v>20</v>
          </cell>
          <cell r="Q45">
            <v>2.6</v>
          </cell>
        </row>
        <row r="47">
          <cell r="O47" t="str">
            <v/>
          </cell>
          <cell r="P47" t="str">
            <v/>
          </cell>
          <cell r="Q47" t="str">
            <v/>
          </cell>
        </row>
        <row r="49">
          <cell r="P49" t="str">
            <v/>
          </cell>
          <cell r="Q49" t="str">
            <v/>
          </cell>
        </row>
        <row r="59">
          <cell r="B59" t="str">
            <v>Altkuherlös/kg LG</v>
          </cell>
          <cell r="G59" t="str">
            <v>Kälberpreis männlich</v>
          </cell>
          <cell r="O59">
            <v>0.46</v>
          </cell>
          <cell r="R59">
            <v>136.32</v>
          </cell>
        </row>
        <row r="61">
          <cell r="B61" t="str">
            <v>Kälberpreis weiblich</v>
          </cell>
          <cell r="G61" t="str">
            <v>Aufzuchtkosten Rind</v>
          </cell>
          <cell r="O61">
            <v>350.4</v>
          </cell>
          <cell r="R61">
            <v>782.4</v>
          </cell>
        </row>
        <row r="63">
          <cell r="B63" t="str">
            <v>Abkalbequote</v>
          </cell>
          <cell r="E63">
            <v>0.9</v>
          </cell>
        </row>
        <row r="67">
          <cell r="B67" t="str">
            <v>Molkereigeld</v>
          </cell>
          <cell r="G67" t="str">
            <v>Topfen aus Vollmilch</v>
          </cell>
          <cell r="O67">
            <v>0.33</v>
          </cell>
          <cell r="R67">
            <v>2.21</v>
          </cell>
        </row>
        <row r="69">
          <cell r="B69" t="str">
            <v>Ab-Hof</v>
          </cell>
          <cell r="G69" t="str">
            <v>Käse</v>
          </cell>
          <cell r="O69">
            <v>0.56000000000000005</v>
          </cell>
          <cell r="R69">
            <v>7.63</v>
          </cell>
        </row>
        <row r="71">
          <cell r="B71" t="str">
            <v>Eigen- u. Gästeverbrauch</v>
          </cell>
          <cell r="G71" t="str">
            <v>-</v>
          </cell>
          <cell r="O71">
            <v>0.56000000000000005</v>
          </cell>
          <cell r="R71" t="str">
            <v/>
          </cell>
        </row>
        <row r="73">
          <cell r="B73" t="str">
            <v>Butter</v>
          </cell>
          <cell r="G73" t="str">
            <v>-</v>
          </cell>
          <cell r="O73">
            <v>5.57</v>
          </cell>
          <cell r="R73" t="str">
            <v/>
          </cell>
        </row>
        <row r="75">
          <cell r="B75" t="str">
            <v>Jogurt</v>
          </cell>
          <cell r="G75" t="str">
            <v>Magermilch</v>
          </cell>
          <cell r="O75">
            <v>1.77</v>
          </cell>
          <cell r="R75">
            <v>0.05</v>
          </cell>
        </row>
        <row r="81">
          <cell r="B81" t="str">
            <v>Bestandesergänzung</v>
          </cell>
          <cell r="O81" t="str">
            <v/>
          </cell>
        </row>
        <row r="83">
          <cell r="B83" t="str">
            <v>KF</v>
          </cell>
          <cell r="O83">
            <v>0.35</v>
          </cell>
          <cell r="P83">
            <v>979</v>
          </cell>
        </row>
        <row r="85">
          <cell r="B85" t="str">
            <v>Mineralstoffmischung</v>
          </cell>
          <cell r="O85">
            <v>0.56000000000000005</v>
          </cell>
          <cell r="P85">
            <v>47</v>
          </cell>
        </row>
        <row r="87">
          <cell r="B87" t="str">
            <v>Tierarzt</v>
          </cell>
          <cell r="O87">
            <v>55.68</v>
          </cell>
        </row>
        <row r="89">
          <cell r="B89" t="str">
            <v>Deckgeld</v>
          </cell>
          <cell r="O89">
            <v>30.72</v>
          </cell>
        </row>
        <row r="91">
          <cell r="B91" t="str">
            <v>Kontrollgebühren</v>
          </cell>
          <cell r="O91">
            <v>9.6</v>
          </cell>
        </row>
        <row r="93">
          <cell r="B93" t="str">
            <v>Versicherung</v>
          </cell>
          <cell r="O93">
            <v>21.12</v>
          </cell>
        </row>
        <row r="95">
          <cell r="B95" t="str">
            <v>Alpung</v>
          </cell>
          <cell r="O95">
            <v>81.599999999999994</v>
          </cell>
        </row>
        <row r="97">
          <cell r="B97" t="str">
            <v>Energie</v>
          </cell>
          <cell r="O97">
            <v>31.68</v>
          </cell>
        </row>
        <row r="99">
          <cell r="B99" t="str">
            <v>Einstreu</v>
          </cell>
          <cell r="O99">
            <v>0.11</v>
          </cell>
          <cell r="P99">
            <v>394</v>
          </cell>
        </row>
        <row r="101">
          <cell r="B101" t="str">
            <v>Vermarktungs-/Verarbeitungskosten</v>
          </cell>
          <cell r="O101">
            <v>111.36</v>
          </cell>
          <cell r="P101" t="str">
            <v/>
          </cell>
        </row>
        <row r="103">
          <cell r="B103" t="str">
            <v>Verpackung</v>
          </cell>
          <cell r="O103">
            <v>499.2</v>
          </cell>
          <cell r="P103" t="str">
            <v/>
          </cell>
        </row>
        <row r="105">
          <cell r="B105" t="str">
            <v xml:space="preserve">Energie und Reinigung </v>
          </cell>
          <cell r="O105">
            <v>82.56</v>
          </cell>
        </row>
        <row r="107">
          <cell r="B107" t="str">
            <v>Zuteilbare FK Butterfass, Zentrifuge</v>
          </cell>
          <cell r="O107">
            <v>209.28</v>
          </cell>
        </row>
        <row r="111">
          <cell r="B111" t="str">
            <v>Heu</v>
          </cell>
          <cell r="O111">
            <v>0.79</v>
          </cell>
          <cell r="P111">
            <v>0.02</v>
          </cell>
        </row>
        <row r="113">
          <cell r="B113" t="str">
            <v>Grünfutter</v>
          </cell>
          <cell r="O113">
            <v>0.17</v>
          </cell>
          <cell r="P113">
            <v>1.2E-2</v>
          </cell>
        </row>
        <row r="115">
          <cell r="O115" t="str">
            <v/>
          </cell>
          <cell r="P115" t="str">
            <v/>
          </cell>
        </row>
        <row r="119">
          <cell r="O119" t="str">
            <v/>
          </cell>
        </row>
        <row r="121">
          <cell r="O121" t="str">
            <v/>
          </cell>
        </row>
        <row r="123">
          <cell r="O123" t="str">
            <v/>
          </cell>
        </row>
        <row r="127">
          <cell r="O127">
            <v>29</v>
          </cell>
        </row>
      </sheetData>
      <sheetData sheetId="8">
        <row r="12">
          <cell r="B12" t="str">
            <v>Erhaltungsbedarf</v>
          </cell>
          <cell r="F12" t="str">
            <v>Leistungsbedarf</v>
          </cell>
        </row>
        <row r="14">
          <cell r="D14">
            <v>0.75</v>
          </cell>
          <cell r="I14">
            <v>3.17</v>
          </cell>
        </row>
        <row r="16">
          <cell r="D16">
            <v>0.29299999999999998</v>
          </cell>
          <cell r="I16">
            <v>360</v>
          </cell>
        </row>
        <row r="18">
          <cell r="B18" t="str">
            <v>Bedarf je Nachkomme</v>
          </cell>
          <cell r="O18">
            <v>7000</v>
          </cell>
        </row>
        <row r="21">
          <cell r="B21" t="str">
            <v>Milchleistung:</v>
          </cell>
          <cell r="F21" t="str">
            <v>Stallhaltungstage</v>
          </cell>
          <cell r="K21">
            <v>1</v>
          </cell>
          <cell r="O21">
            <v>2900</v>
          </cell>
          <cell r="Q21">
            <v>280</v>
          </cell>
          <cell r="R21">
            <v>-0.2</v>
          </cell>
        </row>
        <row r="23">
          <cell r="B23" t="str">
            <v>Fett</v>
          </cell>
          <cell r="F23" t="str">
            <v>Abkalbequote</v>
          </cell>
          <cell r="K23">
            <v>2</v>
          </cell>
          <cell r="O23">
            <v>0.04</v>
          </cell>
          <cell r="Q23">
            <v>0.9</v>
          </cell>
          <cell r="R23">
            <v>-0.1</v>
          </cell>
        </row>
        <row r="25">
          <cell r="B25" t="str">
            <v>Eiweiß</v>
          </cell>
          <cell r="K25">
            <v>4</v>
          </cell>
          <cell r="O25">
            <v>3.1E-2</v>
          </cell>
          <cell r="R25">
            <v>0.1</v>
          </cell>
        </row>
        <row r="27">
          <cell r="B27" t="str">
            <v>Mutterkuhgewicht lebend</v>
          </cell>
          <cell r="K27">
            <v>5</v>
          </cell>
          <cell r="O27">
            <v>600</v>
          </cell>
          <cell r="Q27">
            <v>0.5</v>
          </cell>
          <cell r="R27">
            <v>0.2</v>
          </cell>
        </row>
        <row r="29">
          <cell r="B29" t="str">
            <v>Nutzungsdauer</v>
          </cell>
          <cell r="O29">
            <v>6</v>
          </cell>
        </row>
        <row r="33">
          <cell r="B33" t="str">
            <v>Nutzungsform</v>
          </cell>
          <cell r="O33" t="str">
            <v>Baby-beef</v>
          </cell>
        </row>
        <row r="35">
          <cell r="B35" t="str">
            <v>Haltungsdauer</v>
          </cell>
          <cell r="R35">
            <v>1.05</v>
          </cell>
        </row>
        <row r="37">
          <cell r="B37" t="str">
            <v>Kalbin</v>
          </cell>
          <cell r="E37" t="str">
            <v xml:space="preserve"> Tage</v>
          </cell>
          <cell r="O37" t="str">
            <v/>
          </cell>
        </row>
        <row r="39">
          <cell r="B39" t="str">
            <v>Stier</v>
          </cell>
          <cell r="E39" t="str">
            <v xml:space="preserve"> Tage</v>
          </cell>
          <cell r="O39" t="str">
            <v/>
          </cell>
        </row>
        <row r="41">
          <cell r="R41">
            <v>5.61</v>
          </cell>
        </row>
        <row r="43">
          <cell r="R43">
            <v>5.89</v>
          </cell>
        </row>
        <row r="46">
          <cell r="D46" t="str">
            <v>Kalbin</v>
          </cell>
          <cell r="F46" t="str">
            <v>Stier</v>
          </cell>
        </row>
        <row r="47">
          <cell r="O47">
            <v>280</v>
          </cell>
          <cell r="P47">
            <v>310</v>
          </cell>
        </row>
        <row r="49">
          <cell r="O49" t="str">
            <v>mittel</v>
          </cell>
          <cell r="P49" t="str">
            <v>mittel</v>
          </cell>
        </row>
        <row r="51">
          <cell r="O51">
            <v>0.5</v>
          </cell>
          <cell r="P51">
            <v>0.53</v>
          </cell>
        </row>
        <row r="56">
          <cell r="B56" t="str">
            <v xml:space="preserve">KF-Gaben </v>
          </cell>
          <cell r="K56" t="str">
            <v>Beiträge</v>
          </cell>
          <cell r="O56">
            <v>40</v>
          </cell>
          <cell r="P56">
            <v>0.21</v>
          </cell>
          <cell r="R56">
            <v>13.3</v>
          </cell>
        </row>
        <row r="58">
          <cell r="B58" t="str">
            <v>Mineralstoffe</v>
          </cell>
          <cell r="K58" t="str">
            <v>Sonstige Kosten</v>
          </cell>
          <cell r="O58">
            <v>10</v>
          </cell>
          <cell r="P58">
            <v>0.86</v>
          </cell>
          <cell r="R58">
            <v>45.6</v>
          </cell>
        </row>
        <row r="60">
          <cell r="B60" t="str">
            <v>Tierarzt Med.</v>
          </cell>
          <cell r="K60" t="str">
            <v>Alpung, Transportkosten....</v>
          </cell>
          <cell r="P60">
            <v>16.149999999999999</v>
          </cell>
          <cell r="R60">
            <v>30.4</v>
          </cell>
        </row>
        <row r="62">
          <cell r="B62" t="str">
            <v>Deckgeld</v>
          </cell>
          <cell r="K62" t="str">
            <v>Schlachtung</v>
          </cell>
          <cell r="P62">
            <v>28.5</v>
          </cell>
          <cell r="R62">
            <v>38.950000000000003</v>
          </cell>
        </row>
        <row r="64">
          <cell r="B64" t="str">
            <v>Versicherung</v>
          </cell>
          <cell r="K64" t="str">
            <v xml:space="preserve">Mischpakete </v>
          </cell>
          <cell r="R64">
            <v>31.35</v>
          </cell>
        </row>
        <row r="67">
          <cell r="B67" t="str">
            <v>Variable Kosten je MJ NEL</v>
          </cell>
          <cell r="P67">
            <v>1.4E-2</v>
          </cell>
        </row>
        <row r="71">
          <cell r="B71" t="str">
            <v>Mutterkuhprämie</v>
          </cell>
          <cell r="F71" t="str">
            <v>Stallarbeit</v>
          </cell>
          <cell r="O71">
            <v>230</v>
          </cell>
          <cell r="Q71">
            <v>29</v>
          </cell>
        </row>
        <row r="73">
          <cell r="B73" t="str">
            <v>Schlachtprämie</v>
          </cell>
          <cell r="F73" t="str">
            <v>Außenwirtschaft</v>
          </cell>
          <cell r="O73">
            <v>50</v>
          </cell>
          <cell r="Q73">
            <v>13</v>
          </cell>
        </row>
        <row r="75">
          <cell r="B75" t="str">
            <v>Gefährdete Tierrassen</v>
          </cell>
          <cell r="F75" t="str">
            <v>Selbstvermarktung</v>
          </cell>
          <cell r="O75">
            <v>20</v>
          </cell>
          <cell r="Q75">
            <v>4</v>
          </cell>
        </row>
      </sheetData>
      <sheetData sheetId="9">
        <row r="12">
          <cell r="D12" t="str">
            <v>Dauergrünland 3-schnittig</v>
          </cell>
        </row>
        <row r="14">
          <cell r="D14">
            <v>130</v>
          </cell>
        </row>
        <row r="16">
          <cell r="D16">
            <v>3.5</v>
          </cell>
        </row>
        <row r="18">
          <cell r="D18">
            <v>3.5</v>
          </cell>
        </row>
        <row r="20">
          <cell r="D20">
            <v>7.24</v>
          </cell>
        </row>
        <row r="22">
          <cell r="D22" t="str">
            <v>Festmist</v>
          </cell>
        </row>
        <row r="24">
          <cell r="D24">
            <v>0.2</v>
          </cell>
        </row>
        <row r="41">
          <cell r="R41">
            <v>8</v>
          </cell>
        </row>
        <row r="43">
          <cell r="R43">
            <v>36</v>
          </cell>
        </row>
        <row r="45">
          <cell r="R45">
            <v>19</v>
          </cell>
        </row>
        <row r="47">
          <cell r="S47">
            <v>0.09</v>
          </cell>
        </row>
        <row r="49">
          <cell r="F49">
            <v>190</v>
          </cell>
          <cell r="I49" t="str">
            <v>dt</v>
          </cell>
          <cell r="S49">
            <v>162</v>
          </cell>
        </row>
        <row r="52">
          <cell r="D52" t="str">
            <v>Jauche</v>
          </cell>
        </row>
        <row r="69">
          <cell r="R69">
            <v>6</v>
          </cell>
        </row>
        <row r="71">
          <cell r="R71">
            <v>36</v>
          </cell>
        </row>
        <row r="73">
          <cell r="R73">
            <v>15</v>
          </cell>
        </row>
        <row r="75">
          <cell r="S75">
            <v>7.0000000000000007E-2</v>
          </cell>
        </row>
        <row r="77">
          <cell r="F77">
            <v>16</v>
          </cell>
          <cell r="I77" t="str">
            <v>m³</v>
          </cell>
          <cell r="S77">
            <v>14</v>
          </cell>
        </row>
        <row r="94">
          <cell r="U94" t="str">
            <v>L1</v>
          </cell>
          <cell r="V94" t="str">
            <v>x</v>
          </cell>
          <cell r="W94" t="str">
            <v>KW</v>
          </cell>
          <cell r="X94" t="str">
            <v>Standardtraktor</v>
          </cell>
          <cell r="Y94">
            <v>45</v>
          </cell>
          <cell r="Z94" t="str">
            <v>45 KW</v>
          </cell>
          <cell r="AA94">
            <v>8.9499999999999993</v>
          </cell>
        </row>
        <row r="95">
          <cell r="U95" t="str">
            <v>L2</v>
          </cell>
          <cell r="V95" t="str">
            <v>x</v>
          </cell>
          <cell r="W95" t="str">
            <v>m</v>
          </cell>
          <cell r="X95" t="str">
            <v>Frontlader</v>
          </cell>
          <cell r="Y95">
            <v>1.4</v>
          </cell>
          <cell r="Z95" t="str">
            <v>1,4 m</v>
          </cell>
          <cell r="AA95">
            <v>0.52</v>
          </cell>
        </row>
        <row r="96">
          <cell r="U96" t="str">
            <v/>
          </cell>
          <cell r="V96" t="str">
            <v/>
          </cell>
          <cell r="W96" t="str">
            <v>KW</v>
          </cell>
          <cell r="X96" t="str">
            <v>Allradtraktor</v>
          </cell>
          <cell r="Y96">
            <v>65</v>
          </cell>
          <cell r="Z96" t="str">
            <v>65 KW</v>
          </cell>
          <cell r="AA96">
            <v>10.675600000000001</v>
          </cell>
        </row>
        <row r="97">
          <cell r="U97" t="str">
            <v/>
          </cell>
          <cell r="V97" t="str">
            <v/>
          </cell>
          <cell r="W97" t="str">
            <v>t</v>
          </cell>
          <cell r="X97" t="str">
            <v>Miststreuer</v>
          </cell>
          <cell r="Y97">
            <v>3.5</v>
          </cell>
          <cell r="Z97" t="str">
            <v>3,5 t</v>
          </cell>
          <cell r="AA97">
            <v>2.17</v>
          </cell>
        </row>
        <row r="98">
          <cell r="U98" t="str">
            <v/>
          </cell>
          <cell r="V98" t="str">
            <v/>
          </cell>
          <cell r="W98" t="str">
            <v/>
          </cell>
          <cell r="X98" t="str">
            <v/>
          </cell>
          <cell r="Y98" t="str">
            <v/>
          </cell>
          <cell r="Z98" t="str">
            <v xml:space="preserve"> </v>
          </cell>
          <cell r="AA98" t="str">
            <v/>
          </cell>
        </row>
        <row r="99">
          <cell r="U99" t="str">
            <v/>
          </cell>
          <cell r="V99" t="str">
            <v/>
          </cell>
          <cell r="W99" t="str">
            <v/>
          </cell>
          <cell r="X99" t="str">
            <v/>
          </cell>
          <cell r="Y99" t="str">
            <v/>
          </cell>
          <cell r="Z99" t="str">
            <v xml:space="preserve"> </v>
          </cell>
          <cell r="AA99" t="str">
            <v/>
          </cell>
        </row>
        <row r="101">
          <cell r="AB101">
            <v>2</v>
          </cell>
        </row>
        <row r="102">
          <cell r="U102" t="str">
            <v/>
          </cell>
          <cell r="V102" t="str">
            <v/>
          </cell>
          <cell r="W102" t="str">
            <v>KW</v>
          </cell>
          <cell r="X102" t="str">
            <v>Standardtraktor</v>
          </cell>
          <cell r="Y102">
            <v>45</v>
          </cell>
          <cell r="Z102" t="str">
            <v>45 KW</v>
          </cell>
          <cell r="AA102">
            <v>8.9499999999999993</v>
          </cell>
        </row>
        <row r="103">
          <cell r="U103" t="str">
            <v/>
          </cell>
          <cell r="V103" t="str">
            <v/>
          </cell>
          <cell r="W103" t="str">
            <v>m</v>
          </cell>
          <cell r="X103" t="str">
            <v>Frontlader</v>
          </cell>
          <cell r="Y103">
            <v>1.4</v>
          </cell>
          <cell r="Z103" t="str">
            <v>1,4 m</v>
          </cell>
          <cell r="AA103">
            <v>0.52</v>
          </cell>
        </row>
        <row r="104">
          <cell r="U104" t="str">
            <v>T1</v>
          </cell>
          <cell r="V104" t="str">
            <v>x</v>
          </cell>
          <cell r="W104" t="str">
            <v>KW</v>
          </cell>
          <cell r="X104" t="str">
            <v>Allradtraktor</v>
          </cell>
          <cell r="Y104">
            <v>65</v>
          </cell>
          <cell r="Z104" t="str">
            <v>65 KW</v>
          </cell>
          <cell r="AA104">
            <v>10.675600000000001</v>
          </cell>
        </row>
        <row r="105">
          <cell r="U105" t="str">
            <v>T2</v>
          </cell>
          <cell r="V105" t="str">
            <v>x</v>
          </cell>
          <cell r="W105" t="str">
            <v>t</v>
          </cell>
          <cell r="X105" t="str">
            <v>Miststreuer</v>
          </cell>
          <cell r="Y105">
            <v>3.5</v>
          </cell>
          <cell r="Z105" t="str">
            <v>3,5 t</v>
          </cell>
          <cell r="AA105">
            <v>2.17</v>
          </cell>
        </row>
        <row r="106">
          <cell r="U106" t="str">
            <v/>
          </cell>
          <cell r="V106" t="str">
            <v/>
          </cell>
          <cell r="W106" t="str">
            <v/>
          </cell>
          <cell r="X106" t="str">
            <v/>
          </cell>
          <cell r="Y106" t="str">
            <v/>
          </cell>
          <cell r="Z106" t="str">
            <v xml:space="preserve"> </v>
          </cell>
          <cell r="AA106" t="str">
            <v/>
          </cell>
        </row>
        <row r="107">
          <cell r="U107" t="str">
            <v/>
          </cell>
          <cell r="V107" t="str">
            <v/>
          </cell>
          <cell r="W107" t="str">
            <v/>
          </cell>
          <cell r="X107" t="str">
            <v/>
          </cell>
          <cell r="Y107" t="str">
            <v/>
          </cell>
          <cell r="Z107" t="str">
            <v xml:space="preserve"> </v>
          </cell>
          <cell r="AA107" t="str">
            <v/>
          </cell>
        </row>
        <row r="109">
          <cell r="AB109">
            <v>2</v>
          </cell>
        </row>
        <row r="110">
          <cell r="U110" t="str">
            <v/>
          </cell>
          <cell r="V110" t="str">
            <v/>
          </cell>
          <cell r="W110" t="str">
            <v>KW</v>
          </cell>
          <cell r="X110" t="str">
            <v>Standardtraktor</v>
          </cell>
          <cell r="Y110">
            <v>45</v>
          </cell>
          <cell r="Z110" t="str">
            <v>45 KW</v>
          </cell>
          <cell r="AA110">
            <v>8.9499999999999993</v>
          </cell>
        </row>
        <row r="111">
          <cell r="U111" t="str">
            <v/>
          </cell>
          <cell r="V111" t="str">
            <v/>
          </cell>
          <cell r="W111" t="str">
            <v>m</v>
          </cell>
          <cell r="X111" t="str">
            <v>Frontlader</v>
          </cell>
          <cell r="Y111">
            <v>1.4</v>
          </cell>
          <cell r="Z111" t="str">
            <v>1,4 m</v>
          </cell>
          <cell r="AA111">
            <v>0.52</v>
          </cell>
        </row>
        <row r="112">
          <cell r="U112" t="str">
            <v>A1</v>
          </cell>
          <cell r="V112" t="str">
            <v>x</v>
          </cell>
          <cell r="W112" t="str">
            <v>KW</v>
          </cell>
          <cell r="X112" t="str">
            <v>Allradtraktor</v>
          </cell>
          <cell r="Y112">
            <v>65</v>
          </cell>
          <cell r="Z112" t="str">
            <v>65 KW</v>
          </cell>
          <cell r="AA112">
            <v>10.675600000000001</v>
          </cell>
        </row>
        <row r="113">
          <cell r="U113" t="str">
            <v>A2</v>
          </cell>
          <cell r="V113" t="str">
            <v>x</v>
          </cell>
          <cell r="W113" t="str">
            <v>t</v>
          </cell>
          <cell r="X113" t="str">
            <v>Miststreuer</v>
          </cell>
          <cell r="Y113">
            <v>3.5</v>
          </cell>
          <cell r="Z113" t="str">
            <v>3,5 t</v>
          </cell>
          <cell r="AA113">
            <v>2.17</v>
          </cell>
        </row>
        <row r="114">
          <cell r="U114" t="str">
            <v/>
          </cell>
          <cell r="V114" t="str">
            <v/>
          </cell>
          <cell r="W114" t="str">
            <v/>
          </cell>
          <cell r="X114" t="str">
            <v/>
          </cell>
          <cell r="Y114" t="str">
            <v/>
          </cell>
          <cell r="Z114" t="str">
            <v xml:space="preserve"> </v>
          </cell>
          <cell r="AA114" t="str">
            <v/>
          </cell>
        </row>
        <row r="115">
          <cell r="U115" t="str">
            <v/>
          </cell>
          <cell r="V115" t="str">
            <v/>
          </cell>
          <cell r="W115" t="str">
            <v/>
          </cell>
          <cell r="X115" t="str">
            <v/>
          </cell>
          <cell r="Y115" t="str">
            <v/>
          </cell>
          <cell r="Z115" t="str">
            <v xml:space="preserve"> </v>
          </cell>
          <cell r="AA115" t="str">
            <v/>
          </cell>
        </row>
        <row r="117">
          <cell r="AB117">
            <v>2</v>
          </cell>
        </row>
        <row r="119">
          <cell r="X119">
            <v>3.5</v>
          </cell>
          <cell r="Y119" t="str">
            <v xml:space="preserve"> t</v>
          </cell>
        </row>
        <row r="127">
          <cell r="U127" t="str">
            <v>L1</v>
          </cell>
          <cell r="V127" t="str">
            <v>x</v>
          </cell>
          <cell r="W127" t="str">
            <v>KW</v>
          </cell>
          <cell r="X127" t="str">
            <v>Allradtraktor</v>
          </cell>
          <cell r="Y127">
            <v>65</v>
          </cell>
          <cell r="Z127" t="str">
            <v>65 KW</v>
          </cell>
          <cell r="AA127">
            <v>10.675600000000001</v>
          </cell>
        </row>
        <row r="128">
          <cell r="U128" t="str">
            <v>L2</v>
          </cell>
          <cell r="V128" t="str">
            <v>x</v>
          </cell>
          <cell r="W128" t="str">
            <v>lt</v>
          </cell>
          <cell r="X128" t="str">
            <v>Vakuumfass</v>
          </cell>
          <cell r="Y128">
            <v>4000</v>
          </cell>
          <cell r="Z128" t="str">
            <v>4000 lt</v>
          </cell>
          <cell r="AA128">
            <v>1.32</v>
          </cell>
        </row>
        <row r="129">
          <cell r="U129" t="str">
            <v/>
          </cell>
          <cell r="V129" t="str">
            <v/>
          </cell>
          <cell r="W129" t="str">
            <v/>
          </cell>
          <cell r="X129" t="str">
            <v/>
          </cell>
          <cell r="Y129" t="str">
            <v/>
          </cell>
          <cell r="Z129" t="str">
            <v xml:space="preserve"> </v>
          </cell>
          <cell r="AA129" t="str">
            <v/>
          </cell>
        </row>
        <row r="130">
          <cell r="U130" t="str">
            <v/>
          </cell>
          <cell r="V130" t="str">
            <v/>
          </cell>
          <cell r="W130" t="str">
            <v/>
          </cell>
          <cell r="X130" t="str">
            <v/>
          </cell>
          <cell r="Y130" t="str">
            <v/>
          </cell>
          <cell r="Z130" t="str">
            <v xml:space="preserve"> </v>
          </cell>
          <cell r="AA130" t="str">
            <v/>
          </cell>
        </row>
        <row r="131">
          <cell r="U131" t="str">
            <v/>
          </cell>
          <cell r="V131" t="str">
            <v/>
          </cell>
          <cell r="W131" t="str">
            <v/>
          </cell>
          <cell r="X131" t="str">
            <v/>
          </cell>
          <cell r="Y131" t="str">
            <v/>
          </cell>
          <cell r="Z131" t="str">
            <v xml:space="preserve"> </v>
          </cell>
          <cell r="AA131" t="str">
            <v/>
          </cell>
        </row>
        <row r="132">
          <cell r="U132" t="str">
            <v/>
          </cell>
          <cell r="V132" t="str">
            <v/>
          </cell>
          <cell r="W132" t="str">
            <v/>
          </cell>
          <cell r="X132" t="str">
            <v/>
          </cell>
          <cell r="Y132" t="str">
            <v/>
          </cell>
          <cell r="Z132" t="str">
            <v xml:space="preserve"> </v>
          </cell>
          <cell r="AA132" t="str">
            <v/>
          </cell>
        </row>
        <row r="134">
          <cell r="AB134">
            <v>2</v>
          </cell>
        </row>
        <row r="135">
          <cell r="U135" t="str">
            <v>T1</v>
          </cell>
          <cell r="V135" t="str">
            <v>x</v>
          </cell>
          <cell r="W135" t="str">
            <v>KW</v>
          </cell>
          <cell r="X135" t="str">
            <v>Allradtraktor</v>
          </cell>
          <cell r="Y135">
            <v>65</v>
          </cell>
          <cell r="Z135" t="str">
            <v>65 KW</v>
          </cell>
          <cell r="AA135">
            <v>10.675600000000001</v>
          </cell>
        </row>
        <row r="136">
          <cell r="U136" t="str">
            <v>T2</v>
          </cell>
          <cell r="V136" t="str">
            <v>x</v>
          </cell>
          <cell r="W136" t="str">
            <v>lt</v>
          </cell>
          <cell r="X136" t="str">
            <v>Vakuumfass</v>
          </cell>
          <cell r="Y136">
            <v>4000</v>
          </cell>
          <cell r="Z136" t="str">
            <v>4000 lt</v>
          </cell>
          <cell r="AA136">
            <v>1.32</v>
          </cell>
        </row>
        <row r="137">
          <cell r="U137" t="str">
            <v/>
          </cell>
          <cell r="V137" t="str">
            <v/>
          </cell>
          <cell r="W137" t="str">
            <v/>
          </cell>
          <cell r="X137" t="str">
            <v/>
          </cell>
          <cell r="Y137" t="str">
            <v/>
          </cell>
          <cell r="Z137" t="str">
            <v xml:space="preserve"> </v>
          </cell>
          <cell r="AA137" t="str">
            <v/>
          </cell>
        </row>
        <row r="138">
          <cell r="U138" t="str">
            <v/>
          </cell>
          <cell r="V138" t="str">
            <v/>
          </cell>
          <cell r="W138" t="str">
            <v/>
          </cell>
          <cell r="X138" t="str">
            <v/>
          </cell>
          <cell r="Y138" t="str">
            <v/>
          </cell>
          <cell r="Z138" t="str">
            <v xml:space="preserve"> </v>
          </cell>
          <cell r="AA138" t="str">
            <v/>
          </cell>
        </row>
        <row r="139">
          <cell r="U139" t="str">
            <v/>
          </cell>
          <cell r="V139" t="str">
            <v/>
          </cell>
          <cell r="W139" t="str">
            <v/>
          </cell>
          <cell r="X139" t="str">
            <v/>
          </cell>
          <cell r="Y139" t="str">
            <v/>
          </cell>
          <cell r="Z139" t="str">
            <v xml:space="preserve"> </v>
          </cell>
          <cell r="AA139" t="str">
            <v/>
          </cell>
        </row>
        <row r="140">
          <cell r="U140" t="str">
            <v/>
          </cell>
          <cell r="V140" t="str">
            <v/>
          </cell>
          <cell r="W140" t="str">
            <v/>
          </cell>
          <cell r="X140" t="str">
            <v/>
          </cell>
          <cell r="Y140" t="str">
            <v/>
          </cell>
          <cell r="Z140" t="str">
            <v xml:space="preserve"> </v>
          </cell>
          <cell r="AA140" t="str">
            <v/>
          </cell>
        </row>
        <row r="142">
          <cell r="AB142">
            <v>2</v>
          </cell>
        </row>
        <row r="143">
          <cell r="U143" t="str">
            <v>A1</v>
          </cell>
          <cell r="V143" t="str">
            <v>x</v>
          </cell>
          <cell r="W143" t="str">
            <v>KW</v>
          </cell>
          <cell r="X143" t="str">
            <v>Allradtraktor</v>
          </cell>
          <cell r="Y143">
            <v>65</v>
          </cell>
          <cell r="Z143" t="str">
            <v>65 KW</v>
          </cell>
          <cell r="AA143">
            <v>10.675600000000001</v>
          </cell>
        </row>
        <row r="144">
          <cell r="U144" t="str">
            <v>A2</v>
          </cell>
          <cell r="V144" t="str">
            <v>x</v>
          </cell>
          <cell r="W144" t="str">
            <v>lt</v>
          </cell>
          <cell r="X144" t="str">
            <v>Vakuumfass</v>
          </cell>
          <cell r="Y144">
            <v>4000</v>
          </cell>
          <cell r="Z144" t="str">
            <v>4000 lt</v>
          </cell>
          <cell r="AA144">
            <v>1.32</v>
          </cell>
        </row>
        <row r="145">
          <cell r="U145" t="str">
            <v/>
          </cell>
          <cell r="V145" t="str">
            <v/>
          </cell>
          <cell r="W145" t="str">
            <v/>
          </cell>
          <cell r="X145" t="str">
            <v/>
          </cell>
          <cell r="Y145" t="str">
            <v/>
          </cell>
          <cell r="Z145" t="str">
            <v xml:space="preserve"> </v>
          </cell>
          <cell r="AA145" t="str">
            <v/>
          </cell>
        </row>
        <row r="146">
          <cell r="U146" t="str">
            <v/>
          </cell>
          <cell r="V146" t="str">
            <v/>
          </cell>
          <cell r="W146" t="str">
            <v/>
          </cell>
          <cell r="X146" t="str">
            <v/>
          </cell>
          <cell r="Y146" t="str">
            <v/>
          </cell>
          <cell r="Z146" t="str">
            <v xml:space="preserve"> </v>
          </cell>
          <cell r="AA146" t="str">
            <v/>
          </cell>
        </row>
        <row r="147">
          <cell r="U147" t="str">
            <v/>
          </cell>
          <cell r="V147" t="str">
            <v/>
          </cell>
          <cell r="W147" t="str">
            <v/>
          </cell>
          <cell r="X147" t="str">
            <v/>
          </cell>
          <cell r="Y147" t="str">
            <v/>
          </cell>
          <cell r="Z147" t="str">
            <v xml:space="preserve"> </v>
          </cell>
          <cell r="AA147" t="str">
            <v/>
          </cell>
        </row>
        <row r="148">
          <cell r="U148" t="str">
            <v/>
          </cell>
          <cell r="V148" t="str">
            <v/>
          </cell>
          <cell r="W148" t="str">
            <v/>
          </cell>
          <cell r="X148" t="str">
            <v/>
          </cell>
          <cell r="Y148" t="str">
            <v/>
          </cell>
          <cell r="Z148" t="str">
            <v xml:space="preserve"> </v>
          </cell>
          <cell r="AA148" t="str">
            <v/>
          </cell>
        </row>
        <row r="150">
          <cell r="AB150">
            <v>2</v>
          </cell>
        </row>
        <row r="152">
          <cell r="X152">
            <v>4000</v>
          </cell>
          <cell r="Y152" t="str">
            <v xml:space="preserve"> lt</v>
          </cell>
        </row>
      </sheetData>
      <sheetData sheetId="10">
        <row r="12">
          <cell r="F12">
            <v>1</v>
          </cell>
          <cell r="H12" t="str">
            <v>Dauergrünland 3-schnittig</v>
          </cell>
        </row>
        <row r="14">
          <cell r="F14">
            <v>3</v>
          </cell>
        </row>
        <row r="16">
          <cell r="F16">
            <v>0.86</v>
          </cell>
          <cell r="H16" t="str">
            <v>Heu</v>
          </cell>
        </row>
        <row r="18">
          <cell r="F18">
            <v>0.2</v>
          </cell>
        </row>
        <row r="21">
          <cell r="H21">
            <v>8.9499999999999993</v>
          </cell>
        </row>
        <row r="23">
          <cell r="H23">
            <v>10.675600000000001</v>
          </cell>
        </row>
        <row r="25">
          <cell r="H25" t="str">
            <v/>
          </cell>
        </row>
        <row r="28">
          <cell r="H28">
            <v>45</v>
          </cell>
          <cell r="J28">
            <v>65</v>
          </cell>
          <cell r="L28" t="str">
            <v/>
          </cell>
        </row>
        <row r="32">
          <cell r="C32" t="str">
            <v xml:space="preserve">  Festmist</v>
          </cell>
          <cell r="Q32">
            <v>4.8599999999999994</v>
          </cell>
        </row>
        <row r="34">
          <cell r="C34" t="str">
            <v xml:space="preserve">  Jauche</v>
          </cell>
          <cell r="Q34">
            <v>3.3249999999999997</v>
          </cell>
        </row>
        <row r="36">
          <cell r="C36" t="str">
            <v xml:space="preserve">  Abschleppen</v>
          </cell>
          <cell r="H36" t="str">
            <v>x</v>
          </cell>
          <cell r="N36">
            <v>0.96</v>
          </cell>
          <cell r="Q36">
            <v>1</v>
          </cell>
        </row>
        <row r="38">
          <cell r="C38" t="str">
            <v xml:space="preserve">  Pflegearbeiten</v>
          </cell>
          <cell r="N38" t="str">
            <v/>
          </cell>
          <cell r="Q38">
            <v>3.1</v>
          </cell>
        </row>
        <row r="40">
          <cell r="N40" t="str">
            <v/>
          </cell>
          <cell r="Q40" t="str">
            <v/>
          </cell>
        </row>
        <row r="42">
          <cell r="C42" t="str">
            <v xml:space="preserve">  Mähen</v>
          </cell>
          <cell r="J42" t="str">
            <v>x</v>
          </cell>
          <cell r="N42">
            <v>1.7</v>
          </cell>
          <cell r="Q42">
            <v>2.9</v>
          </cell>
        </row>
        <row r="44">
          <cell r="C44" t="str">
            <v xml:space="preserve">  Zetten&amp;Wenden</v>
          </cell>
          <cell r="H44" t="str">
            <v>x</v>
          </cell>
          <cell r="N44">
            <v>1.48</v>
          </cell>
          <cell r="Q44">
            <v>3.2</v>
          </cell>
        </row>
        <row r="46">
          <cell r="C46" t="str">
            <v xml:space="preserve">  Schwaden</v>
          </cell>
          <cell r="H46" t="str">
            <v>x</v>
          </cell>
          <cell r="N46">
            <v>3.85</v>
          </cell>
          <cell r="Q46">
            <v>2.7</v>
          </cell>
        </row>
        <row r="48">
          <cell r="C48" t="str">
            <v xml:space="preserve">  Laden&amp;Transport</v>
          </cell>
          <cell r="J48" t="str">
            <v>x</v>
          </cell>
          <cell r="N48">
            <v>4.0999999999999996</v>
          </cell>
          <cell r="Q48">
            <v>4.8</v>
          </cell>
        </row>
        <row r="50">
          <cell r="C50" t="str">
            <v xml:space="preserve">  Einlagern</v>
          </cell>
          <cell r="J50" t="str">
            <v>x</v>
          </cell>
          <cell r="N50">
            <v>1.8</v>
          </cell>
          <cell r="Q50">
            <v>4.8</v>
          </cell>
        </row>
        <row r="52">
          <cell r="N52" t="str">
            <v/>
          </cell>
          <cell r="Q52" t="str">
            <v/>
          </cell>
        </row>
        <row r="54">
          <cell r="N54" t="str">
            <v/>
          </cell>
          <cell r="Q54" t="str">
            <v/>
          </cell>
        </row>
        <row r="56">
          <cell r="N56" t="str">
            <v/>
          </cell>
          <cell r="Q56" t="str">
            <v/>
          </cell>
        </row>
        <row r="58">
          <cell r="N58" t="str">
            <v/>
          </cell>
          <cell r="Q58" t="str">
            <v/>
          </cell>
        </row>
        <row r="61">
          <cell r="B61" t="str">
            <v>Belüftungskosten je kg Trockenmasse</v>
          </cell>
          <cell r="Q61">
            <v>1.0999999999999999E-2</v>
          </cell>
        </row>
        <row r="65">
          <cell r="Q65">
            <v>45980</v>
          </cell>
        </row>
        <row r="67">
          <cell r="Q67">
            <v>0.16</v>
          </cell>
        </row>
        <row r="69">
          <cell r="F69">
            <v>7.15</v>
          </cell>
        </row>
        <row r="73">
          <cell r="Q73" t="str">
            <v/>
          </cell>
          <cell r="R73" t="str">
            <v/>
          </cell>
        </row>
        <row r="75">
          <cell r="Q75" t="str">
            <v/>
          </cell>
          <cell r="R75" t="str">
            <v/>
          </cell>
        </row>
        <row r="78">
          <cell r="Q78" t="str">
            <v/>
          </cell>
          <cell r="R78" t="str">
            <v/>
          </cell>
        </row>
        <row r="80">
          <cell r="Q80" t="str">
            <v/>
          </cell>
          <cell r="R80" t="str">
            <v/>
          </cell>
        </row>
        <row r="82">
          <cell r="Q82" t="str">
            <v/>
          </cell>
          <cell r="R82" t="str">
            <v/>
          </cell>
        </row>
        <row r="85">
          <cell r="Q85" t="str">
            <v/>
          </cell>
        </row>
        <row r="87">
          <cell r="Q87" t="str">
            <v/>
          </cell>
        </row>
        <row r="89">
          <cell r="Q89" t="str">
            <v/>
          </cell>
        </row>
      </sheetData>
      <sheetData sheetId="11">
        <row r="12">
          <cell r="C12" t="str">
            <v>Erdbeer-Jogurt</v>
          </cell>
        </row>
        <row r="15">
          <cell r="B15" t="str">
            <v>Glasgröße</v>
          </cell>
          <cell r="M15">
            <v>0.27</v>
          </cell>
        </row>
        <row r="17">
          <cell r="B17" t="str">
            <v>Verkaufsmenge</v>
          </cell>
          <cell r="M17">
            <v>218</v>
          </cell>
        </row>
        <row r="19">
          <cell r="B19" t="str">
            <v>Verkaufserlös</v>
          </cell>
          <cell r="M19">
            <v>0.5</v>
          </cell>
        </row>
        <row r="22">
          <cell r="B22" t="str">
            <v>Rohmilch</v>
          </cell>
          <cell r="M22">
            <v>0.37</v>
          </cell>
          <cell r="N22" t="str">
            <v>pro lt</v>
          </cell>
        </row>
        <row r="25">
          <cell r="B25" t="str">
            <v>Glas</v>
          </cell>
          <cell r="J25" t="str">
            <v>/ Stk.</v>
          </cell>
          <cell r="O25">
            <v>0.17</v>
          </cell>
        </row>
        <row r="27">
          <cell r="B27" t="str">
            <v>Deckel und Etikett</v>
          </cell>
          <cell r="J27" t="str">
            <v>/ Stk.</v>
          </cell>
          <cell r="O27">
            <v>0.09</v>
          </cell>
        </row>
        <row r="29">
          <cell r="B29" t="str">
            <v>Jogurtkultur</v>
          </cell>
          <cell r="J29" t="str">
            <v>/ Kaffeelöffel</v>
          </cell>
          <cell r="N29">
            <v>7</v>
          </cell>
          <cell r="O29">
            <v>0.37</v>
          </cell>
        </row>
        <row r="31">
          <cell r="B31" t="str">
            <v>Geschmackszutaten: Erdbeer</v>
          </cell>
          <cell r="J31" t="str">
            <v>/ kg</v>
          </cell>
          <cell r="N31">
            <v>2.2000000000000002</v>
          </cell>
          <cell r="O31">
            <v>13.08</v>
          </cell>
        </row>
        <row r="33">
          <cell r="B33" t="str">
            <v>Zucker</v>
          </cell>
          <cell r="J33" t="str">
            <v>/ kg</v>
          </cell>
          <cell r="N33">
            <v>1.1000000000000001</v>
          </cell>
          <cell r="O33">
            <v>0.87</v>
          </cell>
        </row>
        <row r="35">
          <cell r="B35" t="str">
            <v>Strom</v>
          </cell>
          <cell r="J35" t="str">
            <v>/ KWh</v>
          </cell>
          <cell r="N35">
            <v>31</v>
          </cell>
          <cell r="O35">
            <v>0.13</v>
          </cell>
        </row>
        <row r="37">
          <cell r="B37" t="str">
            <v>Wasser (inkl. Abwasser)</v>
          </cell>
          <cell r="J37" t="str">
            <v>/ m³</v>
          </cell>
          <cell r="N37">
            <v>5.5</v>
          </cell>
          <cell r="O37">
            <v>1.47</v>
          </cell>
        </row>
        <row r="39">
          <cell r="B39" t="str">
            <v/>
          </cell>
          <cell r="N39" t="str">
            <v/>
          </cell>
          <cell r="O39" t="str">
            <v/>
          </cell>
        </row>
        <row r="41">
          <cell r="B41" t="str">
            <v/>
          </cell>
          <cell r="J41" t="str">
            <v/>
          </cell>
          <cell r="N41" t="str">
            <v/>
          </cell>
          <cell r="O41" t="str">
            <v/>
          </cell>
        </row>
        <row r="44">
          <cell r="B44" t="str">
            <v>Arbeitszeitbedarf für Herstellung und Abfüllung</v>
          </cell>
          <cell r="N44">
            <v>19</v>
          </cell>
          <cell r="O44">
            <v>218</v>
          </cell>
        </row>
        <row r="46">
          <cell r="B46" t="str">
            <v>Lohnansatz</v>
          </cell>
          <cell r="N46">
            <v>8.6999999999999993</v>
          </cell>
          <cell r="O46" t="str">
            <v>je Akh</v>
          </cell>
        </row>
        <row r="49">
          <cell r="B49" t="str">
            <v>Pasteur</v>
          </cell>
          <cell r="N49">
            <v>950</v>
          </cell>
          <cell r="O49" t="str">
            <v>/Jahr</v>
          </cell>
        </row>
        <row r="51">
          <cell r="B51" t="str">
            <v>Kühlschrank</v>
          </cell>
          <cell r="N51">
            <v>340</v>
          </cell>
          <cell r="O51" t="str">
            <v>/Jahr</v>
          </cell>
        </row>
        <row r="53">
          <cell r="B53" t="str">
            <v>Geschirrspüler</v>
          </cell>
          <cell r="N53">
            <v>290</v>
          </cell>
          <cell r="O53" t="str">
            <v>/Jahr</v>
          </cell>
        </row>
        <row r="56">
          <cell r="B56" t="str">
            <v>Gemein- und Vermarktungskostenzuschlag</v>
          </cell>
          <cell r="N56">
            <v>2.7E-2</v>
          </cell>
          <cell r="O56" t="str">
            <v>der Herstellungskosten</v>
          </cell>
        </row>
        <row r="58">
          <cell r="B58" t="str">
            <v>Gewinn- und Risikozuschlag</v>
          </cell>
          <cell r="N58">
            <v>5.5E-2</v>
          </cell>
          <cell r="O58" t="str">
            <v>der Vollkosten</v>
          </cell>
        </row>
      </sheetData>
      <sheetData sheetId="12">
        <row r="12">
          <cell r="C12" t="str">
            <v>Allradtraktor</v>
          </cell>
        </row>
        <row r="15">
          <cell r="C15">
            <v>65</v>
          </cell>
          <cell r="D15" t="str">
            <v>KW</v>
          </cell>
        </row>
        <row r="17">
          <cell r="J17">
            <v>28570</v>
          </cell>
        </row>
        <row r="19">
          <cell r="G19">
            <v>210</v>
          </cell>
          <cell r="J19">
            <v>2014</v>
          </cell>
          <cell r="K19">
            <v>191</v>
          </cell>
        </row>
        <row r="21">
          <cell r="G21">
            <v>2019</v>
          </cell>
          <cell r="J21">
            <v>15</v>
          </cell>
        </row>
        <row r="24">
          <cell r="J24">
            <v>0.01</v>
          </cell>
          <cell r="K24">
            <v>0.03</v>
          </cell>
        </row>
        <row r="26">
          <cell r="J26" t="str">
            <v/>
          </cell>
          <cell r="K26">
            <v>8.39</v>
          </cell>
        </row>
        <row r="28">
          <cell r="G28">
            <v>8.0000000000000002E-3</v>
          </cell>
        </row>
        <row r="30">
          <cell r="J30">
            <v>0.01</v>
          </cell>
        </row>
        <row r="32">
          <cell r="J32" t="str">
            <v/>
          </cell>
        </row>
      </sheetData>
      <sheetData sheetId="13">
        <row r="12">
          <cell r="C12" t="str">
            <v>PKW-Anhänger</v>
          </cell>
        </row>
        <row r="15">
          <cell r="C15">
            <v>600</v>
          </cell>
          <cell r="D15" t="str">
            <v>kg</v>
          </cell>
        </row>
        <row r="17">
          <cell r="J17">
            <v>940</v>
          </cell>
        </row>
        <row r="19">
          <cell r="G19">
            <v>62</v>
          </cell>
          <cell r="J19">
            <v>2010</v>
          </cell>
          <cell r="K19">
            <v>68</v>
          </cell>
        </row>
        <row r="21">
          <cell r="G21">
            <v>2019</v>
          </cell>
          <cell r="J21">
            <v>12</v>
          </cell>
        </row>
        <row r="24">
          <cell r="J24">
            <v>0.01</v>
          </cell>
          <cell r="K24">
            <v>0.03</v>
          </cell>
        </row>
        <row r="26">
          <cell r="J26" t="str">
            <v/>
          </cell>
          <cell r="K26" t="str">
            <v/>
          </cell>
        </row>
        <row r="28">
          <cell r="G28">
            <v>0.03</v>
          </cell>
        </row>
        <row r="30">
          <cell r="J30" t="str">
            <v/>
          </cell>
        </row>
        <row r="32">
          <cell r="C32">
            <v>10.199999999999999</v>
          </cell>
          <cell r="J32">
            <v>11.12</v>
          </cell>
        </row>
      </sheetData>
      <sheetData sheetId="14">
        <row r="12">
          <cell r="C12" t="str">
            <v>Betriebsversicherungen</v>
          </cell>
          <cell r="N12">
            <v>1802</v>
          </cell>
        </row>
        <row r="14">
          <cell r="C14" t="str">
            <v>Betriebssteuern und -abgaben</v>
          </cell>
          <cell r="N14">
            <v>872</v>
          </cell>
        </row>
        <row r="15">
          <cell r="C15" t="str">
            <v>Abschreibung</v>
          </cell>
        </row>
        <row r="16">
          <cell r="C16" t="str">
            <v xml:space="preserve">              Grundverbesserungen</v>
          </cell>
        </row>
        <row r="17">
          <cell r="C17" t="str">
            <v xml:space="preserve">              Betriebs- und Geschäftsausstattung</v>
          </cell>
        </row>
        <row r="18">
          <cell r="C18" t="str">
            <v xml:space="preserve">              Maschinen</v>
          </cell>
        </row>
        <row r="19">
          <cell r="C19" t="str">
            <v xml:space="preserve">              Gebäude</v>
          </cell>
        </row>
        <row r="20">
          <cell r="C20" t="str">
            <v>Gebäudereparaturen</v>
          </cell>
          <cell r="N20">
            <v>655</v>
          </cell>
        </row>
        <row r="22">
          <cell r="C22" t="str">
            <v>Pachtzinse</v>
          </cell>
        </row>
        <row r="24">
          <cell r="C24" t="str">
            <v>Schuldzinse</v>
          </cell>
          <cell r="N24">
            <v>2366</v>
          </cell>
        </row>
        <row r="26">
          <cell r="C26" t="str">
            <v>Ausgedingelasten</v>
          </cell>
        </row>
        <row r="28">
          <cell r="C28" t="str">
            <v>Vewaltungskosten</v>
          </cell>
          <cell r="N28">
            <v>839</v>
          </cell>
        </row>
      </sheetData>
      <sheetData sheetId="15">
        <row r="14">
          <cell r="D14" t="str">
            <v>RINDER</v>
          </cell>
        </row>
        <row r="18">
          <cell r="C18" t="str">
            <v>Milchkühe</v>
          </cell>
          <cell r="E18">
            <v>11</v>
          </cell>
          <cell r="K18">
            <v>14</v>
          </cell>
          <cell r="S18">
            <v>1148</v>
          </cell>
          <cell r="T18">
            <v>1148</v>
          </cell>
        </row>
        <row r="20">
          <cell r="C20" t="str">
            <v>Kalbinnen</v>
          </cell>
          <cell r="E20">
            <v>6</v>
          </cell>
          <cell r="K20">
            <v>3</v>
          </cell>
          <cell r="S20">
            <v>1289</v>
          </cell>
          <cell r="T20">
            <v>1289</v>
          </cell>
        </row>
        <row r="22">
          <cell r="C22" t="str">
            <v>Jungvieh 1 - 2 Jahre</v>
          </cell>
          <cell r="E22">
            <v>4</v>
          </cell>
          <cell r="K22">
            <v>5</v>
          </cell>
          <cell r="S22">
            <v>755</v>
          </cell>
          <cell r="T22">
            <v>755</v>
          </cell>
        </row>
        <row r="24">
          <cell r="C24" t="str">
            <v>Jungvieh bis 1 Jahr</v>
          </cell>
          <cell r="E24">
            <v>3</v>
          </cell>
          <cell r="K24">
            <v>3</v>
          </cell>
          <cell r="S24">
            <v>546</v>
          </cell>
          <cell r="T24">
            <v>546</v>
          </cell>
        </row>
        <row r="26">
          <cell r="C26" t="str">
            <v>Mastkälber</v>
          </cell>
          <cell r="E26">
            <v>5</v>
          </cell>
          <cell r="K26">
            <v>3</v>
          </cell>
          <cell r="S26">
            <v>196</v>
          </cell>
          <cell r="T26">
            <v>196</v>
          </cell>
        </row>
        <row r="28">
          <cell r="S28" t="str">
            <v/>
          </cell>
          <cell r="T28" t="str">
            <v/>
          </cell>
        </row>
        <row r="30">
          <cell r="S30" t="str">
            <v/>
          </cell>
          <cell r="T30" t="str">
            <v/>
          </cell>
        </row>
        <row r="32">
          <cell r="D32" t="str">
            <v>Hühner</v>
          </cell>
        </row>
        <row r="36">
          <cell r="C36" t="str">
            <v>Mastkücken</v>
          </cell>
          <cell r="E36">
            <v>40</v>
          </cell>
          <cell r="K36">
            <v>35</v>
          </cell>
          <cell r="S36">
            <v>0.38</v>
          </cell>
          <cell r="T36">
            <v>0.38</v>
          </cell>
        </row>
        <row r="38">
          <cell r="C38" t="str">
            <v>Masthühner</v>
          </cell>
          <cell r="E38">
            <v>60</v>
          </cell>
          <cell r="K38">
            <v>78</v>
          </cell>
          <cell r="S38">
            <v>3.34</v>
          </cell>
          <cell r="T38">
            <v>3.34</v>
          </cell>
        </row>
        <row r="40">
          <cell r="S40" t="str">
            <v/>
          </cell>
          <cell r="T40" t="str">
            <v/>
          </cell>
        </row>
        <row r="42">
          <cell r="S42" t="str">
            <v/>
          </cell>
          <cell r="T42" t="str">
            <v/>
          </cell>
        </row>
        <row r="44">
          <cell r="S44" t="str">
            <v/>
          </cell>
          <cell r="T44" t="str">
            <v/>
          </cell>
        </row>
        <row r="50">
          <cell r="C50" t="str">
            <v>Käse</v>
          </cell>
          <cell r="E50">
            <v>15</v>
          </cell>
          <cell r="K50">
            <v>12</v>
          </cell>
          <cell r="S50">
            <v>7.23</v>
          </cell>
          <cell r="T50">
            <v>7.23</v>
          </cell>
        </row>
        <row r="52">
          <cell r="C52" t="str">
            <v>Butter</v>
          </cell>
          <cell r="E52">
            <v>33</v>
          </cell>
          <cell r="K52">
            <v>62</v>
          </cell>
          <cell r="S52">
            <v>5.28</v>
          </cell>
          <cell r="T52">
            <v>5.28</v>
          </cell>
        </row>
        <row r="54">
          <cell r="C54" t="str">
            <v>Kartoffel</v>
          </cell>
          <cell r="E54">
            <v>766</v>
          </cell>
          <cell r="K54">
            <v>932</v>
          </cell>
          <cell r="S54">
            <v>0.23</v>
          </cell>
          <cell r="T54">
            <v>0.23</v>
          </cell>
        </row>
        <row r="56">
          <cell r="S56" t="str">
            <v/>
          </cell>
          <cell r="T56" t="str">
            <v/>
          </cell>
        </row>
        <row r="58">
          <cell r="S58" t="str">
            <v/>
          </cell>
          <cell r="T58" t="str">
            <v/>
          </cell>
        </row>
        <row r="64">
          <cell r="C64" t="str">
            <v>Milchkraftfutter</v>
          </cell>
          <cell r="E64">
            <v>630</v>
          </cell>
          <cell r="K64">
            <v>1450</v>
          </cell>
          <cell r="S64">
            <v>0.33</v>
          </cell>
          <cell r="T64">
            <v>0.33</v>
          </cell>
        </row>
        <row r="66">
          <cell r="C66" t="str">
            <v>Mineralstoffmischung</v>
          </cell>
          <cell r="E66">
            <v>140</v>
          </cell>
          <cell r="K66">
            <v>320</v>
          </cell>
          <cell r="S66">
            <v>0.53</v>
          </cell>
          <cell r="T66">
            <v>0.53</v>
          </cell>
        </row>
        <row r="68">
          <cell r="C68" t="str">
            <v>Masthühnerfutter</v>
          </cell>
          <cell r="E68">
            <v>261</v>
          </cell>
          <cell r="K68">
            <v>62</v>
          </cell>
          <cell r="S68">
            <v>0.31</v>
          </cell>
          <cell r="T68">
            <v>0.31</v>
          </cell>
        </row>
        <row r="70">
          <cell r="S70" t="str">
            <v/>
          </cell>
          <cell r="T70" t="str">
            <v/>
          </cell>
        </row>
        <row r="72">
          <cell r="S72" t="str">
            <v/>
          </cell>
          <cell r="T72" t="str">
            <v/>
          </cell>
        </row>
        <row r="76">
          <cell r="C76" t="str">
            <v>Kassa</v>
          </cell>
          <cell r="S76">
            <v>899</v>
          </cell>
        </row>
        <row r="78">
          <cell r="C78" t="str">
            <v>Girokonto</v>
          </cell>
          <cell r="S78">
            <v>3914</v>
          </cell>
        </row>
        <row r="80">
          <cell r="C80" t="str">
            <v>Offene Kundenforderungen</v>
          </cell>
          <cell r="S80">
            <v>1395</v>
          </cell>
        </row>
        <row r="82">
          <cell r="C82" t="str">
            <v>Verbindlichkeiten Futtermittellieferanten</v>
          </cell>
          <cell r="S82">
            <v>557</v>
          </cell>
        </row>
        <row r="84">
          <cell r="C84" t="str">
            <v>Darlehen</v>
          </cell>
          <cell r="S84">
            <v>14196</v>
          </cell>
        </row>
        <row r="86">
          <cell r="S86" t="str">
            <v/>
          </cell>
        </row>
        <row r="88">
          <cell r="S88" t="str">
            <v/>
          </cell>
        </row>
      </sheetData>
      <sheetData sheetId="16">
        <row r="1">
          <cell r="A1">
            <v>2019</v>
          </cell>
        </row>
        <row r="12">
          <cell r="B12" t="str">
            <v>Grundverbesserungen</v>
          </cell>
        </row>
        <row r="15">
          <cell r="C15" t="str">
            <v>Fixe Bewässerungsanlage</v>
          </cell>
          <cell r="H15">
            <v>1993</v>
          </cell>
          <cell r="L15">
            <v>25</v>
          </cell>
          <cell r="Q15">
            <v>1320</v>
          </cell>
        </row>
        <row r="17">
          <cell r="Q17" t="str">
            <v/>
          </cell>
        </row>
        <row r="19">
          <cell r="B19" t="str">
            <v>Gebäude und bauliche Anlagen</v>
          </cell>
        </row>
        <row r="22">
          <cell r="C22" t="str">
            <v>Schuppen</v>
          </cell>
        </row>
        <row r="24">
          <cell r="C24" t="str">
            <v>Masthühnerstall (Flachstall)</v>
          </cell>
        </row>
        <row r="26">
          <cell r="C26" t="str">
            <v>Rinderstall mit Bergeraum</v>
          </cell>
          <cell r="H26">
            <v>2013</v>
          </cell>
          <cell r="L26">
            <v>40</v>
          </cell>
          <cell r="Q26">
            <v>89726</v>
          </cell>
        </row>
        <row r="28">
          <cell r="C28" t="str">
            <v>Verarbeitungsraum</v>
          </cell>
          <cell r="H28">
            <v>2013</v>
          </cell>
          <cell r="L28">
            <v>25</v>
          </cell>
          <cell r="Q28">
            <v>26299</v>
          </cell>
        </row>
        <row r="30">
          <cell r="C30" t="str">
            <v>Garage mit Lagerraum</v>
          </cell>
          <cell r="H30">
            <v>1992</v>
          </cell>
          <cell r="L30">
            <v>25</v>
          </cell>
          <cell r="Q30">
            <v>11375</v>
          </cell>
        </row>
        <row r="32">
          <cell r="Q32" t="str">
            <v/>
          </cell>
        </row>
        <row r="34">
          <cell r="Q34" t="str">
            <v/>
          </cell>
        </row>
        <row r="36">
          <cell r="Q36" t="str">
            <v/>
          </cell>
        </row>
        <row r="38">
          <cell r="B38" t="str">
            <v>Maschinen und Geräte</v>
          </cell>
        </row>
        <row r="41">
          <cell r="C41" t="str">
            <v>Allradtraktor</v>
          </cell>
          <cell r="E41">
            <v>65</v>
          </cell>
          <cell r="F41" t="str">
            <v>KW</v>
          </cell>
          <cell r="H41">
            <v>2014</v>
          </cell>
          <cell r="L41">
            <v>15</v>
          </cell>
          <cell r="Q41">
            <v>28570</v>
          </cell>
        </row>
        <row r="43">
          <cell r="C43" t="str">
            <v>Standardtraktor</v>
          </cell>
          <cell r="E43">
            <v>45</v>
          </cell>
          <cell r="F43" t="str">
            <v>KW</v>
          </cell>
          <cell r="H43">
            <v>2009</v>
          </cell>
          <cell r="L43">
            <v>16</v>
          </cell>
          <cell r="Q43">
            <v>17654</v>
          </cell>
        </row>
        <row r="45">
          <cell r="F45" t="str">
            <v/>
          </cell>
          <cell r="Q45" t="str">
            <v/>
          </cell>
        </row>
        <row r="47">
          <cell r="C47" t="str">
            <v>PKW-Anhänger</v>
          </cell>
          <cell r="E47">
            <v>600</v>
          </cell>
          <cell r="F47" t="str">
            <v>kg</v>
          </cell>
          <cell r="H47">
            <v>2010</v>
          </cell>
          <cell r="L47">
            <v>12</v>
          </cell>
          <cell r="Q47">
            <v>940</v>
          </cell>
        </row>
        <row r="49">
          <cell r="C49" t="str">
            <v>Ladewagen</v>
          </cell>
          <cell r="E49">
            <v>18</v>
          </cell>
          <cell r="F49" t="str">
            <v>m³</v>
          </cell>
          <cell r="H49">
            <v>1998</v>
          </cell>
          <cell r="L49">
            <v>15</v>
          </cell>
          <cell r="Q49">
            <v>5715</v>
          </cell>
        </row>
        <row r="51">
          <cell r="C51" t="str">
            <v>Kreiselschwader</v>
          </cell>
          <cell r="E51">
            <v>4</v>
          </cell>
          <cell r="F51" t="str">
            <v>m</v>
          </cell>
          <cell r="H51">
            <v>2010</v>
          </cell>
          <cell r="L51">
            <v>12</v>
          </cell>
          <cell r="Q51">
            <v>1911</v>
          </cell>
        </row>
        <row r="53">
          <cell r="C53" t="str">
            <v>Kreiselzetter</v>
          </cell>
          <cell r="E53">
            <v>4</v>
          </cell>
          <cell r="F53" t="str">
            <v>m</v>
          </cell>
          <cell r="H53">
            <v>2003</v>
          </cell>
          <cell r="L53">
            <v>12</v>
          </cell>
          <cell r="Q53">
            <v>1856</v>
          </cell>
        </row>
        <row r="55">
          <cell r="C55" t="str">
            <v>Mähwerk</v>
          </cell>
          <cell r="E55">
            <v>2</v>
          </cell>
          <cell r="F55" t="str">
            <v>m</v>
          </cell>
          <cell r="H55">
            <v>2009</v>
          </cell>
          <cell r="L55">
            <v>15</v>
          </cell>
          <cell r="Q55">
            <v>2657</v>
          </cell>
        </row>
        <row r="57">
          <cell r="C57" t="str">
            <v>Motormäher</v>
          </cell>
          <cell r="E57">
            <v>4.4000000000000004</v>
          </cell>
          <cell r="F57" t="str">
            <v>KW</v>
          </cell>
          <cell r="H57">
            <v>2008</v>
          </cell>
          <cell r="L57">
            <v>16</v>
          </cell>
          <cell r="Q57">
            <v>1143</v>
          </cell>
        </row>
        <row r="59">
          <cell r="C59" t="str">
            <v>Gebläse</v>
          </cell>
          <cell r="E59">
            <v>5.2</v>
          </cell>
          <cell r="F59" t="str">
            <v>KW</v>
          </cell>
          <cell r="H59">
            <v>1991</v>
          </cell>
          <cell r="L59">
            <v>16</v>
          </cell>
          <cell r="Q59">
            <v>2129</v>
          </cell>
        </row>
        <row r="61">
          <cell r="C61" t="str">
            <v>Vakuumfass</v>
          </cell>
          <cell r="E61">
            <v>4000</v>
          </cell>
          <cell r="F61" t="str">
            <v>lt</v>
          </cell>
          <cell r="H61">
            <v>2006</v>
          </cell>
          <cell r="L61">
            <v>15</v>
          </cell>
          <cell r="Q61">
            <v>1624</v>
          </cell>
        </row>
        <row r="63">
          <cell r="C63" t="str">
            <v>Miststreuer</v>
          </cell>
          <cell r="E63">
            <v>3.5</v>
          </cell>
          <cell r="F63" t="str">
            <v>t</v>
          </cell>
          <cell r="H63">
            <v>2006</v>
          </cell>
          <cell r="L63">
            <v>14</v>
          </cell>
          <cell r="Q63">
            <v>3185</v>
          </cell>
        </row>
        <row r="65">
          <cell r="C65" t="str">
            <v>Butterfass</v>
          </cell>
          <cell r="E65">
            <v>5</v>
          </cell>
          <cell r="F65" t="str">
            <v>lt</v>
          </cell>
          <cell r="H65">
            <v>2005</v>
          </cell>
          <cell r="L65">
            <v>20</v>
          </cell>
          <cell r="Q65">
            <v>828</v>
          </cell>
        </row>
        <row r="67">
          <cell r="C67" t="str">
            <v>Zentrifuge</v>
          </cell>
          <cell r="E67">
            <v>15</v>
          </cell>
          <cell r="F67" t="str">
            <v>lt</v>
          </cell>
          <cell r="H67">
            <v>1993</v>
          </cell>
          <cell r="L67">
            <v>20</v>
          </cell>
          <cell r="Q67">
            <v>687</v>
          </cell>
        </row>
        <row r="69">
          <cell r="C69" t="str">
            <v>Pasteur</v>
          </cell>
          <cell r="E69">
            <v>40</v>
          </cell>
          <cell r="F69" t="str">
            <v>lt</v>
          </cell>
          <cell r="H69">
            <v>1996</v>
          </cell>
          <cell r="L69">
            <v>20</v>
          </cell>
          <cell r="Q69">
            <v>792</v>
          </cell>
        </row>
        <row r="71">
          <cell r="C71" t="str">
            <v>Motorsäge</v>
          </cell>
          <cell r="E71">
            <v>4</v>
          </cell>
          <cell r="F71" t="str">
            <v>KW</v>
          </cell>
          <cell r="H71">
            <v>2003</v>
          </cell>
          <cell r="L71">
            <v>15</v>
          </cell>
          <cell r="Q71">
            <v>619</v>
          </cell>
        </row>
        <row r="73">
          <cell r="C73" t="str">
            <v>Pflug</v>
          </cell>
          <cell r="E73">
            <v>2</v>
          </cell>
          <cell r="F73" t="str">
            <v>- scharig</v>
          </cell>
          <cell r="H73">
            <v>1993</v>
          </cell>
          <cell r="L73">
            <v>14</v>
          </cell>
          <cell r="Q73">
            <v>1729</v>
          </cell>
        </row>
        <row r="75">
          <cell r="C75" t="str">
            <v>Ackerschleppe</v>
          </cell>
          <cell r="E75">
            <v>4</v>
          </cell>
          <cell r="F75" t="str">
            <v>m</v>
          </cell>
          <cell r="H75">
            <v>2003</v>
          </cell>
          <cell r="L75">
            <v>16</v>
          </cell>
          <cell r="Q75">
            <v>573</v>
          </cell>
        </row>
        <row r="77">
          <cell r="C77" t="str">
            <v>Frontlader</v>
          </cell>
          <cell r="E77">
            <v>1.4</v>
          </cell>
          <cell r="F77" t="str">
            <v>m</v>
          </cell>
          <cell r="H77">
            <v>1989</v>
          </cell>
          <cell r="L77">
            <v>18</v>
          </cell>
          <cell r="Q77">
            <v>1065</v>
          </cell>
        </row>
        <row r="79">
          <cell r="F79" t="str">
            <v/>
          </cell>
          <cell r="Q79" t="str">
            <v/>
          </cell>
        </row>
      </sheetData>
      <sheetData sheetId="17">
        <row r="15">
          <cell r="C15" t="str">
            <v>Schuppen</v>
          </cell>
        </row>
        <row r="17">
          <cell r="C17" t="str">
            <v>Masthühnerstall (Flachstall)</v>
          </cell>
        </row>
        <row r="19">
          <cell r="C19" t="str">
            <v>Bergeraum (erdlastig)</v>
          </cell>
        </row>
        <row r="21">
          <cell r="L21">
            <v>1998</v>
          </cell>
        </row>
        <row r="23">
          <cell r="L23">
            <v>31</v>
          </cell>
        </row>
        <row r="28">
          <cell r="L28">
            <v>17</v>
          </cell>
          <cell r="M28">
            <v>2006</v>
          </cell>
        </row>
        <row r="30">
          <cell r="L30">
            <v>15</v>
          </cell>
          <cell r="M30">
            <v>17</v>
          </cell>
        </row>
        <row r="32">
          <cell r="L32">
            <v>6</v>
          </cell>
          <cell r="M32">
            <v>7</v>
          </cell>
        </row>
        <row r="34">
          <cell r="M34">
            <v>3</v>
          </cell>
        </row>
        <row r="36">
          <cell r="L36">
            <v>34</v>
          </cell>
          <cell r="M36">
            <v>93</v>
          </cell>
        </row>
      </sheetData>
      <sheetData sheetId="18"/>
      <sheetData sheetId="19">
        <row r="85">
          <cell r="H85">
            <v>2.16</v>
          </cell>
        </row>
        <row r="111">
          <cell r="T111" t="str">
            <v>1.</v>
          </cell>
          <cell r="U111" t="str">
            <v>Kleiner</v>
          </cell>
          <cell r="V111">
            <v>25000</v>
          </cell>
        </row>
        <row r="112">
          <cell r="T112" t="str">
            <v/>
          </cell>
          <cell r="U112" t="str">
            <v>Größer</v>
          </cell>
        </row>
        <row r="113">
          <cell r="T113" t="str">
            <v>2.</v>
          </cell>
          <cell r="U113" t="str">
            <v>Kleiner</v>
          </cell>
          <cell r="V113">
            <v>0</v>
          </cell>
        </row>
        <row r="114">
          <cell r="T114" t="str">
            <v/>
          </cell>
          <cell r="U114" t="str">
            <v>Größer</v>
          </cell>
          <cell r="V114">
            <v>25000</v>
          </cell>
        </row>
        <row r="115">
          <cell r="T115" t="str">
            <v>3.</v>
          </cell>
          <cell r="U115" t="str">
            <v>Kleiner</v>
          </cell>
        </row>
        <row r="116">
          <cell r="T116" t="str">
            <v/>
          </cell>
          <cell r="U116" t="str">
            <v>Größer</v>
          </cell>
          <cell r="V116">
            <v>30000</v>
          </cell>
        </row>
        <row r="117">
          <cell r="T117" t="str">
            <v>4.</v>
          </cell>
          <cell r="U117" t="str">
            <v>Kleiner</v>
          </cell>
          <cell r="V117">
            <v>30000</v>
          </cell>
        </row>
        <row r="118">
          <cell r="T118" t="str">
            <v/>
          </cell>
          <cell r="U118" t="str">
            <v>Größer</v>
          </cell>
          <cell r="V118">
            <v>0</v>
          </cell>
        </row>
        <row r="119">
          <cell r="T119" t="str">
            <v>5.</v>
          </cell>
          <cell r="U119" t="str">
            <v>Gleich</v>
          </cell>
          <cell r="V119">
            <v>0</v>
          </cell>
        </row>
        <row r="120">
          <cell r="E120" t="str">
            <v>Hättet ihr im Jahr 2013 die Versicherungssumme für euren Stall auf den damals aktuellen Wert angepasst, hättet ihr von der Versicherung um etwa € 33 000,00 mehr bekommen.
Das hätte sich im Ergebnis der Planungsrechnung wie folgt niedergeschlagen:</v>
          </cell>
          <cell r="T120">
            <v>33000</v>
          </cell>
        </row>
        <row r="123">
          <cell r="M123">
            <v>11225</v>
          </cell>
        </row>
        <row r="124">
          <cell r="M124">
            <v>9881</v>
          </cell>
        </row>
        <row r="125">
          <cell r="M125">
            <v>1344</v>
          </cell>
        </row>
        <row r="128">
          <cell r="E128" t="str">
            <v>x</v>
          </cell>
        </row>
        <row r="133">
          <cell r="M133">
            <v>10385</v>
          </cell>
        </row>
        <row r="134">
          <cell r="M134">
            <v>9346</v>
          </cell>
        </row>
        <row r="135">
          <cell r="E135" t="str">
            <v>Der tatsächliche Kapitaldienst wäre dann kleiner als die Kapitaldienstgrenze!</v>
          </cell>
        </row>
        <row r="138">
          <cell r="E138" t="str">
            <v>x</v>
          </cell>
        </row>
        <row r="148">
          <cell r="D148" t="str">
            <v>Grundverbesserungen</v>
          </cell>
          <cell r="H148">
            <v>1</v>
          </cell>
          <cell r="K148" t="str">
            <v>Verbindlichkeiten Futtermittellieferanten</v>
          </cell>
          <cell r="M148">
            <v>557</v>
          </cell>
        </row>
        <row r="150">
          <cell r="D150" t="str">
            <v>Gebäude und bauliche Anlagen</v>
          </cell>
          <cell r="H150">
            <v>120297.39806451614</v>
          </cell>
          <cell r="K150" t="str">
            <v>Darlehen</v>
          </cell>
          <cell r="M150">
            <v>14196</v>
          </cell>
        </row>
        <row r="152">
          <cell r="D152" t="str">
            <v>Maschinen und Geräte</v>
          </cell>
          <cell r="H152">
            <v>28323.954166666666</v>
          </cell>
        </row>
        <row r="154">
          <cell r="D154" t="str">
            <v>RINDER</v>
          </cell>
          <cell r="H154">
            <v>26000</v>
          </cell>
        </row>
        <row r="156">
          <cell r="D156" t="str">
            <v>HÜHNER</v>
          </cell>
          <cell r="H156">
            <v>215.59999999999997</v>
          </cell>
        </row>
        <row r="158">
          <cell r="D158" t="str">
            <v>Selbst erzeugte Vorräte</v>
          </cell>
          <cell r="H158">
            <v>458.87</v>
          </cell>
        </row>
        <row r="160">
          <cell r="D160" t="str">
            <v>Zugekaufte Vorräte</v>
          </cell>
          <cell r="H160">
            <v>363.01</v>
          </cell>
        </row>
        <row r="162">
          <cell r="D162" t="str">
            <v>Kassa</v>
          </cell>
          <cell r="H162">
            <v>899</v>
          </cell>
        </row>
        <row r="164">
          <cell r="D164" t="str">
            <v>Girokonto</v>
          </cell>
          <cell r="H164">
            <v>3914</v>
          </cell>
        </row>
        <row r="166">
          <cell r="D166" t="str">
            <v>Offene Kundenforderungen</v>
          </cell>
          <cell r="H166">
            <v>1395</v>
          </cell>
        </row>
        <row r="175">
          <cell r="S175" t="str">
            <v>BEZIRKSGERICHT Landeck, GRUNDBUCH 84012 KG – See</v>
          </cell>
        </row>
        <row r="177">
          <cell r="S177" t="str">
            <v>BEZIRKSGERICHT Imst, GRUNDBUCH 80006 KG – Karrösten</v>
          </cell>
        </row>
        <row r="179">
          <cell r="S179" t="str">
            <v>BEZIRKSGERICHT Landeck, GRUNDBUCH 84006 KG – Kappl</v>
          </cell>
        </row>
        <row r="181">
          <cell r="S181" t="str">
            <v>BEZIRKSGERICHT Imst, GRUNDBUCH 80101 KG – Haiming</v>
          </cell>
        </row>
        <row r="185">
          <cell r="E185">
            <v>236</v>
          </cell>
        </row>
        <row r="188">
          <cell r="H188">
            <v>2015</v>
          </cell>
        </row>
        <row r="191">
          <cell r="F191" t="str">
            <v>Einlagezahl</v>
          </cell>
        </row>
        <row r="193">
          <cell r="F193" t="str">
            <v>Laufende Nummer</v>
          </cell>
        </row>
        <row r="195">
          <cell r="F195" t="str">
            <v>Plombe</v>
          </cell>
        </row>
        <row r="197">
          <cell r="F197" t="str">
            <v>Letzte Tagebuchzahl</v>
          </cell>
        </row>
        <row r="199">
          <cell r="F199" t="str">
            <v>Abfragedatum</v>
          </cell>
        </row>
        <row r="202">
          <cell r="E202" t="str">
            <v>A1-Blatt</v>
          </cell>
        </row>
        <row r="204">
          <cell r="E204" t="str">
            <v>Gutsbestandsblatt</v>
          </cell>
        </row>
        <row r="207">
          <cell r="E207" t="str">
            <v>A2-Blatt</v>
          </cell>
        </row>
        <row r="210">
          <cell r="E210">
            <v>13</v>
          </cell>
        </row>
        <row r="213">
          <cell r="E213">
            <v>114623</v>
          </cell>
        </row>
        <row r="215">
          <cell r="E215">
            <v>11.462300000000001</v>
          </cell>
        </row>
        <row r="218">
          <cell r="E218" t="str">
            <v>B-Blatt</v>
          </cell>
        </row>
        <row r="220">
          <cell r="E220" t="str">
            <v>Eigentumsblatt</v>
          </cell>
        </row>
        <row r="223">
          <cell r="S223" t="str">
            <v>Kerber Hans-Peter</v>
          </cell>
        </row>
        <row r="224">
          <cell r="E224">
            <v>3</v>
          </cell>
          <cell r="S224" t="str">
            <v>Elisabeth Müller</v>
          </cell>
        </row>
        <row r="225">
          <cell r="S225" t="str">
            <v>Jäger Franziska</v>
          </cell>
        </row>
        <row r="226">
          <cell r="E226" t="str">
            <v>Karl Kreuzer</v>
          </cell>
          <cell r="S226" t="str">
            <v>Silberbauer Hans</v>
          </cell>
        </row>
        <row r="227">
          <cell r="S227" t="str">
            <v>Karl Kreuzer</v>
          </cell>
        </row>
        <row r="228">
          <cell r="E228" t="str">
            <v>236/250</v>
          </cell>
          <cell r="S228" t="str">
            <v>Huber Josef</v>
          </cell>
        </row>
        <row r="229">
          <cell r="S229" t="str">
            <v>Neururer Alexandra</v>
          </cell>
        </row>
        <row r="231">
          <cell r="E231" t="str">
            <v>C-Blatt</v>
          </cell>
        </row>
        <row r="233">
          <cell r="E233" t="str">
            <v>Lastenblatt</v>
          </cell>
        </row>
        <row r="234">
          <cell r="S234" t="str">
            <v>Fischereirecht</v>
          </cell>
        </row>
        <row r="235">
          <cell r="S235" t="str">
            <v>Wegerecht</v>
          </cell>
        </row>
        <row r="236">
          <cell r="S236" t="str">
            <v>Nutzungsrecht</v>
          </cell>
        </row>
        <row r="237">
          <cell r="E237" t="str">
            <v>Weiderecht</v>
          </cell>
          <cell r="S237" t="str">
            <v>Feuerwehrzone</v>
          </cell>
        </row>
        <row r="238">
          <cell r="S238" t="str">
            <v>Weiderecht</v>
          </cell>
        </row>
        <row r="239">
          <cell r="H239">
            <v>1030</v>
          </cell>
          <cell r="S239" t="str">
            <v>Holzbringungsrecht</v>
          </cell>
        </row>
        <row r="241">
          <cell r="H241">
            <v>1031</v>
          </cell>
        </row>
        <row r="243">
          <cell r="E243" t="str">
            <v>x</v>
          </cell>
          <cell r="H243">
            <v>1032</v>
          </cell>
        </row>
        <row r="245">
          <cell r="E245" t="str">
            <v/>
          </cell>
        </row>
        <row r="248">
          <cell r="E248" t="str">
            <v>Holzbringungsrecht</v>
          </cell>
        </row>
        <row r="250">
          <cell r="H250">
            <v>672</v>
          </cell>
        </row>
        <row r="252">
          <cell r="H252">
            <v>673</v>
          </cell>
        </row>
        <row r="254">
          <cell r="E254" t="str">
            <v>x</v>
          </cell>
          <cell r="H254">
            <v>670</v>
          </cell>
        </row>
        <row r="256">
          <cell r="E256" t="str">
            <v/>
          </cell>
        </row>
        <row r="260">
          <cell r="E260" t="str">
            <v>Pfandrecht</v>
          </cell>
          <cell r="S260" t="str">
            <v>Nutzungsrecht</v>
          </cell>
          <cell r="X260" t="str">
            <v xml:space="preserve">Raiffeisenbank Landeck reg. GenmbH </v>
          </cell>
        </row>
        <row r="261">
          <cell r="S261" t="str">
            <v>Weiderecht</v>
          </cell>
          <cell r="X261" t="str">
            <v xml:space="preserve">Koller Franz </v>
          </cell>
        </row>
        <row r="262">
          <cell r="E262" t="str">
            <v xml:space="preserve">Raiffeisenbank Landeck reg. GenmbH </v>
          </cell>
          <cell r="S262" t="str">
            <v>Immissionsverbot</v>
          </cell>
          <cell r="X262" t="str">
            <v xml:space="preserve">Karl Huber </v>
          </cell>
        </row>
        <row r="263">
          <cell r="S263" t="str">
            <v>Fischereirecht</v>
          </cell>
          <cell r="X263" t="str">
            <v>Mobilkom Österreich</v>
          </cell>
        </row>
        <row r="264">
          <cell r="S264" t="str">
            <v>Pfandrecht</v>
          </cell>
          <cell r="X264" t="str">
            <v>Sparkasse Imst</v>
          </cell>
        </row>
        <row r="265">
          <cell r="E265" t="str">
            <v>Wohnungsrecht</v>
          </cell>
          <cell r="S265" t="str">
            <v>Wiederkaufsrecht</v>
          </cell>
          <cell r="X265" t="str">
            <v xml:space="preserve">Karl Kreuzer Sen. </v>
          </cell>
        </row>
        <row r="266">
          <cell r="S266" t="str">
            <v>Belastungsverbot</v>
          </cell>
          <cell r="X266" t="str">
            <v>Karl Kreuzer Sen. und Josef Kreuzer mj</v>
          </cell>
        </row>
        <row r="267">
          <cell r="E267" t="str">
            <v>Karl Kreuzer Sen. und Josef Kreuzer mj</v>
          </cell>
          <cell r="S267" t="str">
            <v>Wohnungsrecht</v>
          </cell>
          <cell r="X267" t="str">
            <v>Gemeinde  Imst</v>
          </cell>
        </row>
        <row r="268">
          <cell r="S268" t="str">
            <v>Veräußerungsverbot</v>
          </cell>
        </row>
        <row r="269">
          <cell r="S269" t="str">
            <v>Wegerecht</v>
          </cell>
        </row>
        <row r="270">
          <cell r="E270" t="str">
            <v>Vorkaufsrecht</v>
          </cell>
          <cell r="S270" t="str">
            <v>Fruchtgenussrecht</v>
          </cell>
        </row>
        <row r="271">
          <cell r="S271" t="str">
            <v>Holzbringungsrecht</v>
          </cell>
        </row>
        <row r="272">
          <cell r="E272" t="str">
            <v>Karl Kreuzer Sen. und Josef Kreuzer mj</v>
          </cell>
          <cell r="S272" t="str">
            <v>Duldung eines Handymasten</v>
          </cell>
        </row>
        <row r="273">
          <cell r="S273" t="str">
            <v>Belastungs- und Veräußerungsverbot</v>
          </cell>
        </row>
        <row r="274">
          <cell r="S274" t="str">
            <v>Vorkaufsrecht</v>
          </cell>
        </row>
        <row r="275">
          <cell r="E275" t="str">
            <v>Fruchtgenussrecht</v>
          </cell>
          <cell r="S275" t="str">
            <v>Anschlusspflicht</v>
          </cell>
        </row>
        <row r="276">
          <cell r="S276" t="str">
            <v>Wasserrecht</v>
          </cell>
        </row>
        <row r="277">
          <cell r="E277" t="str">
            <v xml:space="preserve">Karl Kreuzer Sen. </v>
          </cell>
        </row>
        <row r="280">
          <cell r="F280" t="str">
            <v>Nach dem Wert des Rechtes (höherer Wert vor niedrigerem!)</v>
          </cell>
        </row>
        <row r="282">
          <cell r="F282" t="str">
            <v>Nach Datum der Eintragung (Ältere vor Jüngeren!)</v>
          </cell>
        </row>
        <row r="284">
          <cell r="F284" t="str">
            <v>Nach dem Wert des Rechtes (niedrigerer Wert vor höherem!)</v>
          </cell>
        </row>
        <row r="286">
          <cell r="F286" t="str">
            <v>Nach Datum der Eintragung (Jüngere vor Älteren!)</v>
          </cell>
        </row>
        <row r="288">
          <cell r="E288" t="str">
            <v>Vorrang</v>
          </cell>
          <cell r="S288" t="str">
            <v>Löschung</v>
          </cell>
          <cell r="T288" t="str">
            <v>Vorrang</v>
          </cell>
          <cell r="U288" t="str">
            <v>Änderung</v>
          </cell>
          <cell r="V288" t="str">
            <v>Rückreihung</v>
          </cell>
        </row>
      </sheetData>
      <sheetData sheetId="20">
        <row r="6">
          <cell r="E6">
            <v>21108.100000000002</v>
          </cell>
          <cell r="G6">
            <v>-259935</v>
          </cell>
          <cell r="I6">
            <v>2684.5</v>
          </cell>
        </row>
        <row r="7">
          <cell r="E7">
            <v>3186.4</v>
          </cell>
          <cell r="G7">
            <v>-116280</v>
          </cell>
          <cell r="I7">
            <v>244.8</v>
          </cell>
        </row>
        <row r="8">
          <cell r="E8">
            <v>41</v>
          </cell>
          <cell r="G8">
            <v>0</v>
          </cell>
          <cell r="I8">
            <v>47.5</v>
          </cell>
        </row>
        <row r="9">
          <cell r="E9">
            <v>45</v>
          </cell>
          <cell r="G9">
            <v>0</v>
          </cell>
          <cell r="I9">
            <v>135</v>
          </cell>
        </row>
        <row r="10">
          <cell r="E10">
            <v>367.20000000000005</v>
          </cell>
          <cell r="G10">
            <v>0</v>
          </cell>
          <cell r="I10">
            <v>34.68</v>
          </cell>
        </row>
        <row r="11">
          <cell r="E11" t="str">
            <v/>
          </cell>
          <cell r="G11" t="str">
            <v/>
          </cell>
          <cell r="I11" t="str">
            <v/>
          </cell>
        </row>
        <row r="12">
          <cell r="E12" t="str">
            <v/>
          </cell>
          <cell r="G12" t="str">
            <v/>
          </cell>
          <cell r="I12" t="str">
            <v/>
          </cell>
        </row>
        <row r="13">
          <cell r="E13">
            <v>-1246.9499999999998</v>
          </cell>
          <cell r="G13">
            <v>87363</v>
          </cell>
          <cell r="I13">
            <v>65.849999999999994</v>
          </cell>
        </row>
        <row r="14">
          <cell r="E14">
            <v>-11768.62</v>
          </cell>
          <cell r="G14">
            <v>339556</v>
          </cell>
          <cell r="I14">
            <v>498.11199999999997</v>
          </cell>
        </row>
        <row r="15">
          <cell r="E15">
            <v>-198.9</v>
          </cell>
          <cell r="G15">
            <v>16279</v>
          </cell>
          <cell r="I15">
            <v>18.399999999999999</v>
          </cell>
        </row>
        <row r="16">
          <cell r="E16" t="str">
            <v/>
          </cell>
          <cell r="G16" t="str">
            <v/>
          </cell>
          <cell r="I16" t="str">
            <v/>
          </cell>
        </row>
        <row r="17">
          <cell r="E17" t="str">
            <v/>
          </cell>
          <cell r="G17" t="str">
            <v/>
          </cell>
          <cell r="I17" t="str">
            <v/>
          </cell>
        </row>
        <row r="18">
          <cell r="E18" t="str">
            <v/>
          </cell>
          <cell r="G18" t="str">
            <v/>
          </cell>
          <cell r="I18" t="str">
            <v/>
          </cell>
        </row>
        <row r="19">
          <cell r="E19" t="str">
            <v/>
          </cell>
          <cell r="G19" t="str">
            <v/>
          </cell>
          <cell r="I19" t="str">
            <v/>
          </cell>
        </row>
        <row r="20">
          <cell r="E20">
            <v>11533.230000000003</v>
          </cell>
        </row>
        <row r="23">
          <cell r="G23">
            <v>66983</v>
          </cell>
          <cell r="I23">
            <v>3728.8420000000001</v>
          </cell>
        </row>
        <row r="26">
          <cell r="E26">
            <v>2045</v>
          </cell>
        </row>
        <row r="32">
          <cell r="I32">
            <v>-1985.0083064516111</v>
          </cell>
        </row>
        <row r="35">
          <cell r="E35">
            <v>6858</v>
          </cell>
          <cell r="I35">
            <v>-1587.0083064516111</v>
          </cell>
        </row>
        <row r="37">
          <cell r="E37">
            <v>20436.230000000003</v>
          </cell>
        </row>
        <row r="39">
          <cell r="E39">
            <v>5016.9916935483889</v>
          </cell>
        </row>
        <row r="40">
          <cell r="E40">
            <v>1.3454556920213805</v>
          </cell>
        </row>
        <row r="43">
          <cell r="E43">
            <v>26014.991693548389</v>
          </cell>
        </row>
      </sheetData>
      <sheetData sheetId="21">
        <row r="5">
          <cell r="E5">
            <v>6382.5</v>
          </cell>
        </row>
        <row r="6">
          <cell r="E6">
            <v>2146.8000000000002</v>
          </cell>
        </row>
        <row r="7">
          <cell r="E7">
            <v>3028.8</v>
          </cell>
        </row>
        <row r="8">
          <cell r="E8" t="str">
            <v/>
          </cell>
        </row>
        <row r="9">
          <cell r="E9" t="str">
            <v/>
          </cell>
        </row>
        <row r="12">
          <cell r="C12">
            <v>239484</v>
          </cell>
          <cell r="E12">
            <v>11558.099999999999</v>
          </cell>
          <cell r="G12">
            <v>239484</v>
          </cell>
        </row>
        <row r="21">
          <cell r="E21">
            <v>44042.862500000003</v>
          </cell>
          <cell r="G21">
            <v>-499875</v>
          </cell>
          <cell r="I21">
            <v>3200.75</v>
          </cell>
        </row>
        <row r="22">
          <cell r="E22">
            <v>5185.866</v>
          </cell>
          <cell r="G22">
            <v>-174420</v>
          </cell>
          <cell r="I22">
            <v>227.66400000000002</v>
          </cell>
        </row>
        <row r="23">
          <cell r="E23">
            <v>106.76399999999998</v>
          </cell>
          <cell r="G23">
            <v>0</v>
          </cell>
          <cell r="I23">
            <v>70.679999999999993</v>
          </cell>
        </row>
        <row r="24">
          <cell r="E24">
            <v>65.099999999999994</v>
          </cell>
          <cell r="G24">
            <v>0</v>
          </cell>
          <cell r="I24">
            <v>111.6</v>
          </cell>
        </row>
        <row r="25">
          <cell r="E25">
            <v>398.41200000000003</v>
          </cell>
          <cell r="G25">
            <v>0</v>
          </cell>
          <cell r="I25">
            <v>21.501600000000003</v>
          </cell>
        </row>
        <row r="26">
          <cell r="E26" t="str">
            <v/>
          </cell>
          <cell r="I26" t="str">
            <v/>
          </cell>
        </row>
        <row r="28">
          <cell r="E28">
            <v>-1309.902</v>
          </cell>
          <cell r="G28">
            <v>129254.40000000001</v>
          </cell>
          <cell r="I28">
            <v>32.271000000000001</v>
          </cell>
        </row>
        <row r="29">
          <cell r="E29">
            <v>-17562.8773</v>
          </cell>
          <cell r="G29">
            <v>626302.60000000009</v>
          </cell>
          <cell r="I29">
            <v>517.84384</v>
          </cell>
        </row>
        <row r="30">
          <cell r="E30">
            <v>-177.02100000000002</v>
          </cell>
          <cell r="G30">
            <v>17906.900000000001</v>
          </cell>
          <cell r="I30">
            <v>11.407999999999999</v>
          </cell>
        </row>
        <row r="31">
          <cell r="E31" t="str">
            <v/>
          </cell>
          <cell r="G31" t="str">
            <v/>
          </cell>
          <cell r="I31" t="str">
            <v/>
          </cell>
        </row>
        <row r="32">
          <cell r="E32" t="str">
            <v/>
          </cell>
          <cell r="G32" t="str">
            <v/>
          </cell>
          <cell r="I32" t="str">
            <v/>
          </cell>
        </row>
        <row r="33">
          <cell r="E33" t="str">
            <v/>
          </cell>
          <cell r="G33" t="str">
            <v/>
          </cell>
          <cell r="I33" t="str">
            <v/>
          </cell>
        </row>
        <row r="34">
          <cell r="E34" t="str">
            <v/>
          </cell>
          <cell r="G34" t="str">
            <v/>
          </cell>
          <cell r="I34" t="str">
            <v/>
          </cell>
        </row>
        <row r="35">
          <cell r="E35">
            <v>30749.2042</v>
          </cell>
        </row>
        <row r="38">
          <cell r="G38">
            <v>99168.900000000111</v>
          </cell>
          <cell r="I38">
            <v>4193.7184400000006</v>
          </cell>
        </row>
        <row r="41">
          <cell r="E41">
            <v>2798</v>
          </cell>
        </row>
        <row r="46">
          <cell r="I46">
            <v>6560.7320941318922</v>
          </cell>
        </row>
        <row r="49">
          <cell r="I49">
            <v>172984</v>
          </cell>
        </row>
        <row r="50">
          <cell r="E50">
            <v>9756</v>
          </cell>
        </row>
        <row r="52">
          <cell r="E52">
            <v>43303.2042</v>
          </cell>
        </row>
        <row r="56">
          <cell r="E56">
            <v>3408.7320941318926</v>
          </cell>
        </row>
        <row r="57">
          <cell r="E57">
            <v>13164.732094131892</v>
          </cell>
        </row>
        <row r="58">
          <cell r="E58">
            <v>3.1391549724859189</v>
          </cell>
        </row>
        <row r="61">
          <cell r="E61">
            <v>32146.73209413189</v>
          </cell>
        </row>
      </sheetData>
      <sheetData sheetId="22">
        <row r="8">
          <cell r="G8" t="str">
            <v/>
          </cell>
        </row>
        <row r="9">
          <cell r="G9" t="str">
            <v/>
          </cell>
        </row>
        <row r="10">
          <cell r="G10">
            <v>-2192.1673008075609</v>
          </cell>
        </row>
        <row r="11">
          <cell r="G11">
            <v>-10646.188073269119</v>
          </cell>
        </row>
        <row r="16">
          <cell r="D16">
            <v>22866.974199999997</v>
          </cell>
          <cell r="E16">
            <v>8147.7404005835033</v>
          </cell>
        </row>
        <row r="21">
          <cell r="C21" t="str">
            <v>ü</v>
          </cell>
        </row>
        <row r="23">
          <cell r="F23">
            <v>-2498.4476726856155</v>
          </cell>
        </row>
        <row r="24">
          <cell r="E24" t="str">
            <v>Ja</v>
          </cell>
          <cell r="F24" t="str">
            <v>Nein</v>
          </cell>
        </row>
        <row r="25">
          <cell r="E25" t="str">
            <v/>
          </cell>
          <cell r="F25" t="str">
            <v>x</v>
          </cell>
        </row>
        <row r="32">
          <cell r="G32" t="str">
            <v/>
          </cell>
        </row>
        <row r="33">
          <cell r="G33" t="str">
            <v/>
          </cell>
        </row>
        <row r="34">
          <cell r="G34">
            <v>-4481.4687339411403</v>
          </cell>
        </row>
        <row r="35">
          <cell r="G35">
            <v>-13827.954852048075</v>
          </cell>
        </row>
        <row r="40">
          <cell r="F40">
            <v>7368.4210526315792</v>
          </cell>
          <cell r="G40">
            <v>-1978.0650654753545</v>
          </cell>
        </row>
        <row r="41">
          <cell r="F41" t="str">
            <v/>
          </cell>
          <cell r="G41" t="str">
            <v/>
          </cell>
        </row>
        <row r="42">
          <cell r="F42" t="str">
            <v/>
          </cell>
          <cell r="G42" t="str">
            <v/>
          </cell>
        </row>
        <row r="43">
          <cell r="F43">
            <v>3298.4</v>
          </cell>
          <cell r="G43">
            <v>-1183.0687339411402</v>
          </cell>
        </row>
        <row r="44">
          <cell r="F44">
            <v>10666.82105263158</v>
          </cell>
          <cell r="G44">
            <v>-3161.1337994164946</v>
          </cell>
        </row>
      </sheetData>
      <sheetData sheetId="23">
        <row r="5">
          <cell r="D5">
            <v>5600</v>
          </cell>
        </row>
        <row r="12">
          <cell r="F12">
            <v>3820</v>
          </cell>
          <cell r="H12">
            <v>1780</v>
          </cell>
        </row>
        <row r="25">
          <cell r="B25" t="str">
            <v>Butter</v>
          </cell>
          <cell r="C25">
            <v>828</v>
          </cell>
        </row>
        <row r="26">
          <cell r="B26" t="str">
            <v>Jogurt</v>
          </cell>
          <cell r="C26">
            <v>768</v>
          </cell>
        </row>
        <row r="27">
          <cell r="B27" t="str">
            <v>Topfen aus Vollmilch</v>
          </cell>
          <cell r="C27" t="str">
            <v/>
          </cell>
        </row>
        <row r="28">
          <cell r="B28" t="str">
            <v>Käse</v>
          </cell>
          <cell r="C28">
            <v>238</v>
          </cell>
        </row>
        <row r="29">
          <cell r="B29" t="str">
            <v/>
          </cell>
          <cell r="C29" t="str">
            <v/>
          </cell>
        </row>
        <row r="30">
          <cell r="B30" t="str">
            <v/>
          </cell>
          <cell r="C30" t="str">
            <v/>
          </cell>
        </row>
        <row r="42">
          <cell r="B42" t="str">
            <v>Molkereigeld</v>
          </cell>
          <cell r="F42">
            <v>1047.876923076923</v>
          </cell>
        </row>
        <row r="43">
          <cell r="B43" t="str">
            <v>Ab-Hof</v>
          </cell>
          <cell r="F43">
            <v>161.28000000000003</v>
          </cell>
        </row>
        <row r="44">
          <cell r="B44" t="str">
            <v>Eigen- u. Gästeverbrauch</v>
          </cell>
          <cell r="F44">
            <v>34.720000000000006</v>
          </cell>
        </row>
        <row r="45">
          <cell r="B45" t="str">
            <v>Butter</v>
          </cell>
          <cell r="F45">
            <v>200.52</v>
          </cell>
        </row>
        <row r="46">
          <cell r="B46" t="str">
            <v>Jogurt</v>
          </cell>
          <cell r="F46">
            <v>1359.3600000000001</v>
          </cell>
        </row>
        <row r="47">
          <cell r="B47" t="str">
            <v>Topfen aus Vollmilch</v>
          </cell>
          <cell r="F47" t="str">
            <v/>
          </cell>
        </row>
        <row r="48">
          <cell r="B48" t="str">
            <v>Käse</v>
          </cell>
          <cell r="F48">
            <v>213.64</v>
          </cell>
        </row>
        <row r="49">
          <cell r="B49" t="str">
            <v>-</v>
          </cell>
          <cell r="F49" t="str">
            <v/>
          </cell>
        </row>
        <row r="50">
          <cell r="B50" t="str">
            <v>-</v>
          </cell>
          <cell r="F50" t="str">
            <v/>
          </cell>
        </row>
        <row r="51">
          <cell r="B51" t="str">
            <v>Magermilch</v>
          </cell>
          <cell r="F51" t="str">
            <v/>
          </cell>
        </row>
        <row r="52">
          <cell r="B52" t="str">
            <v>Summe Milcherlös</v>
          </cell>
          <cell r="F52">
            <v>3017.396923076923</v>
          </cell>
        </row>
        <row r="53">
          <cell r="B53" t="str">
            <v>Altkuherlös</v>
          </cell>
          <cell r="F53">
            <v>57.04</v>
          </cell>
        </row>
        <row r="54">
          <cell r="B54" t="str">
            <v>Kälbererlös</v>
          </cell>
          <cell r="F54">
            <v>219.024</v>
          </cell>
        </row>
        <row r="55">
          <cell r="B55" t="str">
            <v>SUMME ROHERTRAG</v>
          </cell>
          <cell r="F55">
            <v>3293.4609230769229</v>
          </cell>
        </row>
        <row r="59">
          <cell r="B59" t="str">
            <v>Bestandesergänzung</v>
          </cell>
          <cell r="F59">
            <v>156.47999999999999</v>
          </cell>
        </row>
        <row r="60">
          <cell r="B60" t="str">
            <v>KF</v>
          </cell>
          <cell r="F60">
            <v>342.65</v>
          </cell>
        </row>
        <row r="61">
          <cell r="B61" t="str">
            <v>Mineralstoffmischung</v>
          </cell>
          <cell r="F61">
            <v>26.320000000000004</v>
          </cell>
        </row>
        <row r="62">
          <cell r="B62" t="str">
            <v>Tierarzt</v>
          </cell>
          <cell r="F62">
            <v>55.68</v>
          </cell>
        </row>
        <row r="63">
          <cell r="B63" t="str">
            <v>Deckgeld</v>
          </cell>
          <cell r="F63">
            <v>30.72</v>
          </cell>
        </row>
        <row r="64">
          <cell r="B64" t="str">
            <v>Kontrollgebühren</v>
          </cell>
          <cell r="F64">
            <v>9.6</v>
          </cell>
        </row>
        <row r="65">
          <cell r="B65" t="str">
            <v>Versicherung</v>
          </cell>
          <cell r="F65">
            <v>21.12</v>
          </cell>
        </row>
        <row r="66">
          <cell r="B66" t="str">
            <v>Alpung</v>
          </cell>
          <cell r="F66">
            <v>81.599999999999994</v>
          </cell>
        </row>
        <row r="67">
          <cell r="B67" t="str">
            <v>Energie</v>
          </cell>
          <cell r="F67">
            <v>31.68</v>
          </cell>
        </row>
        <row r="68">
          <cell r="B68" t="str">
            <v>Einstreu</v>
          </cell>
          <cell r="F68">
            <v>43.34</v>
          </cell>
        </row>
        <row r="69">
          <cell r="B69" t="str">
            <v>Vermarktungs-/Verarbeitungskosten</v>
          </cell>
          <cell r="F69">
            <v>111.36</v>
          </cell>
        </row>
        <row r="70">
          <cell r="B70" t="str">
            <v>Verpackung</v>
          </cell>
          <cell r="F70">
            <v>499.2</v>
          </cell>
        </row>
        <row r="71">
          <cell r="B71" t="str">
            <v xml:space="preserve">Energie und Reinigung </v>
          </cell>
          <cell r="F71">
            <v>82.56</v>
          </cell>
        </row>
        <row r="72">
          <cell r="B72" t="str">
            <v>Zuteilbare FK Butterfass, Zentrifuge</v>
          </cell>
          <cell r="F72">
            <v>209.28</v>
          </cell>
        </row>
        <row r="73">
          <cell r="B73" t="str">
            <v>SUMME VK</v>
          </cell>
          <cell r="F73">
            <v>1701.59</v>
          </cell>
        </row>
        <row r="74">
          <cell r="B74" t="str">
            <v>DBK  Kalkulation (vorläufiger DB)</v>
          </cell>
          <cell r="G74">
            <v>1591.870923076923</v>
          </cell>
        </row>
        <row r="80">
          <cell r="B80" t="str">
            <v>Heu</v>
          </cell>
          <cell r="F80">
            <v>309.72879830135429</v>
          </cell>
          <cell r="G80" t="str">
            <v>∑ Grundfutterkosten</v>
          </cell>
        </row>
        <row r="81">
          <cell r="B81" t="str">
            <v>Grünfutter</v>
          </cell>
          <cell r="F81">
            <v>39.990300540174857</v>
          </cell>
          <cell r="G81">
            <v>349.71909884152916</v>
          </cell>
        </row>
        <row r="82">
          <cell r="B82" t="str">
            <v/>
          </cell>
          <cell r="F82" t="str">
            <v/>
          </cell>
        </row>
        <row r="83">
          <cell r="B83" t="str">
            <v>DB mit Berücksichtigung der Futterkosten</v>
          </cell>
          <cell r="G83">
            <v>1242.1518242353939</v>
          </cell>
        </row>
        <row r="88">
          <cell r="B88" t="str">
            <v>SUMME FÖRDERUNGEN</v>
          </cell>
          <cell r="G88">
            <v>0</v>
          </cell>
        </row>
        <row r="89">
          <cell r="B89" t="str">
            <v>DB mit Berücksichtigung der Futterkosten und Förderungen</v>
          </cell>
          <cell r="G89">
            <v>1242.1518242353939</v>
          </cell>
        </row>
        <row r="92">
          <cell r="B92" t="str">
            <v>Stallarbeitszeit</v>
          </cell>
          <cell r="G92">
            <v>139.19999999999999</v>
          </cell>
        </row>
        <row r="93">
          <cell r="G93">
            <v>63.223999999999997</v>
          </cell>
        </row>
        <row r="94">
          <cell r="B94" t="str">
            <v>Gesamtstunden an Arbeitszeit</v>
          </cell>
          <cell r="G94">
            <v>202.42399999999998</v>
          </cell>
        </row>
        <row r="95">
          <cell r="B95" t="str">
            <v>DB je AK/Stunde</v>
          </cell>
          <cell r="G95">
            <v>6.1363861213857742</v>
          </cell>
        </row>
      </sheetData>
      <sheetData sheetId="24">
        <row r="7">
          <cell r="D7">
            <v>61.056773683326135</v>
          </cell>
        </row>
        <row r="8">
          <cell r="D8">
            <v>17095.896631331318</v>
          </cell>
        </row>
        <row r="10">
          <cell r="D10">
            <v>24095.896631331318</v>
          </cell>
        </row>
        <row r="23">
          <cell r="E23">
            <v>0.28333333333333333</v>
          </cell>
          <cell r="H23">
            <v>222.53</v>
          </cell>
        </row>
        <row r="24">
          <cell r="E24">
            <v>0.45</v>
          </cell>
          <cell r="H24">
            <v>435.47714999999999</v>
          </cell>
        </row>
        <row r="25">
          <cell r="E25">
            <v>0.16666666666666666</v>
          </cell>
          <cell r="H25">
            <v>105</v>
          </cell>
        </row>
        <row r="26">
          <cell r="H26">
            <v>763.00715000000002</v>
          </cell>
        </row>
        <row r="29">
          <cell r="D29">
            <v>0.16666666666666666</v>
          </cell>
          <cell r="H29">
            <v>130.89999999999998</v>
          </cell>
        </row>
        <row r="30">
          <cell r="H30">
            <v>8.4</v>
          </cell>
        </row>
        <row r="31">
          <cell r="H31">
            <v>8.6</v>
          </cell>
        </row>
        <row r="32">
          <cell r="H32">
            <v>16.149999999999999</v>
          </cell>
        </row>
        <row r="33">
          <cell r="H33">
            <v>28.5</v>
          </cell>
        </row>
        <row r="34">
          <cell r="H34">
            <v>22.890214499999999</v>
          </cell>
        </row>
        <row r="35">
          <cell r="H35">
            <v>13.3</v>
          </cell>
        </row>
        <row r="36">
          <cell r="H36">
            <v>45.6</v>
          </cell>
        </row>
        <row r="37">
          <cell r="H37">
            <v>30.4</v>
          </cell>
        </row>
        <row r="38">
          <cell r="H38">
            <v>38.950000000000003</v>
          </cell>
        </row>
        <row r="39">
          <cell r="H39">
            <v>31.35</v>
          </cell>
        </row>
        <row r="40">
          <cell r="H40">
            <v>375.04021449999999</v>
          </cell>
        </row>
        <row r="41">
          <cell r="H41">
            <v>387.96693550000003</v>
          </cell>
        </row>
        <row r="44">
          <cell r="H44">
            <v>337.34255283863843</v>
          </cell>
        </row>
        <row r="45">
          <cell r="H45">
            <v>50.624382661361608</v>
          </cell>
        </row>
        <row r="48">
          <cell r="H48">
            <v>230</v>
          </cell>
        </row>
        <row r="49">
          <cell r="H49">
            <v>50</v>
          </cell>
        </row>
        <row r="50">
          <cell r="H50">
            <v>20</v>
          </cell>
        </row>
        <row r="51">
          <cell r="H51">
            <v>350.62438266136161</v>
          </cell>
        </row>
        <row r="57">
          <cell r="E57">
            <v>46</v>
          </cell>
        </row>
        <row r="58">
          <cell r="H58">
            <v>7.6222691882904696</v>
          </cell>
        </row>
      </sheetData>
      <sheetData sheetId="25">
        <row r="10">
          <cell r="F10">
            <v>0.13333333333333333</v>
          </cell>
          <cell r="G10">
            <v>0.38095238095238099</v>
          </cell>
          <cell r="I10">
            <v>3.4095238095238094</v>
          </cell>
        </row>
        <row r="11">
          <cell r="F11">
            <v>0.13333333333333333</v>
          </cell>
          <cell r="G11">
            <v>0.38095238095238099</v>
          </cell>
          <cell r="I11">
            <v>0.19809523809523813</v>
          </cell>
        </row>
        <row r="13">
          <cell r="F13">
            <v>0.6</v>
          </cell>
          <cell r="G13">
            <v>1.7142857142857142</v>
          </cell>
          <cell r="I13">
            <v>18.301028571428571</v>
          </cell>
        </row>
        <row r="14">
          <cell r="F14">
            <v>0.6</v>
          </cell>
          <cell r="G14">
            <v>1.7142857142857142</v>
          </cell>
          <cell r="I14">
            <v>3.7199999999999998</v>
          </cell>
        </row>
        <row r="16">
          <cell r="F16">
            <v>0.31666666666666665</v>
          </cell>
          <cell r="G16">
            <v>0.90476190476190466</v>
          </cell>
          <cell r="I16">
            <v>9.6588761904761906</v>
          </cell>
        </row>
        <row r="17">
          <cell r="F17">
            <v>0.31666666666666665</v>
          </cell>
          <cell r="G17">
            <v>0.90476190476190466</v>
          </cell>
          <cell r="I17">
            <v>1.9633333333333329</v>
          </cell>
        </row>
        <row r="18">
          <cell r="I18">
            <v>37.250857142857136</v>
          </cell>
        </row>
        <row r="19">
          <cell r="I19">
            <v>44.701028571428566</v>
          </cell>
        </row>
        <row r="20">
          <cell r="I20">
            <v>4.0230925714285704</v>
          </cell>
        </row>
        <row r="21">
          <cell r="I21">
            <v>48.724121142857136</v>
          </cell>
        </row>
        <row r="24">
          <cell r="I24">
            <v>78.93307625142856</v>
          </cell>
        </row>
        <row r="27">
          <cell r="G27">
            <v>4.8599999999999994</v>
          </cell>
        </row>
        <row r="35">
          <cell r="F35">
            <v>0.1</v>
          </cell>
          <cell r="G35">
            <v>0.25</v>
          </cell>
          <cell r="I35">
            <v>2.6689000000000003</v>
          </cell>
        </row>
        <row r="36">
          <cell r="F36">
            <v>0.1</v>
          </cell>
          <cell r="G36">
            <v>0.25</v>
          </cell>
          <cell r="I36">
            <v>0.33</v>
          </cell>
        </row>
        <row r="38">
          <cell r="F38">
            <v>0.6</v>
          </cell>
          <cell r="G38">
            <v>1.5</v>
          </cell>
          <cell r="I38">
            <v>16.013400000000001</v>
          </cell>
        </row>
        <row r="39">
          <cell r="F39">
            <v>0.6</v>
          </cell>
          <cell r="G39">
            <v>1.5</v>
          </cell>
          <cell r="I39">
            <v>1.98</v>
          </cell>
        </row>
        <row r="41">
          <cell r="F41">
            <v>0.25</v>
          </cell>
          <cell r="G41">
            <v>0.625</v>
          </cell>
          <cell r="I41">
            <v>6.6722500000000009</v>
          </cell>
        </row>
        <row r="42">
          <cell r="F42">
            <v>0.25</v>
          </cell>
          <cell r="G42">
            <v>0.625</v>
          </cell>
          <cell r="I42">
            <v>0.82500000000000007</v>
          </cell>
        </row>
        <row r="43">
          <cell r="I43">
            <v>28.489550000000001</v>
          </cell>
        </row>
        <row r="44">
          <cell r="I44">
            <v>34.187460000000002</v>
          </cell>
        </row>
        <row r="45">
          <cell r="I45">
            <v>2.3931222000000005</v>
          </cell>
        </row>
        <row r="46">
          <cell r="I46">
            <v>36.580582200000002</v>
          </cell>
        </row>
        <row r="49">
          <cell r="I49">
            <v>51.212815079999999</v>
          </cell>
        </row>
        <row r="52">
          <cell r="G52">
            <v>3.3249999999999997</v>
          </cell>
        </row>
        <row r="57">
          <cell r="G57">
            <v>1172.8800000000001</v>
          </cell>
        </row>
        <row r="58">
          <cell r="G58">
            <v>101.36</v>
          </cell>
        </row>
        <row r="59">
          <cell r="G59">
            <v>8.1849999999999987</v>
          </cell>
        </row>
      </sheetData>
      <sheetData sheetId="26">
        <row r="13">
          <cell r="I13">
            <v>0.96</v>
          </cell>
        </row>
        <row r="14">
          <cell r="I14" t="str">
            <v/>
          </cell>
        </row>
        <row r="15">
          <cell r="I15" t="str">
            <v/>
          </cell>
        </row>
        <row r="16">
          <cell r="C16">
            <v>12.284999999999998</v>
          </cell>
          <cell r="D16">
            <v>1</v>
          </cell>
          <cell r="E16">
            <v>0</v>
          </cell>
          <cell r="F16" t="str">
            <v/>
          </cell>
          <cell r="I16">
            <v>109.41490944285714</v>
          </cell>
        </row>
        <row r="18">
          <cell r="I18">
            <v>4.93</v>
          </cell>
        </row>
        <row r="19">
          <cell r="I19">
            <v>4.7359999999999998</v>
          </cell>
        </row>
        <row r="20">
          <cell r="I20">
            <v>10.395000000000001</v>
          </cell>
        </row>
        <row r="21">
          <cell r="I21">
            <v>19.679999999999996</v>
          </cell>
        </row>
        <row r="22">
          <cell r="I22">
            <v>8.64</v>
          </cell>
        </row>
        <row r="23">
          <cell r="I23" t="str">
            <v/>
          </cell>
        </row>
        <row r="24">
          <cell r="I24" t="str">
            <v/>
          </cell>
        </row>
        <row r="25">
          <cell r="I25" t="str">
            <v/>
          </cell>
        </row>
        <row r="26">
          <cell r="I26" t="str">
            <v/>
          </cell>
        </row>
        <row r="27">
          <cell r="C27">
            <v>18.400000000000002</v>
          </cell>
          <cell r="D27">
            <v>5.9</v>
          </cell>
          <cell r="E27">
            <v>12.5</v>
          </cell>
          <cell r="F27" t="str">
            <v/>
          </cell>
          <cell r="I27">
            <v>48.381</v>
          </cell>
        </row>
        <row r="29">
          <cell r="I29">
            <v>167.36500000000001</v>
          </cell>
        </row>
        <row r="30">
          <cell r="I30">
            <v>400.33500000000004</v>
          </cell>
        </row>
        <row r="31">
          <cell r="I31" t="str">
            <v/>
          </cell>
        </row>
        <row r="32">
          <cell r="I32">
            <v>567.70000000000005</v>
          </cell>
        </row>
        <row r="34">
          <cell r="I34">
            <v>505.78</v>
          </cell>
        </row>
        <row r="35">
          <cell r="I35">
            <v>505.78</v>
          </cell>
        </row>
        <row r="36">
          <cell r="I36">
            <v>1328.0379094428572</v>
          </cell>
        </row>
        <row r="37">
          <cell r="I37">
            <v>1593.6454913314287</v>
          </cell>
        </row>
        <row r="41">
          <cell r="H41">
            <v>6.0060000000000002</v>
          </cell>
          <cell r="I41">
            <v>276155.88</v>
          </cell>
        </row>
        <row r="44">
          <cell r="E44">
            <v>1593.6454913314287</v>
          </cell>
        </row>
        <row r="47">
          <cell r="E47" t="str">
            <v/>
          </cell>
        </row>
        <row r="48">
          <cell r="E48" t="str">
            <v/>
          </cell>
        </row>
        <row r="49">
          <cell r="E49" t="str">
            <v/>
          </cell>
        </row>
        <row r="52">
          <cell r="E52" t="str">
            <v/>
          </cell>
        </row>
        <row r="53">
          <cell r="E53" t="str">
            <v/>
          </cell>
        </row>
        <row r="54">
          <cell r="E54" t="str">
            <v/>
          </cell>
        </row>
        <row r="55">
          <cell r="E55" t="str">
            <v/>
          </cell>
        </row>
        <row r="61">
          <cell r="E61" t="str">
            <v/>
          </cell>
        </row>
        <row r="64">
          <cell r="E64">
            <v>1593.6454913314287</v>
          </cell>
        </row>
        <row r="65">
          <cell r="E65">
            <v>67.484999999999999</v>
          </cell>
        </row>
        <row r="66">
          <cell r="E66">
            <v>5.7708186091544695E-3</v>
          </cell>
          <cell r="G66">
            <v>2.98072014472603E-2</v>
          </cell>
        </row>
      </sheetData>
      <sheetData sheetId="27">
        <row r="12">
          <cell r="E12">
            <v>5</v>
          </cell>
        </row>
        <row r="13">
          <cell r="E13">
            <v>19046.666666666664</v>
          </cell>
        </row>
        <row r="16">
          <cell r="E16">
            <v>1904.6666666666667</v>
          </cell>
        </row>
        <row r="17">
          <cell r="E17">
            <v>285.7</v>
          </cell>
        </row>
        <row r="18">
          <cell r="E18">
            <v>285.7</v>
          </cell>
        </row>
        <row r="19">
          <cell r="E19">
            <v>857.1</v>
          </cell>
        </row>
        <row r="20">
          <cell r="G20">
            <v>3333.1666666666665</v>
          </cell>
        </row>
        <row r="23">
          <cell r="G23">
            <v>1602.49</v>
          </cell>
        </row>
        <row r="24">
          <cell r="E24">
            <v>228.56</v>
          </cell>
          <cell r="G24">
            <v>436.5496</v>
          </cell>
        </row>
        <row r="25">
          <cell r="G25">
            <v>2039.0396000000001</v>
          </cell>
        </row>
        <row r="28">
          <cell r="G28">
            <v>17.451134380453752</v>
          </cell>
        </row>
        <row r="29">
          <cell r="G29">
            <v>10.675600000000001</v>
          </cell>
        </row>
        <row r="30">
          <cell r="G30">
            <v>28.126734380453755</v>
          </cell>
        </row>
      </sheetData>
      <sheetData sheetId="28">
        <row r="12">
          <cell r="E12">
            <v>9</v>
          </cell>
        </row>
        <row r="13">
          <cell r="E13">
            <v>235</v>
          </cell>
        </row>
        <row r="16">
          <cell r="E16">
            <v>78.333333333333329</v>
          </cell>
        </row>
        <row r="17">
          <cell r="E17">
            <v>9.4</v>
          </cell>
        </row>
        <row r="18">
          <cell r="E18">
            <v>10.199999999999999</v>
          </cell>
        </row>
        <row r="19">
          <cell r="E19">
            <v>28.2</v>
          </cell>
        </row>
        <row r="20">
          <cell r="G20">
            <v>126.13333333333334</v>
          </cell>
        </row>
        <row r="23">
          <cell r="G23">
            <v>0</v>
          </cell>
        </row>
        <row r="24">
          <cell r="E24">
            <v>28.2</v>
          </cell>
          <cell r="G24">
            <v>19.175999999999998</v>
          </cell>
        </row>
        <row r="25">
          <cell r="G25">
            <v>19.175999999999998</v>
          </cell>
        </row>
        <row r="28">
          <cell r="G28">
            <v>1.8549019607843138</v>
          </cell>
        </row>
        <row r="29">
          <cell r="G29">
            <v>0.28199999999999997</v>
          </cell>
        </row>
        <row r="30">
          <cell r="G30">
            <v>2.1369019607843138</v>
          </cell>
        </row>
      </sheetData>
      <sheetData sheetId="29">
        <row r="8">
          <cell r="F8">
            <v>807.40740740740739</v>
          </cell>
        </row>
        <row r="9">
          <cell r="F9">
            <v>403.7037037037037</v>
          </cell>
        </row>
        <row r="10">
          <cell r="F10">
            <v>-141.33396822222221</v>
          </cell>
          <cell r="H10">
            <v>-0.17504665788990825</v>
          </cell>
        </row>
        <row r="16">
          <cell r="G16">
            <v>80.66</v>
          </cell>
        </row>
        <row r="17">
          <cell r="G17">
            <v>80.66</v>
          </cell>
          <cell r="H17">
            <v>9.9900000000000003E-2</v>
          </cell>
        </row>
        <row r="20">
          <cell r="G20">
            <v>137.25925925925927</v>
          </cell>
        </row>
        <row r="21">
          <cell r="G21">
            <v>72.666666666666657</v>
          </cell>
        </row>
        <row r="22">
          <cell r="G22">
            <v>2.59</v>
          </cell>
        </row>
        <row r="23">
          <cell r="G23">
            <v>28.776000000000003</v>
          </cell>
        </row>
        <row r="24">
          <cell r="G24">
            <v>0.95700000000000007</v>
          </cell>
        </row>
        <row r="25">
          <cell r="G25">
            <v>4.03</v>
          </cell>
        </row>
        <row r="26">
          <cell r="G26">
            <v>8.0849999999999991</v>
          </cell>
        </row>
        <row r="27">
          <cell r="G27" t="str">
            <v/>
          </cell>
        </row>
        <row r="28">
          <cell r="G28" t="str">
            <v/>
          </cell>
        </row>
        <row r="29">
          <cell r="G29">
            <v>254.36392592592594</v>
          </cell>
          <cell r="H29">
            <v>0.31503788990825693</v>
          </cell>
        </row>
        <row r="33">
          <cell r="G33">
            <v>165.29999999999998</v>
          </cell>
        </row>
        <row r="34">
          <cell r="G34">
            <v>165.29999999999998</v>
          </cell>
          <cell r="H34">
            <v>0.20472935779816512</v>
          </cell>
        </row>
        <row r="37">
          <cell r="G37">
            <v>18.26923076923077</v>
          </cell>
        </row>
        <row r="38">
          <cell r="G38">
            <v>6.5384615384615383</v>
          </cell>
        </row>
        <row r="39">
          <cell r="G39">
            <v>5.5769230769230766</v>
          </cell>
        </row>
        <row r="40">
          <cell r="G40">
            <v>30.384615384615383</v>
          </cell>
          <cell r="H40">
            <v>3.7632321806633735E-2</v>
          </cell>
        </row>
        <row r="41">
          <cell r="G41">
            <v>530.70854131054125</v>
          </cell>
          <cell r="H41">
            <v>0.65729956951305579</v>
          </cell>
        </row>
        <row r="44">
          <cell r="G44">
            <v>14.329130615384614</v>
          </cell>
        </row>
        <row r="45">
          <cell r="G45">
            <v>545.03767192592591</v>
          </cell>
          <cell r="H45">
            <v>0.67504665788990825</v>
          </cell>
        </row>
        <row r="46">
          <cell r="G46">
            <v>29.977071955925926</v>
          </cell>
        </row>
        <row r="47">
          <cell r="G47">
            <v>575.01474388185181</v>
          </cell>
          <cell r="H47">
            <v>0.71217422407385322</v>
          </cell>
        </row>
      </sheetData>
      <sheetData sheetId="30">
        <row r="18">
          <cell r="D18">
            <v>-15419.238306451614</v>
          </cell>
        </row>
      </sheetData>
      <sheetData sheetId="31">
        <row r="6">
          <cell r="F6">
            <v>12628</v>
          </cell>
          <cell r="I6">
            <v>16072</v>
          </cell>
          <cell r="J6">
            <v>3444</v>
          </cell>
        </row>
        <row r="7">
          <cell r="F7">
            <v>7734</v>
          </cell>
          <cell r="I7">
            <v>3867</v>
          </cell>
          <cell r="J7">
            <v>-3867</v>
          </cell>
        </row>
        <row r="8">
          <cell r="F8">
            <v>3020</v>
          </cell>
          <cell r="I8">
            <v>3775</v>
          </cell>
          <cell r="J8">
            <v>755</v>
          </cell>
        </row>
        <row r="9">
          <cell r="F9">
            <v>1638</v>
          </cell>
          <cell r="I9">
            <v>1638</v>
          </cell>
          <cell r="J9">
            <v>0</v>
          </cell>
        </row>
        <row r="10">
          <cell r="F10">
            <v>980</v>
          </cell>
          <cell r="I10">
            <v>588</v>
          </cell>
          <cell r="J10">
            <v>-392</v>
          </cell>
        </row>
        <row r="11">
          <cell r="F11" t="str">
            <v/>
          </cell>
          <cell r="I11" t="str">
            <v/>
          </cell>
          <cell r="J11" t="str">
            <v/>
          </cell>
        </row>
        <row r="12">
          <cell r="F12" t="str">
            <v/>
          </cell>
          <cell r="I12" t="str">
            <v/>
          </cell>
          <cell r="J12" t="str">
            <v/>
          </cell>
        </row>
        <row r="13">
          <cell r="F13">
            <v>26000</v>
          </cell>
          <cell r="I13">
            <v>25940</v>
          </cell>
          <cell r="J13">
            <v>-60</v>
          </cell>
        </row>
        <row r="15">
          <cell r="C15" t="str">
            <v/>
          </cell>
        </row>
        <row r="17">
          <cell r="C17" t="str">
            <v/>
          </cell>
        </row>
        <row r="19">
          <cell r="C19" t="str">
            <v>x</v>
          </cell>
        </row>
        <row r="22">
          <cell r="F22">
            <v>15.2</v>
          </cell>
          <cell r="I22">
            <v>13.3</v>
          </cell>
          <cell r="J22">
            <v>-1.8999999999999986</v>
          </cell>
        </row>
        <row r="23">
          <cell r="F23">
            <v>200.39999999999998</v>
          </cell>
          <cell r="I23">
            <v>260.52</v>
          </cell>
          <cell r="J23">
            <v>60.120000000000005</v>
          </cell>
        </row>
        <row r="24">
          <cell r="F24" t="str">
            <v/>
          </cell>
          <cell r="I24" t="str">
            <v/>
          </cell>
          <cell r="J24" t="str">
            <v/>
          </cell>
        </row>
        <row r="25">
          <cell r="F25" t="str">
            <v/>
          </cell>
          <cell r="I25" t="str">
            <v/>
          </cell>
          <cell r="J25" t="str">
            <v/>
          </cell>
        </row>
        <row r="26">
          <cell r="F26" t="str">
            <v/>
          </cell>
          <cell r="I26" t="str">
            <v/>
          </cell>
          <cell r="J26" t="str">
            <v/>
          </cell>
        </row>
        <row r="27">
          <cell r="F27">
            <v>215.59999999999997</v>
          </cell>
          <cell r="I27">
            <v>273.82</v>
          </cell>
          <cell r="J27">
            <v>58.220000000000006</v>
          </cell>
        </row>
        <row r="31">
          <cell r="F31">
            <v>108.45</v>
          </cell>
          <cell r="I31">
            <v>86.76</v>
          </cell>
          <cell r="J31">
            <v>-21.689999999999998</v>
          </cell>
        </row>
        <row r="32">
          <cell r="F32">
            <v>174.24</v>
          </cell>
          <cell r="I32">
            <v>327.36</v>
          </cell>
          <cell r="J32">
            <v>153.12</v>
          </cell>
        </row>
        <row r="33">
          <cell r="F33">
            <v>176.18</v>
          </cell>
          <cell r="I33">
            <v>214.36</v>
          </cell>
          <cell r="J33">
            <v>38.180000000000007</v>
          </cell>
        </row>
        <row r="34">
          <cell r="F34" t="str">
            <v/>
          </cell>
          <cell r="I34" t="str">
            <v/>
          </cell>
          <cell r="J34" t="str">
            <v/>
          </cell>
        </row>
        <row r="35">
          <cell r="F35" t="str">
            <v/>
          </cell>
          <cell r="I35" t="str">
            <v/>
          </cell>
          <cell r="J35" t="str">
            <v/>
          </cell>
        </row>
        <row r="36">
          <cell r="F36">
            <v>458.87</v>
          </cell>
          <cell r="I36">
            <v>628.48</v>
          </cell>
          <cell r="J36">
            <v>169.61</v>
          </cell>
        </row>
        <row r="38">
          <cell r="C38" t="str">
            <v>x</v>
          </cell>
        </row>
        <row r="40">
          <cell r="C40" t="str">
            <v/>
          </cell>
        </row>
        <row r="42">
          <cell r="C42" t="str">
            <v/>
          </cell>
        </row>
        <row r="45">
          <cell r="F45">
            <v>207.9</v>
          </cell>
          <cell r="I45">
            <v>478.5</v>
          </cell>
          <cell r="J45">
            <v>270.60000000000002</v>
          </cell>
        </row>
        <row r="46">
          <cell r="F46">
            <v>74.2</v>
          </cell>
          <cell r="I46">
            <v>169.60000000000002</v>
          </cell>
          <cell r="J46">
            <v>95.40000000000002</v>
          </cell>
        </row>
        <row r="47">
          <cell r="F47">
            <v>80.91</v>
          </cell>
          <cell r="I47">
            <v>19.22</v>
          </cell>
          <cell r="J47">
            <v>-61.69</v>
          </cell>
        </row>
        <row r="48">
          <cell r="F48" t="str">
            <v/>
          </cell>
          <cell r="I48" t="str">
            <v/>
          </cell>
          <cell r="J48" t="str">
            <v/>
          </cell>
        </row>
        <row r="49">
          <cell r="F49" t="str">
            <v/>
          </cell>
          <cell r="I49" t="str">
            <v/>
          </cell>
          <cell r="J49" t="str">
            <v/>
          </cell>
        </row>
        <row r="50">
          <cell r="F50">
            <v>363.01</v>
          </cell>
          <cell r="I50">
            <v>667.32</v>
          </cell>
          <cell r="J50">
            <v>304.31000000000006</v>
          </cell>
        </row>
      </sheetData>
      <sheetData sheetId="32">
        <row r="6">
          <cell r="B6" t="str">
            <v>Grundverbesserungen</v>
          </cell>
        </row>
        <row r="7">
          <cell r="B7" t="str">
            <v>Fixe Bewässerungsanlage</v>
          </cell>
          <cell r="G7">
            <v>26</v>
          </cell>
          <cell r="H7">
            <v>1</v>
          </cell>
          <cell r="I7">
            <v>0</v>
          </cell>
          <cell r="J7">
            <v>1</v>
          </cell>
        </row>
        <row r="8">
          <cell r="B8" t="str">
            <v/>
          </cell>
          <cell r="G8" t="str">
            <v/>
          </cell>
          <cell r="H8" t="str">
            <v/>
          </cell>
          <cell r="I8" t="str">
            <v/>
          </cell>
          <cell r="J8" t="str">
            <v/>
          </cell>
        </row>
        <row r="9">
          <cell r="B9" t="str">
            <v>Summe Grundverbesserungen</v>
          </cell>
          <cell r="H9">
            <v>1</v>
          </cell>
          <cell r="I9">
            <v>0</v>
          </cell>
          <cell r="J9">
            <v>1</v>
          </cell>
        </row>
        <row r="10">
          <cell r="B10" t="str">
            <v>Gebäude und bauliche Anlagen</v>
          </cell>
        </row>
        <row r="11">
          <cell r="B11" t="str">
            <v>Schuppen</v>
          </cell>
          <cell r="G11">
            <v>23</v>
          </cell>
          <cell r="H11">
            <v>8619.6580645161303</v>
          </cell>
          <cell r="I11">
            <v>861.96580645161293</v>
          </cell>
          <cell r="J11">
            <v>7757.6922580645169</v>
          </cell>
        </row>
        <row r="12">
          <cell r="B12" t="str">
            <v>Masthühnerstall (Flachstall)</v>
          </cell>
          <cell r="G12">
            <v>14</v>
          </cell>
          <cell r="H12">
            <v>15422.400000000001</v>
          </cell>
          <cell r="I12">
            <v>856.80000000000007</v>
          </cell>
          <cell r="J12">
            <v>14565.600000000002</v>
          </cell>
        </row>
        <row r="13">
          <cell r="B13" t="str">
            <v>Rinderstall mit Bergeraum</v>
          </cell>
          <cell r="G13">
            <v>6</v>
          </cell>
          <cell r="H13">
            <v>76267.100000000006</v>
          </cell>
          <cell r="I13">
            <v>2243.15</v>
          </cell>
          <cell r="J13">
            <v>74023.950000000012</v>
          </cell>
        </row>
        <row r="14">
          <cell r="B14" t="str">
            <v>Verarbeitungsraum</v>
          </cell>
          <cell r="G14">
            <v>6</v>
          </cell>
          <cell r="H14">
            <v>19987.239999999998</v>
          </cell>
          <cell r="I14">
            <v>1051.96</v>
          </cell>
          <cell r="J14">
            <v>18935.28</v>
          </cell>
        </row>
        <row r="15">
          <cell r="B15" t="str">
            <v>Garage mit Lagerraum</v>
          </cell>
          <cell r="G15">
            <v>27</v>
          </cell>
          <cell r="H15">
            <v>1</v>
          </cell>
          <cell r="I15">
            <v>0</v>
          </cell>
          <cell r="J15">
            <v>1</v>
          </cell>
        </row>
        <row r="16">
          <cell r="B16" t="str">
            <v/>
          </cell>
          <cell r="G16" t="str">
            <v/>
          </cell>
          <cell r="H16" t="str">
            <v/>
          </cell>
          <cell r="I16" t="str">
            <v/>
          </cell>
          <cell r="J16" t="str">
            <v/>
          </cell>
        </row>
        <row r="17">
          <cell r="B17" t="str">
            <v/>
          </cell>
          <cell r="G17" t="str">
            <v/>
          </cell>
          <cell r="H17" t="str">
            <v/>
          </cell>
          <cell r="I17" t="str">
            <v/>
          </cell>
          <cell r="J17" t="str">
            <v/>
          </cell>
        </row>
        <row r="18">
          <cell r="B18" t="str">
            <v/>
          </cell>
          <cell r="G18" t="str">
            <v/>
          </cell>
          <cell r="H18" t="str">
            <v/>
          </cell>
          <cell r="I18" t="str">
            <v/>
          </cell>
          <cell r="J18" t="str">
            <v/>
          </cell>
        </row>
        <row r="19">
          <cell r="B19" t="str">
            <v>Summe Gebäude und bauliche Anlagen</v>
          </cell>
          <cell r="H19">
            <v>120297.39806451614</v>
          </cell>
          <cell r="I19">
            <v>5013.8758064516132</v>
          </cell>
          <cell r="J19">
            <v>115283.52225806453</v>
          </cell>
        </row>
        <row r="20">
          <cell r="B20" t="str">
            <v>Maschinen und Geräte</v>
          </cell>
        </row>
        <row r="21">
          <cell r="B21" t="str">
            <v>Allradtraktor</v>
          </cell>
          <cell r="G21">
            <v>5</v>
          </cell>
          <cell r="H21">
            <v>19046.666666666664</v>
          </cell>
          <cell r="I21">
            <v>1904.6666666666667</v>
          </cell>
          <cell r="J21">
            <v>17141.999999999996</v>
          </cell>
        </row>
        <row r="22">
          <cell r="B22" t="str">
            <v>Standardtraktor</v>
          </cell>
          <cell r="G22">
            <v>10</v>
          </cell>
          <cell r="H22">
            <v>6620.25</v>
          </cell>
          <cell r="I22">
            <v>1103.375</v>
          </cell>
          <cell r="J22">
            <v>5516.875</v>
          </cell>
        </row>
        <row r="23">
          <cell r="B23" t="str">
            <v/>
          </cell>
          <cell r="G23" t="str">
            <v/>
          </cell>
          <cell r="H23" t="str">
            <v/>
          </cell>
          <cell r="I23" t="str">
            <v/>
          </cell>
          <cell r="J23" t="str">
            <v/>
          </cell>
        </row>
        <row r="24">
          <cell r="B24" t="str">
            <v>PKW-Anhänger</v>
          </cell>
          <cell r="G24">
            <v>9</v>
          </cell>
          <cell r="H24">
            <v>235</v>
          </cell>
          <cell r="I24">
            <v>78.333333333333329</v>
          </cell>
          <cell r="J24">
            <v>156.66666666666669</v>
          </cell>
        </row>
        <row r="25">
          <cell r="B25" t="str">
            <v>Ladewagen</v>
          </cell>
          <cell r="G25">
            <v>21</v>
          </cell>
          <cell r="H25">
            <v>1</v>
          </cell>
          <cell r="I25">
            <v>0</v>
          </cell>
          <cell r="J25">
            <v>1</v>
          </cell>
        </row>
        <row r="26">
          <cell r="B26" t="str">
            <v>Kreiselschwader</v>
          </cell>
          <cell r="G26">
            <v>9</v>
          </cell>
          <cell r="H26">
            <v>477.75</v>
          </cell>
          <cell r="I26">
            <v>159.25</v>
          </cell>
          <cell r="J26">
            <v>318.5</v>
          </cell>
        </row>
        <row r="27">
          <cell r="B27" t="str">
            <v>Kreiselzetter</v>
          </cell>
          <cell r="G27">
            <v>16</v>
          </cell>
          <cell r="H27">
            <v>1</v>
          </cell>
          <cell r="I27">
            <v>0</v>
          </cell>
          <cell r="J27">
            <v>1</v>
          </cell>
        </row>
        <row r="28">
          <cell r="B28" t="str">
            <v>Mähwerk</v>
          </cell>
          <cell r="G28">
            <v>10</v>
          </cell>
          <cell r="H28">
            <v>885.66666666666674</v>
          </cell>
          <cell r="I28">
            <v>177.13333333333333</v>
          </cell>
          <cell r="J28">
            <v>708.53333333333342</v>
          </cell>
        </row>
        <row r="29">
          <cell r="B29" t="str">
            <v>Motormäher</v>
          </cell>
          <cell r="G29">
            <v>11</v>
          </cell>
          <cell r="H29">
            <v>357.1875</v>
          </cell>
          <cell r="I29">
            <v>71.4375</v>
          </cell>
          <cell r="J29">
            <v>285.75</v>
          </cell>
        </row>
        <row r="30">
          <cell r="B30" t="str">
            <v>Gebläse</v>
          </cell>
          <cell r="G30">
            <v>28</v>
          </cell>
          <cell r="H30">
            <v>1</v>
          </cell>
          <cell r="I30">
            <v>0</v>
          </cell>
          <cell r="J30">
            <v>1</v>
          </cell>
        </row>
        <row r="31">
          <cell r="B31" t="str">
            <v>Vakuumfass</v>
          </cell>
          <cell r="G31">
            <v>13</v>
          </cell>
          <cell r="H31">
            <v>216.5333333333333</v>
          </cell>
          <cell r="I31">
            <v>108.26666666666667</v>
          </cell>
          <cell r="J31">
            <v>108.26666666666664</v>
          </cell>
        </row>
        <row r="32">
          <cell r="B32" t="str">
            <v>Miststreuer</v>
          </cell>
          <cell r="G32">
            <v>13</v>
          </cell>
          <cell r="H32">
            <v>227.5</v>
          </cell>
          <cell r="I32">
            <v>227.5</v>
          </cell>
          <cell r="J32">
            <v>1</v>
          </cell>
        </row>
        <row r="33">
          <cell r="B33" t="str">
            <v>Butterfass</v>
          </cell>
          <cell r="G33">
            <v>14</v>
          </cell>
          <cell r="H33">
            <v>248.39999999999998</v>
          </cell>
          <cell r="I33">
            <v>41.4</v>
          </cell>
          <cell r="J33">
            <v>206.99999999999997</v>
          </cell>
        </row>
        <row r="34">
          <cell r="B34" t="str">
            <v>Zentrifuge</v>
          </cell>
          <cell r="G34">
            <v>26</v>
          </cell>
          <cell r="H34">
            <v>1</v>
          </cell>
          <cell r="I34">
            <v>0</v>
          </cell>
          <cell r="J34">
            <v>1</v>
          </cell>
        </row>
        <row r="35">
          <cell r="B35" t="str">
            <v>Pasteur</v>
          </cell>
          <cell r="G35">
            <v>23</v>
          </cell>
          <cell r="H35">
            <v>1</v>
          </cell>
          <cell r="I35">
            <v>0</v>
          </cell>
          <cell r="J35">
            <v>1</v>
          </cell>
        </row>
        <row r="36">
          <cell r="B36" t="str">
            <v>Motorsäge</v>
          </cell>
          <cell r="G36">
            <v>16</v>
          </cell>
          <cell r="H36">
            <v>1</v>
          </cell>
          <cell r="I36">
            <v>0</v>
          </cell>
          <cell r="J36">
            <v>1</v>
          </cell>
        </row>
        <row r="37">
          <cell r="B37" t="str">
            <v>Pflug</v>
          </cell>
          <cell r="G37">
            <v>26</v>
          </cell>
          <cell r="H37">
            <v>1</v>
          </cell>
          <cell r="I37">
            <v>0</v>
          </cell>
          <cell r="J37">
            <v>1</v>
          </cell>
        </row>
        <row r="38">
          <cell r="B38" t="str">
            <v>Ackerschleppe</v>
          </cell>
          <cell r="G38">
            <v>16</v>
          </cell>
          <cell r="H38">
            <v>1</v>
          </cell>
          <cell r="I38">
            <v>0</v>
          </cell>
          <cell r="J38">
            <v>1</v>
          </cell>
        </row>
        <row r="39">
          <cell r="B39" t="str">
            <v>Frontlader</v>
          </cell>
          <cell r="G39">
            <v>30</v>
          </cell>
          <cell r="H39">
            <v>1</v>
          </cell>
          <cell r="I39">
            <v>0</v>
          </cell>
          <cell r="J39">
            <v>1</v>
          </cell>
        </row>
        <row r="40">
          <cell r="B40" t="str">
            <v/>
          </cell>
          <cell r="G40" t="str">
            <v/>
          </cell>
          <cell r="H40" t="str">
            <v/>
          </cell>
          <cell r="I40" t="str">
            <v/>
          </cell>
          <cell r="J40" t="str">
            <v/>
          </cell>
        </row>
        <row r="41">
          <cell r="B41" t="str">
            <v>Summe Maschinen und Geräte</v>
          </cell>
          <cell r="H41">
            <v>28323.954166666666</v>
          </cell>
          <cell r="I41">
            <v>3871.3625000000006</v>
          </cell>
          <cell r="J41">
            <v>24453.591666666664</v>
          </cell>
        </row>
      </sheetData>
      <sheetData sheetId="33">
        <row r="11">
          <cell r="A11" t="str">
            <v>Gesamte(r) Schuppen</v>
          </cell>
        </row>
        <row r="14">
          <cell r="B14" t="str">
            <v>Kubatur</v>
          </cell>
          <cell r="C14" t="str">
            <v>Sc</v>
          </cell>
          <cell r="F14" t="str">
            <v>Länge</v>
          </cell>
          <cell r="H14" t="str">
            <v>x</v>
          </cell>
          <cell r="J14" t="str">
            <v>Breite</v>
          </cell>
          <cell r="L14" t="str">
            <v>x</v>
          </cell>
          <cell r="N14" t="str">
            <v>Höhe</v>
          </cell>
          <cell r="P14" t="str">
            <v>Formel</v>
          </cell>
        </row>
        <row r="17">
          <cell r="B17" t="str">
            <v>Kubatur</v>
          </cell>
          <cell r="F17">
            <v>1530</v>
          </cell>
          <cell r="P17" t="str">
            <v>Ergebnis</v>
          </cell>
        </row>
        <row r="21">
          <cell r="B21" t="str">
            <v>Alter</v>
          </cell>
          <cell r="F21" t="str">
            <v>akt. Jahr</v>
          </cell>
          <cell r="H21" t="str">
            <v>-</v>
          </cell>
          <cell r="J21" t="str">
            <v>AJ</v>
          </cell>
        </row>
        <row r="24">
          <cell r="B24" t="str">
            <v>Alter</v>
          </cell>
          <cell r="F24">
            <v>21</v>
          </cell>
          <cell r="L24" t="str">
            <v/>
          </cell>
          <cell r="N24" t="str">
            <v>≤ 1/4 Nutzungsdauer</v>
          </cell>
        </row>
        <row r="26">
          <cell r="L26" t="str">
            <v/>
          </cell>
          <cell r="N26" t="str">
            <v>&gt; 1/4 und &lt;1/2 Nutzungsdauer</v>
          </cell>
        </row>
        <row r="28">
          <cell r="L28" t="str">
            <v>x</v>
          </cell>
          <cell r="N28" t="str">
            <v>≥ 1/2 Nutzungsdauer</v>
          </cell>
        </row>
        <row r="32">
          <cell r="A32" t="str">
            <v>Eingebaute(r) Masthühnerstall (Flachstall)</v>
          </cell>
        </row>
        <row r="34">
          <cell r="B34" t="str">
            <v>Kubatur</v>
          </cell>
          <cell r="C34" t="str">
            <v>Ma</v>
          </cell>
          <cell r="F34">
            <v>357</v>
          </cell>
        </row>
        <row r="37">
          <cell r="B37" t="str">
            <v>Alter</v>
          </cell>
          <cell r="F37">
            <v>13</v>
          </cell>
          <cell r="L37" t="str">
            <v/>
          </cell>
          <cell r="N37" t="str">
            <v>≤ 1/4 Nutzungsdauer</v>
          </cell>
        </row>
        <row r="39">
          <cell r="L39" t="str">
            <v>x</v>
          </cell>
          <cell r="N39" t="str">
            <v>&gt; 1/4 und &lt;1/2 Nutzungsdauer</v>
          </cell>
        </row>
        <row r="41">
          <cell r="L41" t="str">
            <v/>
          </cell>
          <cell r="N41" t="str">
            <v>≥ 1/2 Nutzungsdauer</v>
          </cell>
        </row>
        <row r="45">
          <cell r="N45">
            <v>0.8</v>
          </cell>
        </row>
        <row r="48">
          <cell r="F48" t="str">
            <v>Kubatur</v>
          </cell>
          <cell r="H48" t="str">
            <v>x</v>
          </cell>
          <cell r="J48" t="str">
            <v>red. BK-Richtsatz</v>
          </cell>
        </row>
        <row r="51">
          <cell r="F51">
            <v>26560.800000000003</v>
          </cell>
        </row>
        <row r="54">
          <cell r="N54" t="str">
            <v>Bergeraum (erdlastig)</v>
          </cell>
        </row>
        <row r="58">
          <cell r="Q58" t="str">
            <v>-</v>
          </cell>
        </row>
        <row r="61">
          <cell r="R61" t="str">
            <v>Bergeraum (erdlastig)</v>
          </cell>
        </row>
        <row r="65">
          <cell r="R65" t="str">
            <v>Be</v>
          </cell>
        </row>
        <row r="67">
          <cell r="X67">
            <v>0.67</v>
          </cell>
        </row>
        <row r="69">
          <cell r="T69">
            <v>26720.940000000002</v>
          </cell>
        </row>
        <row r="72">
          <cell r="A72" t="str">
            <v>Eingebaute(r) Masthühnerstall (Flachstall)</v>
          </cell>
          <cell r="N72" t="str">
            <v>Bergeraum (erdlastig)</v>
          </cell>
        </row>
        <row r="75">
          <cell r="B75" t="str">
            <v>jAfa</v>
          </cell>
          <cell r="F75" t="str">
            <v>WW</v>
          </cell>
        </row>
        <row r="78">
          <cell r="C78" t="str">
            <v>Ma</v>
          </cell>
          <cell r="F78" t="str">
            <v>ND</v>
          </cell>
        </row>
        <row r="81">
          <cell r="F81">
            <v>856.80000000000007</v>
          </cell>
          <cell r="Q81" t="str">
            <v>jAfa</v>
          </cell>
          <cell r="R81" t="str">
            <v>Be</v>
          </cell>
          <cell r="T81">
            <v>861.96580645161293</v>
          </cell>
        </row>
        <row r="84">
          <cell r="B84" t="str">
            <v>bAfa</v>
          </cell>
          <cell r="F84" t="str">
            <v>jährl. Afa</v>
          </cell>
          <cell r="H84" t="str">
            <v>x</v>
          </cell>
          <cell r="J84" t="str">
            <v>Alter</v>
          </cell>
        </row>
        <row r="89">
          <cell r="F89">
            <v>11138.400000000001</v>
          </cell>
          <cell r="Q89" t="str">
            <v>bAfa</v>
          </cell>
          <cell r="T89">
            <v>18101.281935483872</v>
          </cell>
        </row>
        <row r="94">
          <cell r="B94" t="str">
            <v>ZW1.1.</v>
          </cell>
          <cell r="F94" t="str">
            <v>WW</v>
          </cell>
          <cell r="H94" t="str">
            <v>-</v>
          </cell>
          <cell r="J94" t="str">
            <v>bish. Afa</v>
          </cell>
        </row>
        <row r="97">
          <cell r="F97">
            <v>15422.400000000001</v>
          </cell>
          <cell r="Q97" t="str">
            <v>ZW1.1.</v>
          </cell>
          <cell r="T97">
            <v>8619.6580645161303</v>
          </cell>
        </row>
        <row r="100">
          <cell r="B100" t="str">
            <v>ZW31.12.</v>
          </cell>
          <cell r="F100" t="str">
            <v>ZW1.1.</v>
          </cell>
          <cell r="H100" t="str">
            <v>-</v>
          </cell>
          <cell r="J100" t="str">
            <v>jährl. Afa</v>
          </cell>
        </row>
        <row r="103">
          <cell r="F103">
            <v>14565.600000000002</v>
          </cell>
          <cell r="Q103" t="str">
            <v>ZW31.12.</v>
          </cell>
          <cell r="T103">
            <v>7757.6922580645169</v>
          </cell>
        </row>
      </sheetData>
      <sheetData sheetId="3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5.bin"/><Relationship Id="rId4" Type="http://schemas.openxmlformats.org/officeDocument/2006/relationships/comments" Target="../comments13.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tabColor indexed="12"/>
  </sheetPr>
  <dimension ref="A1:T896"/>
  <sheetViews>
    <sheetView showGridLines="0" showRowColHeaders="0" workbookViewId="0">
      <pane ySplit="7" topLeftCell="A844" activePane="bottomLeft" state="frozen"/>
      <selection activeCell="F326" sqref="F326"/>
      <selection pane="bottomLeft" activeCell="L1" sqref="L1"/>
    </sheetView>
  </sheetViews>
  <sheetFormatPr baseColWidth="10" defaultColWidth="0" defaultRowHeight="0" customHeight="1" zeroHeight="1" x14ac:dyDescent="0.2"/>
  <cols>
    <col min="1" max="1" width="2.28515625" style="1" customWidth="1"/>
    <col min="2" max="2" width="33.7109375" style="1" customWidth="1"/>
    <col min="3" max="3" width="8.7109375" style="1" customWidth="1"/>
    <col min="4" max="4" width="10.7109375" style="1" customWidth="1"/>
    <col min="5" max="5" width="1.140625" style="1" customWidth="1"/>
    <col min="6" max="6" width="10" style="1" customWidth="1"/>
    <col min="7" max="7" width="1.140625" style="1" customWidth="1"/>
    <col min="8" max="8" width="10.7109375" style="112" customWidth="1"/>
    <col min="9" max="9" width="13.85546875" style="1" customWidth="1"/>
    <col min="10" max="10" width="6.7109375" style="1" customWidth="1"/>
    <col min="11" max="11" width="1.7109375" style="1" customWidth="1"/>
    <col min="12" max="12" width="6.7109375" style="1" customWidth="1"/>
    <col min="13" max="13" width="4.7109375" style="1" hidden="1" customWidth="1"/>
    <col min="14" max="14" width="2.7109375" style="1" hidden="1" customWidth="1"/>
    <col min="15" max="15" width="4.7109375" style="1" hidden="1" customWidth="1"/>
    <col min="16" max="16" width="10.7109375" style="1" hidden="1" customWidth="1"/>
    <col min="17" max="17" width="1.140625" style="1" hidden="1" customWidth="1"/>
    <col min="18" max="18" width="10" style="1" hidden="1" customWidth="1"/>
    <col min="19" max="19" width="1.140625" style="1" hidden="1" customWidth="1"/>
    <col min="20" max="20" width="10.7109375" style="112" hidden="1" customWidth="1"/>
    <col min="21" max="16384" width="8.7109375" style="1" hidden="1"/>
  </cols>
  <sheetData>
    <row r="1" spans="1:20" ht="32.25" customHeight="1" thickTop="1" thickBot="1" x14ac:dyDescent="0.5">
      <c r="A1" s="868" t="s">
        <v>0</v>
      </c>
      <c r="B1" s="869"/>
      <c r="C1" s="869"/>
      <c r="D1" s="869"/>
      <c r="E1" s="869"/>
      <c r="F1" s="869"/>
      <c r="G1" s="869"/>
      <c r="H1" s="870"/>
      <c r="I1" s="869"/>
      <c r="J1" s="877" t="s">
        <v>532</v>
      </c>
      <c r="K1" s="869"/>
      <c r="L1" s="871" t="s">
        <v>11</v>
      </c>
      <c r="M1" s="1022" t="s">
        <v>8</v>
      </c>
      <c r="N1" s="1022"/>
      <c r="O1" s="1022"/>
      <c r="P1" s="959" t="s">
        <v>670</v>
      </c>
      <c r="Q1" s="960"/>
      <c r="R1" s="961">
        <v>5</v>
      </c>
      <c r="S1" s="959" t="s">
        <v>671</v>
      </c>
      <c r="T1" s="962"/>
    </row>
    <row r="2" spans="1:20" ht="32.25" customHeight="1" thickTop="1" x14ac:dyDescent="0.2">
      <c r="A2" s="905"/>
      <c r="B2" s="906"/>
      <c r="C2" s="905"/>
      <c r="D2" s="905"/>
      <c r="E2" s="905"/>
      <c r="F2" s="905"/>
      <c r="G2" s="905"/>
      <c r="H2" s="905"/>
      <c r="I2" s="905"/>
      <c r="J2" s="905"/>
      <c r="K2" s="905"/>
      <c r="L2" s="905"/>
      <c r="N2" s="878" t="str">
        <f>N3</f>
        <v>x</v>
      </c>
      <c r="P2" s="905"/>
      <c r="Q2" s="905"/>
      <c r="R2" s="905"/>
      <c r="S2" s="905"/>
      <c r="T2" s="905"/>
    </row>
    <row r="3" spans="1:20" ht="12.75" x14ac:dyDescent="0.2">
      <c r="A3" s="2"/>
      <c r="B3" s="3" t="s">
        <v>1</v>
      </c>
      <c r="E3" s="4"/>
      <c r="F3" s="4"/>
      <c r="G3" s="4"/>
      <c r="H3" s="5"/>
      <c r="I3" s="6"/>
      <c r="J3" s="7"/>
      <c r="K3" s="6"/>
      <c r="L3" s="8"/>
      <c r="N3" s="880" t="str">
        <f>IF($L$1="","",$L$1)</f>
        <v>x</v>
      </c>
      <c r="Q3" s="4"/>
      <c r="R3" s="4"/>
      <c r="S3" s="4"/>
      <c r="T3" s="5"/>
    </row>
    <row r="4" spans="1:20" ht="3.95" customHeight="1" x14ac:dyDescent="0.2">
      <c r="B4" s="3"/>
      <c r="E4" s="4"/>
      <c r="F4" s="4"/>
      <c r="G4" s="4"/>
      <c r="H4" s="5"/>
      <c r="I4" s="6"/>
      <c r="J4" s="7"/>
      <c r="K4" s="6"/>
      <c r="L4" s="8"/>
      <c r="N4" s="879" t="str">
        <f>N3</f>
        <v>x</v>
      </c>
      <c r="Q4" s="4"/>
      <c r="R4" s="4"/>
      <c r="S4" s="4"/>
      <c r="T4" s="5"/>
    </row>
    <row r="5" spans="1:20" ht="12.75" x14ac:dyDescent="0.2">
      <c r="A5" s="9"/>
      <c r="B5" s="3" t="s">
        <v>2</v>
      </c>
      <c r="E5" s="4"/>
      <c r="F5" s="4"/>
      <c r="G5" s="4"/>
      <c r="H5" s="5"/>
      <c r="I5" s="6"/>
      <c r="J5" s="7"/>
      <c r="K5" s="6"/>
      <c r="L5" s="8"/>
      <c r="N5" s="880" t="str">
        <f>IF($L$1="","",$L$1)</f>
        <v>x</v>
      </c>
      <c r="Q5" s="4"/>
      <c r="R5" s="4"/>
      <c r="S5" s="4"/>
      <c r="T5" s="5"/>
    </row>
    <row r="6" spans="1:20" ht="12.75" x14ac:dyDescent="0.2">
      <c r="E6" s="4"/>
      <c r="F6" s="4"/>
      <c r="G6" s="4"/>
      <c r="H6" s="5"/>
      <c r="I6" s="6"/>
      <c r="J6" s="7"/>
      <c r="K6" s="6"/>
      <c r="L6" s="8"/>
      <c r="N6" s="879" t="str">
        <f>N5</f>
        <v>x</v>
      </c>
      <c r="Q6" s="4"/>
      <c r="R6" s="4"/>
      <c r="S6" s="4"/>
      <c r="T6" s="5"/>
    </row>
    <row r="7" spans="1:20" ht="22.5" x14ac:dyDescent="0.2">
      <c r="A7" s="10" t="s">
        <v>3</v>
      </c>
      <c r="B7" s="11"/>
      <c r="C7" s="12"/>
      <c r="D7" s="13" t="s">
        <v>4</v>
      </c>
      <c r="E7" s="13"/>
      <c r="F7" s="14" t="s">
        <v>5</v>
      </c>
      <c r="G7" s="12"/>
      <c r="H7" s="14" t="s">
        <v>6</v>
      </c>
      <c r="I7" s="15" t="str">
        <f>"Fehler"</f>
        <v>Fehler</v>
      </c>
      <c r="J7" s="16" t="s">
        <v>7</v>
      </c>
      <c r="K7" s="16"/>
      <c r="L7" s="16"/>
      <c r="N7" s="881" t="str">
        <f>IF($L$1="","",$L$1)</f>
        <v>x</v>
      </c>
      <c r="P7" s="13" t="s">
        <v>4</v>
      </c>
      <c r="Q7" s="13"/>
      <c r="R7" s="14" t="s">
        <v>5</v>
      </c>
      <c r="S7" s="12"/>
      <c r="T7" s="14" t="s">
        <v>6</v>
      </c>
    </row>
    <row r="8" spans="1:20" ht="12.75" customHeight="1" x14ac:dyDescent="0.2">
      <c r="A8" s="17" t="s">
        <v>9</v>
      </c>
      <c r="B8" s="17" t="s">
        <v>10</v>
      </c>
      <c r="C8" s="18"/>
      <c r="D8" s="19"/>
      <c r="H8" s="20"/>
      <c r="I8" s="21"/>
      <c r="J8" s="22"/>
      <c r="K8" s="23"/>
      <c r="L8" s="24"/>
      <c r="N8" s="880" t="str">
        <f>IF($L$1="","",$L$1)</f>
        <v>x</v>
      </c>
      <c r="P8" s="19"/>
      <c r="T8" s="20"/>
    </row>
    <row r="9" spans="1:20" ht="12.75" hidden="1" customHeight="1" x14ac:dyDescent="0.2">
      <c r="B9" s="25" t="str">
        <f>IF(Ist!B6="","-",Ist!B6)</f>
        <v>DB Milchkuh</v>
      </c>
      <c r="C9" s="18"/>
      <c r="D9" s="26">
        <f>IF('[1]E-Ist'!$E6="","",'[1]E-Ist'!$E6)</f>
        <v>21108.100000000002</v>
      </c>
      <c r="E9" s="27"/>
      <c r="H9" s="28">
        <f>IF(Ist!$E6="","",Ist!$E6)</f>
        <v>21108.100000000002</v>
      </c>
      <c r="I9" s="29" t="str">
        <f t="shared" ref="I9:I22" si="0">IF(AND(P9="",T9=""),"",IF(T9=P9,"Richtig!",IF(T9="","Fehlt","Falsch")))</f>
        <v>Richtig!</v>
      </c>
      <c r="J9" s="30" t="str">
        <f t="shared" ref="J9:J23" si="1">IF(OR(B9="-",N9="",AND(P9="",T9="")),"-",IF(I9="Richtig!",1,IF(I9="Formel: OK",0.5,IF(OR(I9="Falsch",I9="Fehlt"),0,""))))</f>
        <v>-</v>
      </c>
      <c r="K9" s="23" t="str">
        <f>IF(L9="","","│")</f>
        <v/>
      </c>
      <c r="L9" s="24" t="str">
        <f t="shared" ref="L9:L40" si="2">IF(OR(B9="-",N9="",AND(P9="",T9="")),"",1)</f>
        <v/>
      </c>
      <c r="N9" s="882"/>
      <c r="P9" s="26">
        <f>IF('[1]E-Ist'!$E6="","",'[1]E-Ist'!$E6)</f>
        <v>21108.100000000002</v>
      </c>
      <c r="Q9" s="27"/>
      <c r="T9" s="28">
        <f>IF(Ist!$E6="","",Ist!$E6)</f>
        <v>21108.100000000002</v>
      </c>
    </row>
    <row r="10" spans="1:20" ht="12.75" customHeight="1" x14ac:dyDescent="0.2">
      <c r="B10" s="25" t="str">
        <f>IF(Ist!B7="","-",Ist!B7)</f>
        <v>DB Kalbinnen</v>
      </c>
      <c r="C10" s="18"/>
      <c r="D10" s="26">
        <f>IF('[1]E-Ist'!$E7="","",'[1]E-Ist'!$E7)</f>
        <v>3186.4</v>
      </c>
      <c r="E10" s="27"/>
      <c r="F10" s="27"/>
      <c r="H10" s="28" t="str">
        <f>IF(Ist!$E7="","",Ist!$E7)</f>
        <v/>
      </c>
      <c r="I10" s="29" t="str">
        <f t="shared" si="0"/>
        <v>Fehlt</v>
      </c>
      <c r="J10" s="30">
        <f t="shared" si="1"/>
        <v>0</v>
      </c>
      <c r="K10" s="23" t="str">
        <f t="shared" ref="K10:K73" si="3">IF(L10="","","│")</f>
        <v>│</v>
      </c>
      <c r="L10" s="24">
        <f t="shared" si="2"/>
        <v>1</v>
      </c>
      <c r="N10" s="882" t="str">
        <f>IF($L$1="","",$L$1)</f>
        <v>x</v>
      </c>
      <c r="P10" s="26">
        <f>IF(ISTEXT(D10),D10,IF(D10="","",ROUND(D10,$R$1)))</f>
        <v>3186.4</v>
      </c>
      <c r="Q10" s="27" t="str">
        <f t="shared" ref="Q10:Q73" si="4">IF(ISTEXT(E10),E10,IF(E10="","",ROUND(E10,$R$1)))</f>
        <v/>
      </c>
      <c r="R10" s="27" t="str">
        <f t="shared" ref="R10:R73" si="5">IF(ISTEXT(F10),F10,IF(F10="","",ROUND(F10,$R$1)))</f>
        <v/>
      </c>
      <c r="S10" s="1" t="str">
        <f t="shared" ref="S10:S73" si="6">IF(ISTEXT(G10),G10,IF(G10="","",ROUND(G10,$R$1)))</f>
        <v/>
      </c>
      <c r="T10" s="28" t="str">
        <f t="shared" ref="T10:T73" si="7">IF(ISTEXT(H10),H10,IF(H10="","",ROUND(H10,$R$1)))</f>
        <v/>
      </c>
    </row>
    <row r="11" spans="1:20" ht="12.75" hidden="1" customHeight="1" x14ac:dyDescent="0.2">
      <c r="B11" s="25" t="str">
        <f>IF(Ist!B8="","-",Ist!B8)</f>
        <v>DB Milchkälber</v>
      </c>
      <c r="C11" s="18"/>
      <c r="D11" s="26">
        <f>IF('[1]E-Ist'!$E8="","",'[1]E-Ist'!$E8)</f>
        <v>41</v>
      </c>
      <c r="E11" s="27"/>
      <c r="F11" s="27"/>
      <c r="H11" s="28">
        <f>IF(Ist!$E8="","",Ist!$E8)</f>
        <v>41</v>
      </c>
      <c r="I11" s="29" t="str">
        <f t="shared" si="0"/>
        <v>Richtig!</v>
      </c>
      <c r="J11" s="30" t="str">
        <f t="shared" si="1"/>
        <v>-</v>
      </c>
      <c r="K11" s="23" t="str">
        <f t="shared" si="3"/>
        <v/>
      </c>
      <c r="L11" s="24" t="str">
        <f t="shared" si="2"/>
        <v/>
      </c>
      <c r="N11" s="882"/>
      <c r="P11" s="26">
        <f t="shared" ref="P11:P74" si="8">IF(ISTEXT(D11),D11,IF(D11="","",ROUND(D11,$R$1)))</f>
        <v>41</v>
      </c>
      <c r="Q11" s="27" t="str">
        <f t="shared" si="4"/>
        <v/>
      </c>
      <c r="R11" s="27" t="str">
        <f t="shared" si="5"/>
        <v/>
      </c>
      <c r="S11" s="1" t="str">
        <f t="shared" si="6"/>
        <v/>
      </c>
      <c r="T11" s="28">
        <f t="shared" si="7"/>
        <v>41</v>
      </c>
    </row>
    <row r="12" spans="1:20" ht="12.75" hidden="1" customHeight="1" x14ac:dyDescent="0.2">
      <c r="B12" s="25" t="str">
        <f>IF(Ist!B9="","-",Ist!B9)</f>
        <v>DB Masthühner</v>
      </c>
      <c r="C12" s="18"/>
      <c r="D12" s="26">
        <f>IF('[1]E-Ist'!$E9="","",'[1]E-Ist'!$E9)</f>
        <v>45</v>
      </c>
      <c r="E12" s="27"/>
      <c r="F12" s="27"/>
      <c r="H12" s="28">
        <f>IF(Ist!$E9="","",Ist!$E9)</f>
        <v>45</v>
      </c>
      <c r="I12" s="29" t="str">
        <f t="shared" si="0"/>
        <v>Richtig!</v>
      </c>
      <c r="J12" s="30" t="str">
        <f t="shared" si="1"/>
        <v>-</v>
      </c>
      <c r="K12" s="23" t="str">
        <f t="shared" si="3"/>
        <v/>
      </c>
      <c r="L12" s="24" t="str">
        <f t="shared" si="2"/>
        <v/>
      </c>
      <c r="N12" s="882"/>
      <c r="P12" s="26">
        <f t="shared" si="8"/>
        <v>45</v>
      </c>
      <c r="Q12" s="27" t="str">
        <f t="shared" si="4"/>
        <v/>
      </c>
      <c r="R12" s="27" t="str">
        <f t="shared" si="5"/>
        <v/>
      </c>
      <c r="S12" s="1" t="str">
        <f t="shared" si="6"/>
        <v/>
      </c>
      <c r="T12" s="28">
        <f t="shared" si="7"/>
        <v>45</v>
      </c>
    </row>
    <row r="13" spans="1:20" ht="12.75" hidden="1" customHeight="1" x14ac:dyDescent="0.2">
      <c r="B13" s="25" t="str">
        <f>IF(Ist!B10="","-",Ist!B10)</f>
        <v>DB Kartoffel</v>
      </c>
      <c r="C13" s="18"/>
      <c r="D13" s="26">
        <f>IF('[1]E-Ist'!$E10="","",'[1]E-Ist'!$E10)</f>
        <v>367.20000000000005</v>
      </c>
      <c r="E13" s="27"/>
      <c r="F13" s="27"/>
      <c r="H13" s="28">
        <f>IF(Ist!$E10="","",Ist!$E10)</f>
        <v>367.20000000000005</v>
      </c>
      <c r="I13" s="29" t="str">
        <f t="shared" si="0"/>
        <v>Richtig!</v>
      </c>
      <c r="J13" s="30" t="str">
        <f t="shared" si="1"/>
        <v>-</v>
      </c>
      <c r="K13" s="23" t="str">
        <f t="shared" si="3"/>
        <v/>
      </c>
      <c r="L13" s="24" t="str">
        <f t="shared" si="2"/>
        <v/>
      </c>
      <c r="N13" s="882"/>
      <c r="P13" s="26">
        <f t="shared" si="8"/>
        <v>367.2</v>
      </c>
      <c r="Q13" s="27" t="str">
        <f t="shared" si="4"/>
        <v/>
      </c>
      <c r="R13" s="27" t="str">
        <f t="shared" si="5"/>
        <v/>
      </c>
      <c r="S13" s="1" t="str">
        <f t="shared" si="6"/>
        <v/>
      </c>
      <c r="T13" s="28">
        <f t="shared" si="7"/>
        <v>367.2</v>
      </c>
    </row>
    <row r="14" spans="1:20" ht="12.75" hidden="1" customHeight="1" x14ac:dyDescent="0.2">
      <c r="B14" s="25" t="str">
        <f>IF(Ist!B11="","-",Ist!B11)</f>
        <v>-</v>
      </c>
      <c r="C14" s="18"/>
      <c r="D14" s="26" t="str">
        <f>IF('[1]E-Ist'!$E11="","",'[1]E-Ist'!$E11)</f>
        <v/>
      </c>
      <c r="E14" s="27"/>
      <c r="F14" s="27"/>
      <c r="H14" s="28" t="str">
        <f>IF(Ist!$E11="","",Ist!$E11)</f>
        <v/>
      </c>
      <c r="I14" s="29" t="str">
        <f t="shared" si="0"/>
        <v/>
      </c>
      <c r="J14" s="30" t="str">
        <f t="shared" si="1"/>
        <v>-</v>
      </c>
      <c r="K14" s="23" t="str">
        <f t="shared" si="3"/>
        <v/>
      </c>
      <c r="L14" s="24" t="str">
        <f t="shared" si="2"/>
        <v/>
      </c>
      <c r="N14" s="882"/>
      <c r="P14" s="26" t="str">
        <f t="shared" si="8"/>
        <v/>
      </c>
      <c r="Q14" s="27" t="str">
        <f t="shared" si="4"/>
        <v/>
      </c>
      <c r="R14" s="27" t="str">
        <f t="shared" si="5"/>
        <v/>
      </c>
      <c r="S14" s="1" t="str">
        <f t="shared" si="6"/>
        <v/>
      </c>
      <c r="T14" s="28" t="str">
        <f t="shared" si="7"/>
        <v/>
      </c>
    </row>
    <row r="15" spans="1:20" ht="12.75" hidden="1" customHeight="1" x14ac:dyDescent="0.2">
      <c r="B15" s="25" t="str">
        <f>IF(Ist!B12="","-",Ist!B12)</f>
        <v>-</v>
      </c>
      <c r="C15" s="18"/>
      <c r="D15" s="26" t="str">
        <f>IF('[1]E-Ist'!$E12="","",'[1]E-Ist'!$E12)</f>
        <v/>
      </c>
      <c r="E15" s="27"/>
      <c r="F15" s="27"/>
      <c r="H15" s="28" t="str">
        <f>IF(Ist!$E12="","",Ist!$E12)</f>
        <v/>
      </c>
      <c r="I15" s="29" t="str">
        <f t="shared" si="0"/>
        <v/>
      </c>
      <c r="J15" s="30" t="str">
        <f t="shared" si="1"/>
        <v>-</v>
      </c>
      <c r="K15" s="23" t="str">
        <f t="shared" si="3"/>
        <v/>
      </c>
      <c r="L15" s="24" t="str">
        <f t="shared" si="2"/>
        <v/>
      </c>
      <c r="N15" s="882"/>
      <c r="P15" s="26" t="str">
        <f t="shared" si="8"/>
        <v/>
      </c>
      <c r="Q15" s="27" t="str">
        <f t="shared" si="4"/>
        <v/>
      </c>
      <c r="R15" s="27" t="str">
        <f t="shared" si="5"/>
        <v/>
      </c>
      <c r="S15" s="1" t="str">
        <f t="shared" si="6"/>
        <v/>
      </c>
      <c r="T15" s="28" t="str">
        <f t="shared" si="7"/>
        <v/>
      </c>
    </row>
    <row r="16" spans="1:20" ht="12.75" hidden="1" customHeight="1" x14ac:dyDescent="0.2">
      <c r="B16" s="25" t="str">
        <f>IF(Ist!B13="","-",Ist!B13)</f>
        <v>VK Feldfutter - Heu</v>
      </c>
      <c r="C16" s="18"/>
      <c r="D16" s="26">
        <f>IF('[1]E-Ist'!$E13="","",'[1]E-Ist'!$E13)</f>
        <v>-1246.9499999999998</v>
      </c>
      <c r="E16" s="27"/>
      <c r="F16" s="27"/>
      <c r="H16" s="28">
        <f>IF(Ist!$E13="","",Ist!$E13)</f>
        <v>-1246.9499999999998</v>
      </c>
      <c r="I16" s="29" t="str">
        <f t="shared" si="0"/>
        <v>Richtig!</v>
      </c>
      <c r="J16" s="30" t="str">
        <f t="shared" si="1"/>
        <v>-</v>
      </c>
      <c r="K16" s="23" t="str">
        <f t="shared" si="3"/>
        <v/>
      </c>
      <c r="L16" s="24" t="str">
        <f t="shared" si="2"/>
        <v/>
      </c>
      <c r="N16" s="882"/>
      <c r="P16" s="26">
        <f t="shared" si="8"/>
        <v>-1246.95</v>
      </c>
      <c r="Q16" s="27" t="str">
        <f t="shared" si="4"/>
        <v/>
      </c>
      <c r="R16" s="27" t="str">
        <f t="shared" si="5"/>
        <v/>
      </c>
      <c r="S16" s="1" t="str">
        <f t="shared" si="6"/>
        <v/>
      </c>
      <c r="T16" s="28">
        <f t="shared" si="7"/>
        <v>-1246.95</v>
      </c>
    </row>
    <row r="17" spans="1:20" ht="12.75" customHeight="1" x14ac:dyDescent="0.2">
      <c r="B17" s="25" t="str">
        <f>IF(Ist!B14="","-",Ist!B14)</f>
        <v>VK Dauergrünland 3-schnittig</v>
      </c>
      <c r="C17" s="18"/>
      <c r="D17" s="26">
        <f>IF('[1]E-Ist'!$E14="","",'[1]E-Ist'!$E14)</f>
        <v>-11768.62</v>
      </c>
      <c r="E17" s="27"/>
      <c r="F17" s="27"/>
      <c r="H17" s="28" t="str">
        <f>IF(Ist!$E14="","",Ist!$E14)</f>
        <v/>
      </c>
      <c r="I17" s="29" t="str">
        <f t="shared" si="0"/>
        <v>Fehlt</v>
      </c>
      <c r="J17" s="30">
        <f t="shared" si="1"/>
        <v>0</v>
      </c>
      <c r="K17" s="23" t="str">
        <f t="shared" si="3"/>
        <v>│</v>
      </c>
      <c r="L17" s="24">
        <f t="shared" si="2"/>
        <v>1</v>
      </c>
      <c r="N17" s="882" t="str">
        <f>IF($L$1="","",$L$1)</f>
        <v>x</v>
      </c>
      <c r="P17" s="26">
        <f t="shared" si="8"/>
        <v>-11768.62</v>
      </c>
      <c r="Q17" s="27" t="str">
        <f t="shared" si="4"/>
        <v/>
      </c>
      <c r="R17" s="27" t="str">
        <f t="shared" si="5"/>
        <v/>
      </c>
      <c r="S17" s="1" t="str">
        <f t="shared" si="6"/>
        <v/>
      </c>
      <c r="T17" s="28" t="str">
        <f t="shared" si="7"/>
        <v/>
      </c>
    </row>
    <row r="18" spans="1:20" ht="12.75" customHeight="1" x14ac:dyDescent="0.2">
      <c r="B18" s="25" t="str">
        <f>IF(Ist!B15="","-",Ist!B15)</f>
        <v>VK Dauergrünland 1-schnittig</v>
      </c>
      <c r="C18" s="18"/>
      <c r="D18" s="26">
        <f>IF('[1]E-Ist'!$E15="","",'[1]E-Ist'!$E15)</f>
        <v>-198.9</v>
      </c>
      <c r="E18" s="27"/>
      <c r="F18" s="27"/>
      <c r="H18" s="28" t="str">
        <f>IF(Ist!$E15="","",Ist!$E15)</f>
        <v/>
      </c>
      <c r="I18" s="29" t="str">
        <f t="shared" si="0"/>
        <v>Fehlt</v>
      </c>
      <c r="J18" s="30">
        <f t="shared" si="1"/>
        <v>0</v>
      </c>
      <c r="K18" s="23" t="str">
        <f t="shared" si="3"/>
        <v>│</v>
      </c>
      <c r="L18" s="24">
        <f t="shared" si="2"/>
        <v>1</v>
      </c>
      <c r="N18" s="882" t="str">
        <f>IF($L$1="","",$L$1)</f>
        <v>x</v>
      </c>
      <c r="P18" s="26">
        <f t="shared" si="8"/>
        <v>-198.9</v>
      </c>
      <c r="Q18" s="27" t="str">
        <f t="shared" si="4"/>
        <v/>
      </c>
      <c r="R18" s="27" t="str">
        <f t="shared" si="5"/>
        <v/>
      </c>
      <c r="S18" s="1" t="str">
        <f t="shared" si="6"/>
        <v/>
      </c>
      <c r="T18" s="28" t="str">
        <f t="shared" si="7"/>
        <v/>
      </c>
    </row>
    <row r="19" spans="1:20" ht="12.75" hidden="1" customHeight="1" x14ac:dyDescent="0.2">
      <c r="B19" s="25" t="str">
        <f>IF(Ist!B16="","-",Ist!B16)</f>
        <v>-</v>
      </c>
      <c r="C19" s="18"/>
      <c r="D19" s="26" t="str">
        <f>IF('[1]E-Ist'!$E16="","",'[1]E-Ist'!$E16)</f>
        <v/>
      </c>
      <c r="E19" s="27"/>
      <c r="F19" s="27"/>
      <c r="H19" s="28" t="str">
        <f>IF(Ist!$E16="","",Ist!$E16)</f>
        <v/>
      </c>
      <c r="I19" s="29" t="str">
        <f t="shared" si="0"/>
        <v/>
      </c>
      <c r="J19" s="30" t="str">
        <f t="shared" si="1"/>
        <v>-</v>
      </c>
      <c r="K19" s="23" t="str">
        <f t="shared" si="3"/>
        <v/>
      </c>
      <c r="L19" s="24" t="str">
        <f t="shared" si="2"/>
        <v/>
      </c>
      <c r="N19" s="882"/>
      <c r="P19" s="26" t="str">
        <f t="shared" si="8"/>
        <v/>
      </c>
      <c r="Q19" s="27" t="str">
        <f t="shared" si="4"/>
        <v/>
      </c>
      <c r="R19" s="27" t="str">
        <f t="shared" si="5"/>
        <v/>
      </c>
      <c r="S19" s="1" t="str">
        <f t="shared" si="6"/>
        <v/>
      </c>
      <c r="T19" s="28" t="str">
        <f t="shared" si="7"/>
        <v/>
      </c>
    </row>
    <row r="20" spans="1:20" ht="12.75" hidden="1" customHeight="1" x14ac:dyDescent="0.2">
      <c r="B20" s="25" t="str">
        <f>IF(Ist!B17="","-",Ist!B17)</f>
        <v>-</v>
      </c>
      <c r="C20" s="18"/>
      <c r="D20" s="26" t="str">
        <f>IF('[1]E-Ist'!$E17="","",'[1]E-Ist'!$E17)</f>
        <v/>
      </c>
      <c r="E20" s="27"/>
      <c r="F20" s="27"/>
      <c r="H20" s="28" t="str">
        <f>IF(Ist!$E17="","",Ist!$E17)</f>
        <v/>
      </c>
      <c r="I20" s="29" t="str">
        <f t="shared" si="0"/>
        <v/>
      </c>
      <c r="J20" s="30" t="str">
        <f t="shared" si="1"/>
        <v>-</v>
      </c>
      <c r="K20" s="23" t="str">
        <f t="shared" si="3"/>
        <v/>
      </c>
      <c r="L20" s="24" t="str">
        <f t="shared" si="2"/>
        <v/>
      </c>
      <c r="N20" s="882"/>
      <c r="P20" s="26" t="str">
        <f t="shared" si="8"/>
        <v/>
      </c>
      <c r="Q20" s="27" t="str">
        <f t="shared" si="4"/>
        <v/>
      </c>
      <c r="R20" s="27" t="str">
        <f t="shared" si="5"/>
        <v/>
      </c>
      <c r="S20" s="1" t="str">
        <f t="shared" si="6"/>
        <v/>
      </c>
      <c r="T20" s="28" t="str">
        <f t="shared" si="7"/>
        <v/>
      </c>
    </row>
    <row r="21" spans="1:20" ht="12.75" hidden="1" customHeight="1" x14ac:dyDescent="0.2">
      <c r="B21" s="25" t="str">
        <f>IF(Ist!B18="","-",Ist!B18)</f>
        <v>-</v>
      </c>
      <c r="C21" s="18"/>
      <c r="D21" s="26" t="str">
        <f>IF('[1]E-Ist'!$E18="","",'[1]E-Ist'!$E18)</f>
        <v/>
      </c>
      <c r="E21" s="27"/>
      <c r="F21" s="27"/>
      <c r="H21" s="28" t="str">
        <f>IF(Ist!$E18="","",Ist!$E18)</f>
        <v/>
      </c>
      <c r="I21" s="29" t="str">
        <f t="shared" si="0"/>
        <v/>
      </c>
      <c r="J21" s="30" t="str">
        <f t="shared" si="1"/>
        <v>-</v>
      </c>
      <c r="K21" s="23" t="str">
        <f t="shared" si="3"/>
        <v/>
      </c>
      <c r="L21" s="24" t="str">
        <f t="shared" si="2"/>
        <v/>
      </c>
      <c r="N21" s="882"/>
      <c r="P21" s="26" t="str">
        <f t="shared" si="8"/>
        <v/>
      </c>
      <c r="Q21" s="27" t="str">
        <f t="shared" si="4"/>
        <v/>
      </c>
      <c r="R21" s="27" t="str">
        <f t="shared" si="5"/>
        <v/>
      </c>
      <c r="S21" s="1" t="str">
        <f t="shared" si="6"/>
        <v/>
      </c>
      <c r="T21" s="28" t="str">
        <f t="shared" si="7"/>
        <v/>
      </c>
    </row>
    <row r="22" spans="1:20" ht="12.75" hidden="1" customHeight="1" x14ac:dyDescent="0.2">
      <c r="B22" s="25" t="str">
        <f>IF(Ist!B19="","-",Ist!B19)</f>
        <v>-</v>
      </c>
      <c r="C22" s="18"/>
      <c r="D22" s="26" t="str">
        <f>IF('[1]E-Ist'!$E19="","",'[1]E-Ist'!$E19)</f>
        <v/>
      </c>
      <c r="E22" s="27"/>
      <c r="F22" s="27"/>
      <c r="H22" s="28" t="str">
        <f>IF(Ist!$E19="","",Ist!$E19)</f>
        <v/>
      </c>
      <c r="I22" s="29" t="str">
        <f t="shared" si="0"/>
        <v/>
      </c>
      <c r="J22" s="30" t="str">
        <f t="shared" si="1"/>
        <v>-</v>
      </c>
      <c r="K22" s="23" t="str">
        <f t="shared" si="3"/>
        <v/>
      </c>
      <c r="L22" s="24" t="str">
        <f t="shared" si="2"/>
        <v/>
      </c>
      <c r="N22" s="882"/>
      <c r="P22" s="26" t="str">
        <f t="shared" si="8"/>
        <v/>
      </c>
      <c r="Q22" s="27" t="str">
        <f t="shared" si="4"/>
        <v/>
      </c>
      <c r="R22" s="27" t="str">
        <f t="shared" si="5"/>
        <v/>
      </c>
      <c r="S22" s="1" t="str">
        <f t="shared" si="6"/>
        <v/>
      </c>
      <c r="T22" s="28" t="str">
        <f t="shared" si="7"/>
        <v/>
      </c>
    </row>
    <row r="23" spans="1:20" ht="12.75" customHeight="1" x14ac:dyDescent="0.2">
      <c r="B23" s="25" t="str">
        <f>IF(Ist!B20="","-",Ist!B20)</f>
        <v>Gesamt DB</v>
      </c>
      <c r="C23" s="18"/>
      <c r="D23" s="31">
        <f>IF('[1]E-Ist'!$E20="","",'[1]E-Ist'!$E20)</f>
        <v>11533.230000000003</v>
      </c>
      <c r="E23" s="27"/>
      <c r="F23" s="32">
        <f>SUM(H9:H22)</f>
        <v>20314.350000000002</v>
      </c>
      <c r="H23" s="33" t="str">
        <f>IF(Ist!$E20="","",Ist!$E20)</f>
        <v/>
      </c>
      <c r="I23" s="29" t="str">
        <f>IF(B23="-","",IF(T23=P23,"Richtig!",IF(AND(P23&lt;&gt;T23,R23=T23),"Formel: OK",IF(T23="","Fehlt","Falsch"))))</f>
        <v>Fehlt</v>
      </c>
      <c r="J23" s="30">
        <f t="shared" si="1"/>
        <v>0</v>
      </c>
      <c r="K23" s="23" t="str">
        <f t="shared" si="3"/>
        <v>│</v>
      </c>
      <c r="L23" s="24">
        <f t="shared" si="2"/>
        <v>1</v>
      </c>
      <c r="N23" s="882" t="str">
        <f>IF($L$1="","",$L$1)</f>
        <v>x</v>
      </c>
      <c r="P23" s="31">
        <f t="shared" si="8"/>
        <v>11533.23</v>
      </c>
      <c r="Q23" s="27" t="str">
        <f t="shared" si="4"/>
        <v/>
      </c>
      <c r="R23" s="32">
        <f t="shared" si="5"/>
        <v>20314.349999999999</v>
      </c>
      <c r="S23" s="1" t="str">
        <f t="shared" si="6"/>
        <v/>
      </c>
      <c r="T23" s="33" t="str">
        <f t="shared" si="7"/>
        <v/>
      </c>
    </row>
    <row r="24" spans="1:20" ht="12.75" customHeight="1" x14ac:dyDescent="0.2">
      <c r="A24" s="18"/>
      <c r="C24" s="18"/>
      <c r="D24" s="34"/>
      <c r="E24" s="27"/>
      <c r="F24" s="27"/>
      <c r="H24" s="35"/>
      <c r="I24" s="29"/>
      <c r="J24" s="29"/>
      <c r="K24" s="23" t="str">
        <f t="shared" si="3"/>
        <v/>
      </c>
      <c r="L24" s="24" t="str">
        <f t="shared" si="2"/>
        <v/>
      </c>
      <c r="N24" s="883" t="str">
        <f>IF($L$1="","",$L$1)</f>
        <v>x</v>
      </c>
      <c r="P24" s="34" t="str">
        <f t="shared" si="8"/>
        <v/>
      </c>
      <c r="Q24" s="27" t="str">
        <f t="shared" si="4"/>
        <v/>
      </c>
      <c r="R24" s="27" t="str">
        <f t="shared" si="5"/>
        <v/>
      </c>
      <c r="S24" s="1" t="str">
        <f t="shared" si="6"/>
        <v/>
      </c>
      <c r="T24" s="35" t="str">
        <f t="shared" si="7"/>
        <v/>
      </c>
    </row>
    <row r="25" spans="1:20" ht="12.75" customHeight="1" x14ac:dyDescent="0.2">
      <c r="A25" s="17" t="s">
        <v>12</v>
      </c>
      <c r="B25" s="17" t="s">
        <v>13</v>
      </c>
      <c r="C25" s="18"/>
      <c r="D25" s="19"/>
      <c r="H25" s="20"/>
      <c r="I25" s="21"/>
      <c r="J25" s="21"/>
      <c r="K25" s="23" t="str">
        <f t="shared" si="3"/>
        <v/>
      </c>
      <c r="L25" s="24" t="str">
        <f t="shared" si="2"/>
        <v/>
      </c>
      <c r="N25" s="880" t="str">
        <f>IF($L$1="","",$L$1)</f>
        <v>x</v>
      </c>
      <c r="P25" s="19" t="str">
        <f t="shared" si="8"/>
        <v/>
      </c>
      <c r="Q25" s="1" t="str">
        <f t="shared" si="4"/>
        <v/>
      </c>
      <c r="R25" s="1" t="str">
        <f t="shared" si="5"/>
        <v/>
      </c>
      <c r="S25" s="1" t="str">
        <f t="shared" si="6"/>
        <v/>
      </c>
      <c r="T25" s="20" t="str">
        <f t="shared" si="7"/>
        <v/>
      </c>
    </row>
    <row r="26" spans="1:20" ht="12.75" hidden="1" customHeight="1" x14ac:dyDescent="0.2">
      <c r="A26" s="17"/>
      <c r="B26" s="25" t="str">
        <f>IF(Ist!B6="","-",MID(Ist!B6,4,30))</f>
        <v>Milchkuh</v>
      </c>
      <c r="C26" s="18"/>
      <c r="D26" s="26">
        <f>IF('[1]E-Ist'!$G6="","",'[1]E-Ist'!$G6)</f>
        <v>-259935</v>
      </c>
      <c r="E26" s="27"/>
      <c r="H26" s="28">
        <f>IF(Ist!$G6="","",Ist!$G6)</f>
        <v>-259935</v>
      </c>
      <c r="I26" s="29" t="str">
        <f t="shared" ref="I26:I39" si="9">IF(AND(P26="",T26=""),"",IF(T26=P26,"Richtig!",IF(T26="","Fehlt","Falsch")))</f>
        <v>Richtig!</v>
      </c>
      <c r="J26" s="30" t="str">
        <f t="shared" ref="J26:J40" si="10">IF(OR(B26="-",N26="",AND(P26="",T26="")),"-",IF(I26="Richtig!",1,IF(I26="Formel: OK",0.5,IF(OR(I26="Falsch",I26="Fehlt"),0,""))))</f>
        <v>-</v>
      </c>
      <c r="K26" s="23" t="str">
        <f t="shared" si="3"/>
        <v/>
      </c>
      <c r="L26" s="24" t="str">
        <f t="shared" si="2"/>
        <v/>
      </c>
      <c r="N26" s="882"/>
      <c r="P26" s="26">
        <f t="shared" si="8"/>
        <v>-259935</v>
      </c>
      <c r="Q26" s="27" t="str">
        <f t="shared" si="4"/>
        <v/>
      </c>
      <c r="R26" s="1" t="str">
        <f t="shared" si="5"/>
        <v/>
      </c>
      <c r="S26" s="1" t="str">
        <f t="shared" si="6"/>
        <v/>
      </c>
      <c r="T26" s="28">
        <f t="shared" si="7"/>
        <v>-259935</v>
      </c>
    </row>
    <row r="27" spans="1:20" ht="12.75" hidden="1" customHeight="1" x14ac:dyDescent="0.2">
      <c r="A27" s="17"/>
      <c r="B27" s="25" t="str">
        <f>IF(Ist!B7="","-",MID(Ist!B7,4,30))</f>
        <v>Kalbinnen</v>
      </c>
      <c r="C27" s="18"/>
      <c r="D27" s="26">
        <f>IF('[1]E-Ist'!$G7="","",'[1]E-Ist'!$G7)</f>
        <v>-116280</v>
      </c>
      <c r="E27" s="27"/>
      <c r="H27" s="28" t="str">
        <f>IF(Ist!$G7="","",Ist!$G7)</f>
        <v/>
      </c>
      <c r="I27" s="29" t="str">
        <f t="shared" si="9"/>
        <v>Fehlt</v>
      </c>
      <c r="J27" s="30" t="str">
        <f t="shared" si="10"/>
        <v>-</v>
      </c>
      <c r="K27" s="23" t="str">
        <f t="shared" si="3"/>
        <v/>
      </c>
      <c r="L27" s="24" t="str">
        <f t="shared" si="2"/>
        <v/>
      </c>
      <c r="N27" s="882"/>
      <c r="P27" s="26">
        <f t="shared" si="8"/>
        <v>-116280</v>
      </c>
      <c r="Q27" s="27" t="str">
        <f t="shared" si="4"/>
        <v/>
      </c>
      <c r="R27" s="1" t="str">
        <f t="shared" si="5"/>
        <v/>
      </c>
      <c r="S27" s="1" t="str">
        <f t="shared" si="6"/>
        <v/>
      </c>
      <c r="T27" s="28" t="str">
        <f t="shared" si="7"/>
        <v/>
      </c>
    </row>
    <row r="28" spans="1:20" ht="12.75" hidden="1" customHeight="1" x14ac:dyDescent="0.2">
      <c r="B28" s="25" t="str">
        <f>IF(Ist!B8="","-",MID(Ist!B8,4,30))</f>
        <v>Milchkälber</v>
      </c>
      <c r="C28" s="18"/>
      <c r="D28" s="26">
        <f>IF('[1]E-Ist'!$G8="","",'[1]E-Ist'!$G8)</f>
        <v>0</v>
      </c>
      <c r="E28" s="27"/>
      <c r="H28" s="28">
        <f>IF(Ist!$G8="","",Ist!$G8)</f>
        <v>0</v>
      </c>
      <c r="I28" s="29" t="str">
        <f t="shared" si="9"/>
        <v>Richtig!</v>
      </c>
      <c r="J28" s="30" t="str">
        <f t="shared" si="10"/>
        <v>-</v>
      </c>
      <c r="K28" s="23" t="str">
        <f t="shared" si="3"/>
        <v/>
      </c>
      <c r="L28" s="24" t="str">
        <f t="shared" si="2"/>
        <v/>
      </c>
      <c r="N28" s="882"/>
      <c r="P28" s="26">
        <f t="shared" si="8"/>
        <v>0</v>
      </c>
      <c r="Q28" s="27" t="str">
        <f t="shared" si="4"/>
        <v/>
      </c>
      <c r="R28" s="1" t="str">
        <f t="shared" si="5"/>
        <v/>
      </c>
      <c r="S28" s="1" t="str">
        <f t="shared" si="6"/>
        <v/>
      </c>
      <c r="T28" s="28">
        <f t="shared" si="7"/>
        <v>0</v>
      </c>
    </row>
    <row r="29" spans="1:20" ht="12.75" hidden="1" customHeight="1" x14ac:dyDescent="0.2">
      <c r="B29" s="25" t="str">
        <f>IF(Ist!B9="","-",MID(Ist!B9,4,30))</f>
        <v>Masthühner</v>
      </c>
      <c r="C29" s="18"/>
      <c r="D29" s="26">
        <f>IF('[1]E-Ist'!$G9="","",'[1]E-Ist'!$G9)</f>
        <v>0</v>
      </c>
      <c r="E29" s="27"/>
      <c r="H29" s="28">
        <f>IF(Ist!$G9="","",Ist!$G9)</f>
        <v>0</v>
      </c>
      <c r="I29" s="29" t="str">
        <f t="shared" si="9"/>
        <v>Richtig!</v>
      </c>
      <c r="J29" s="30" t="str">
        <f t="shared" si="10"/>
        <v>-</v>
      </c>
      <c r="K29" s="23" t="str">
        <f t="shared" si="3"/>
        <v/>
      </c>
      <c r="L29" s="24" t="str">
        <f t="shared" si="2"/>
        <v/>
      </c>
      <c r="N29" s="882"/>
      <c r="P29" s="26">
        <f t="shared" si="8"/>
        <v>0</v>
      </c>
      <c r="Q29" s="27" t="str">
        <f t="shared" si="4"/>
        <v/>
      </c>
      <c r="R29" s="1" t="str">
        <f t="shared" si="5"/>
        <v/>
      </c>
      <c r="S29" s="1" t="str">
        <f t="shared" si="6"/>
        <v/>
      </c>
      <c r="T29" s="28">
        <f t="shared" si="7"/>
        <v>0</v>
      </c>
    </row>
    <row r="30" spans="1:20" ht="12.75" hidden="1" customHeight="1" x14ac:dyDescent="0.2">
      <c r="B30" s="25" t="str">
        <f>IF(Ist!B10="","-",MID(Ist!B10,4,30))</f>
        <v>Kartoffel</v>
      </c>
      <c r="C30" s="18"/>
      <c r="D30" s="26">
        <f>IF('[1]E-Ist'!$G10="","",'[1]E-Ist'!$G10)</f>
        <v>0</v>
      </c>
      <c r="E30" s="27"/>
      <c r="H30" s="28">
        <f>IF(Ist!$G10="","",Ist!$G10)</f>
        <v>0</v>
      </c>
      <c r="I30" s="29" t="str">
        <f t="shared" si="9"/>
        <v>Richtig!</v>
      </c>
      <c r="J30" s="30" t="str">
        <f t="shared" si="10"/>
        <v>-</v>
      </c>
      <c r="K30" s="23" t="str">
        <f t="shared" si="3"/>
        <v/>
      </c>
      <c r="L30" s="24" t="str">
        <f t="shared" si="2"/>
        <v/>
      </c>
      <c r="N30" s="882"/>
      <c r="P30" s="26">
        <f t="shared" si="8"/>
        <v>0</v>
      </c>
      <c r="Q30" s="27" t="str">
        <f t="shared" si="4"/>
        <v/>
      </c>
      <c r="R30" s="1" t="str">
        <f t="shared" si="5"/>
        <v/>
      </c>
      <c r="S30" s="1" t="str">
        <f t="shared" si="6"/>
        <v/>
      </c>
      <c r="T30" s="28">
        <f t="shared" si="7"/>
        <v>0</v>
      </c>
    </row>
    <row r="31" spans="1:20" ht="12.75" hidden="1" customHeight="1" x14ac:dyDescent="0.2">
      <c r="B31" s="25" t="str">
        <f>IF(Ist!B11="","-",MID(Ist!B11,4,30))</f>
        <v>-</v>
      </c>
      <c r="C31" s="18"/>
      <c r="D31" s="26" t="str">
        <f>IF('[1]E-Ist'!$G11="","",'[1]E-Ist'!$G11)</f>
        <v/>
      </c>
      <c r="E31" s="27"/>
      <c r="H31" s="28" t="str">
        <f>IF(Ist!$G11="","",Ist!$G11)</f>
        <v/>
      </c>
      <c r="I31" s="29" t="str">
        <f t="shared" si="9"/>
        <v/>
      </c>
      <c r="J31" s="30" t="str">
        <f t="shared" si="10"/>
        <v>-</v>
      </c>
      <c r="K31" s="23" t="str">
        <f t="shared" si="3"/>
        <v/>
      </c>
      <c r="L31" s="24" t="str">
        <f t="shared" si="2"/>
        <v/>
      </c>
      <c r="N31" s="882"/>
      <c r="P31" s="26" t="str">
        <f t="shared" si="8"/>
        <v/>
      </c>
      <c r="Q31" s="27" t="str">
        <f t="shared" si="4"/>
        <v/>
      </c>
      <c r="R31" s="1" t="str">
        <f t="shared" si="5"/>
        <v/>
      </c>
      <c r="S31" s="1" t="str">
        <f t="shared" si="6"/>
        <v/>
      </c>
      <c r="T31" s="28" t="str">
        <f t="shared" si="7"/>
        <v/>
      </c>
    </row>
    <row r="32" spans="1:20" ht="12.75" hidden="1" customHeight="1" x14ac:dyDescent="0.2">
      <c r="B32" s="25" t="str">
        <f>IF(Ist!B12="","-",MID(Ist!B12,4,30))</f>
        <v>-</v>
      </c>
      <c r="C32" s="18"/>
      <c r="D32" s="26" t="str">
        <f>IF('[1]E-Ist'!$G12="","",'[1]E-Ist'!$G12)</f>
        <v/>
      </c>
      <c r="E32" s="27"/>
      <c r="H32" s="28" t="str">
        <f>IF(Ist!$G12="","",Ist!$G12)</f>
        <v/>
      </c>
      <c r="I32" s="29" t="str">
        <f t="shared" si="9"/>
        <v/>
      </c>
      <c r="J32" s="30" t="str">
        <f t="shared" si="10"/>
        <v>-</v>
      </c>
      <c r="K32" s="23" t="str">
        <f t="shared" si="3"/>
        <v/>
      </c>
      <c r="L32" s="24" t="str">
        <f t="shared" si="2"/>
        <v/>
      </c>
      <c r="N32" s="882"/>
      <c r="P32" s="26" t="str">
        <f t="shared" si="8"/>
        <v/>
      </c>
      <c r="Q32" s="27" t="str">
        <f t="shared" si="4"/>
        <v/>
      </c>
      <c r="R32" s="1" t="str">
        <f t="shared" si="5"/>
        <v/>
      </c>
      <c r="S32" s="1" t="str">
        <f t="shared" si="6"/>
        <v/>
      </c>
      <c r="T32" s="28" t="str">
        <f t="shared" si="7"/>
        <v/>
      </c>
    </row>
    <row r="33" spans="1:20" ht="12.75" hidden="1" customHeight="1" x14ac:dyDescent="0.2">
      <c r="B33" s="25" t="str">
        <f>IF(Ist!B13="","-",MID(Ist!B13,4,30))</f>
        <v>Feldfutter - Heu</v>
      </c>
      <c r="C33" s="18"/>
      <c r="D33" s="26">
        <f>IF('[1]E-Ist'!$G13="","",'[1]E-Ist'!$G13)</f>
        <v>87363</v>
      </c>
      <c r="E33" s="27"/>
      <c r="H33" s="28">
        <f>IF(Ist!$G13="","",Ist!$G13)</f>
        <v>87363</v>
      </c>
      <c r="I33" s="29" t="str">
        <f t="shared" si="9"/>
        <v>Richtig!</v>
      </c>
      <c r="J33" s="30" t="str">
        <f t="shared" si="10"/>
        <v>-</v>
      </c>
      <c r="K33" s="23" t="str">
        <f t="shared" si="3"/>
        <v/>
      </c>
      <c r="L33" s="24" t="str">
        <f t="shared" si="2"/>
        <v/>
      </c>
      <c r="N33" s="882"/>
      <c r="P33" s="26">
        <f t="shared" si="8"/>
        <v>87363</v>
      </c>
      <c r="Q33" s="27" t="str">
        <f t="shared" si="4"/>
        <v/>
      </c>
      <c r="R33" s="1" t="str">
        <f t="shared" si="5"/>
        <v/>
      </c>
      <c r="S33" s="1" t="str">
        <f t="shared" si="6"/>
        <v/>
      </c>
      <c r="T33" s="28">
        <f t="shared" si="7"/>
        <v>87363</v>
      </c>
    </row>
    <row r="34" spans="1:20" ht="12.75" customHeight="1" x14ac:dyDescent="0.2">
      <c r="B34" s="25" t="str">
        <f>IF(Ist!B14="","-",MID(Ist!B14,4,30))</f>
        <v>Dauergrünland 3-schnittig</v>
      </c>
      <c r="C34" s="18"/>
      <c r="D34" s="26">
        <f>IF('[1]E-Ist'!$G14="","",'[1]E-Ist'!$G14)</f>
        <v>339556</v>
      </c>
      <c r="E34" s="27"/>
      <c r="H34" s="28" t="str">
        <f>IF(Ist!$G14="","",Ist!$G14)</f>
        <v/>
      </c>
      <c r="I34" s="29" t="str">
        <f t="shared" si="9"/>
        <v>Fehlt</v>
      </c>
      <c r="J34" s="30">
        <f t="shared" si="10"/>
        <v>0</v>
      </c>
      <c r="K34" s="23" t="str">
        <f t="shared" si="3"/>
        <v>│</v>
      </c>
      <c r="L34" s="24">
        <f t="shared" si="2"/>
        <v>1</v>
      </c>
      <c r="N34" s="882" t="str">
        <f>IF($L$1="","",$L$1)</f>
        <v>x</v>
      </c>
      <c r="P34" s="26">
        <f t="shared" si="8"/>
        <v>339556</v>
      </c>
      <c r="Q34" s="27" t="str">
        <f t="shared" si="4"/>
        <v/>
      </c>
      <c r="R34" s="1" t="str">
        <f t="shared" si="5"/>
        <v/>
      </c>
      <c r="S34" s="1" t="str">
        <f t="shared" si="6"/>
        <v/>
      </c>
      <c r="T34" s="28" t="str">
        <f t="shared" si="7"/>
        <v/>
      </c>
    </row>
    <row r="35" spans="1:20" ht="12.75" customHeight="1" x14ac:dyDescent="0.2">
      <c r="B35" s="25" t="str">
        <f>IF(Ist!B15="","-",MID(Ist!B15,4,30))</f>
        <v>Dauergrünland 1-schnittig</v>
      </c>
      <c r="C35" s="18"/>
      <c r="D35" s="26">
        <f>IF('[1]E-Ist'!$G15="","",'[1]E-Ist'!$G15)</f>
        <v>16279</v>
      </c>
      <c r="E35" s="27"/>
      <c r="H35" s="28" t="str">
        <f>IF(Ist!$G15="","",Ist!$G15)</f>
        <v/>
      </c>
      <c r="I35" s="29" t="str">
        <f t="shared" si="9"/>
        <v>Fehlt</v>
      </c>
      <c r="J35" s="30">
        <f t="shared" si="10"/>
        <v>0</v>
      </c>
      <c r="K35" s="23" t="str">
        <f t="shared" si="3"/>
        <v>│</v>
      </c>
      <c r="L35" s="24">
        <f t="shared" si="2"/>
        <v>1</v>
      </c>
      <c r="N35" s="882" t="str">
        <f>IF($L$1="","",$L$1)</f>
        <v>x</v>
      </c>
      <c r="P35" s="26">
        <f t="shared" si="8"/>
        <v>16279</v>
      </c>
      <c r="Q35" s="27" t="str">
        <f t="shared" si="4"/>
        <v/>
      </c>
      <c r="R35" s="1" t="str">
        <f t="shared" si="5"/>
        <v/>
      </c>
      <c r="S35" s="1" t="str">
        <f t="shared" si="6"/>
        <v/>
      </c>
      <c r="T35" s="28" t="str">
        <f t="shared" si="7"/>
        <v/>
      </c>
    </row>
    <row r="36" spans="1:20" ht="12.75" hidden="1" customHeight="1" x14ac:dyDescent="0.2">
      <c r="B36" s="25" t="str">
        <f>IF(Ist!B16="","-",MID(Ist!B16,4,30))</f>
        <v>-</v>
      </c>
      <c r="C36" s="18"/>
      <c r="D36" s="26" t="str">
        <f>IF('[1]E-Ist'!$G16="","",'[1]E-Ist'!$G16)</f>
        <v/>
      </c>
      <c r="E36" s="27"/>
      <c r="H36" s="28" t="str">
        <f>IF(Ist!$G16="","",Ist!$G16)</f>
        <v/>
      </c>
      <c r="I36" s="29" t="str">
        <f t="shared" si="9"/>
        <v/>
      </c>
      <c r="J36" s="30" t="str">
        <f t="shared" si="10"/>
        <v>-</v>
      </c>
      <c r="K36" s="23" t="str">
        <f t="shared" si="3"/>
        <v/>
      </c>
      <c r="L36" s="24" t="str">
        <f t="shared" si="2"/>
        <v/>
      </c>
      <c r="N36" s="882"/>
      <c r="P36" s="26" t="str">
        <f t="shared" si="8"/>
        <v/>
      </c>
      <c r="Q36" s="27" t="str">
        <f t="shared" si="4"/>
        <v/>
      </c>
      <c r="R36" s="1" t="str">
        <f t="shared" si="5"/>
        <v/>
      </c>
      <c r="S36" s="1" t="str">
        <f t="shared" si="6"/>
        <v/>
      </c>
      <c r="T36" s="28" t="str">
        <f t="shared" si="7"/>
        <v/>
      </c>
    </row>
    <row r="37" spans="1:20" ht="12.75" hidden="1" customHeight="1" x14ac:dyDescent="0.2">
      <c r="B37" s="25" t="str">
        <f>IF(Ist!B17="","-",MID(Ist!B17,4,30))</f>
        <v>-</v>
      </c>
      <c r="C37" s="18"/>
      <c r="D37" s="26" t="str">
        <f>IF('[1]E-Ist'!$G17="","",'[1]E-Ist'!$G17)</f>
        <v/>
      </c>
      <c r="E37" s="27"/>
      <c r="H37" s="28" t="str">
        <f>IF(Ist!$G17="","",Ist!$G17)</f>
        <v/>
      </c>
      <c r="I37" s="29" t="str">
        <f t="shared" si="9"/>
        <v/>
      </c>
      <c r="J37" s="30" t="str">
        <f t="shared" si="10"/>
        <v>-</v>
      </c>
      <c r="K37" s="23" t="str">
        <f t="shared" si="3"/>
        <v/>
      </c>
      <c r="L37" s="24" t="str">
        <f t="shared" si="2"/>
        <v/>
      </c>
      <c r="N37" s="882"/>
      <c r="P37" s="26" t="str">
        <f t="shared" si="8"/>
        <v/>
      </c>
      <c r="Q37" s="27" t="str">
        <f t="shared" si="4"/>
        <v/>
      </c>
      <c r="R37" s="1" t="str">
        <f t="shared" si="5"/>
        <v/>
      </c>
      <c r="S37" s="1" t="str">
        <f t="shared" si="6"/>
        <v/>
      </c>
      <c r="T37" s="28" t="str">
        <f t="shared" si="7"/>
        <v/>
      </c>
    </row>
    <row r="38" spans="1:20" ht="12.75" hidden="1" customHeight="1" x14ac:dyDescent="0.2">
      <c r="B38" s="25" t="str">
        <f>IF(Ist!B18="","-",MID(Ist!B18,4,30))</f>
        <v>-</v>
      </c>
      <c r="C38" s="18"/>
      <c r="D38" s="26" t="str">
        <f>IF('[1]E-Ist'!$G18="","",'[1]E-Ist'!$G18)</f>
        <v/>
      </c>
      <c r="E38" s="27"/>
      <c r="H38" s="28" t="str">
        <f>IF(Ist!$G18="","",Ist!$G18)</f>
        <v/>
      </c>
      <c r="I38" s="29" t="str">
        <f t="shared" si="9"/>
        <v/>
      </c>
      <c r="J38" s="30" t="str">
        <f t="shared" si="10"/>
        <v>-</v>
      </c>
      <c r="K38" s="23" t="str">
        <f t="shared" si="3"/>
        <v/>
      </c>
      <c r="L38" s="24" t="str">
        <f t="shared" si="2"/>
        <v/>
      </c>
      <c r="N38" s="882"/>
      <c r="P38" s="26" t="str">
        <f t="shared" si="8"/>
        <v/>
      </c>
      <c r="Q38" s="27" t="str">
        <f t="shared" si="4"/>
        <v/>
      </c>
      <c r="R38" s="1" t="str">
        <f t="shared" si="5"/>
        <v/>
      </c>
      <c r="S38" s="1" t="str">
        <f t="shared" si="6"/>
        <v/>
      </c>
      <c r="T38" s="28" t="str">
        <f t="shared" si="7"/>
        <v/>
      </c>
    </row>
    <row r="39" spans="1:20" ht="12.75" hidden="1" customHeight="1" x14ac:dyDescent="0.2">
      <c r="B39" s="25" t="str">
        <f>IF(Ist!B19="","-",MID(Ist!B19,4,30))</f>
        <v>-</v>
      </c>
      <c r="C39" s="18"/>
      <c r="D39" s="26" t="str">
        <f>IF('[1]E-Ist'!$G19="","",'[1]E-Ist'!$G19)</f>
        <v/>
      </c>
      <c r="E39" s="27"/>
      <c r="H39" s="28" t="str">
        <f>IF(Ist!$G19="","",Ist!$G19)</f>
        <v/>
      </c>
      <c r="I39" s="29" t="str">
        <f t="shared" si="9"/>
        <v/>
      </c>
      <c r="J39" s="30" t="str">
        <f t="shared" si="10"/>
        <v>-</v>
      </c>
      <c r="K39" s="23" t="str">
        <f t="shared" si="3"/>
        <v/>
      </c>
      <c r="L39" s="24" t="str">
        <f t="shared" si="2"/>
        <v/>
      </c>
      <c r="N39" s="882"/>
      <c r="P39" s="26" t="str">
        <f t="shared" si="8"/>
        <v/>
      </c>
      <c r="Q39" s="27" t="str">
        <f t="shared" si="4"/>
        <v/>
      </c>
      <c r="R39" s="1" t="str">
        <f t="shared" si="5"/>
        <v/>
      </c>
      <c r="S39" s="1" t="str">
        <f t="shared" si="6"/>
        <v/>
      </c>
      <c r="T39" s="28" t="str">
        <f t="shared" si="7"/>
        <v/>
      </c>
    </row>
    <row r="40" spans="1:20" ht="12.75" customHeight="1" x14ac:dyDescent="0.2">
      <c r="B40" s="25" t="str">
        <f>IF(Ist!F23="","-",Ist!F23)</f>
        <v xml:space="preserve"> +/- Ges.
Energie</v>
      </c>
      <c r="C40" s="18"/>
      <c r="D40" s="31">
        <f>IF('[1]E-Ist'!$G23="","",'[1]E-Ist'!$G23)</f>
        <v>66983</v>
      </c>
      <c r="E40" s="27"/>
      <c r="F40" s="32">
        <f>SUM(H26:H39)</f>
        <v>-172572</v>
      </c>
      <c r="H40" s="33" t="str">
        <f>IF(Ist!$G23="","",Ist!$G23)</f>
        <v/>
      </c>
      <c r="I40" s="29" t="str">
        <f>IF(B40="-","",IF(T40=P40,"Richtig!",IF(AND(P40&lt;&gt;T40,R40=T40),"Formel: OK",IF(T40="","Fehlt","Falsch"))))</f>
        <v>Fehlt</v>
      </c>
      <c r="J40" s="30">
        <f t="shared" si="10"/>
        <v>0</v>
      </c>
      <c r="K40" s="23" t="str">
        <f t="shared" si="3"/>
        <v>│</v>
      </c>
      <c r="L40" s="24">
        <f t="shared" si="2"/>
        <v>1</v>
      </c>
      <c r="N40" s="882" t="str">
        <f>IF($L$1="","",$L$1)</f>
        <v>x</v>
      </c>
      <c r="P40" s="31">
        <f t="shared" si="8"/>
        <v>66983</v>
      </c>
      <c r="Q40" s="27" t="str">
        <f t="shared" si="4"/>
        <v/>
      </c>
      <c r="R40" s="32">
        <f t="shared" si="5"/>
        <v>-172572</v>
      </c>
      <c r="S40" s="1" t="str">
        <f t="shared" si="6"/>
        <v/>
      </c>
      <c r="T40" s="33" t="str">
        <f t="shared" si="7"/>
        <v/>
      </c>
    </row>
    <row r="41" spans="1:20" ht="12.75" customHeight="1" x14ac:dyDescent="0.2">
      <c r="A41" s="18"/>
      <c r="B41" s="18"/>
      <c r="C41" s="18"/>
      <c r="D41" s="34"/>
      <c r="E41" s="27"/>
      <c r="F41" s="27"/>
      <c r="H41" s="35"/>
      <c r="I41" s="29"/>
      <c r="J41" s="29"/>
      <c r="K41" s="23" t="str">
        <f t="shared" si="3"/>
        <v/>
      </c>
      <c r="L41" s="24" t="str">
        <f t="shared" ref="L41:L70" si="11">IF(OR(B41="-",N41="",AND(P41="",T41="")),"",1)</f>
        <v/>
      </c>
      <c r="N41" s="883" t="str">
        <f>IF($L$1="","",$L$1)</f>
        <v>x</v>
      </c>
      <c r="P41" s="34" t="str">
        <f t="shared" si="8"/>
        <v/>
      </c>
      <c r="Q41" s="27" t="str">
        <f t="shared" si="4"/>
        <v/>
      </c>
      <c r="R41" s="27" t="str">
        <f t="shared" si="5"/>
        <v/>
      </c>
      <c r="S41" s="1" t="str">
        <f t="shared" si="6"/>
        <v/>
      </c>
      <c r="T41" s="35" t="str">
        <f t="shared" si="7"/>
        <v/>
      </c>
    </row>
    <row r="42" spans="1:20" ht="12.75" customHeight="1" x14ac:dyDescent="0.2">
      <c r="A42" s="17" t="s">
        <v>14</v>
      </c>
      <c r="B42" s="17" t="s">
        <v>15</v>
      </c>
      <c r="C42" s="18"/>
      <c r="D42" s="19"/>
      <c r="H42" s="20"/>
      <c r="I42" s="21"/>
      <c r="J42" s="21"/>
      <c r="K42" s="23" t="str">
        <f t="shared" si="3"/>
        <v/>
      </c>
      <c r="L42" s="24" t="str">
        <f t="shared" si="11"/>
        <v/>
      </c>
      <c r="N42" s="880" t="str">
        <f>IF($L$1="","",$L$1)</f>
        <v>x</v>
      </c>
      <c r="P42" s="19" t="str">
        <f t="shared" si="8"/>
        <v/>
      </c>
      <c r="Q42" s="1" t="str">
        <f t="shared" si="4"/>
        <v/>
      </c>
      <c r="R42" s="1" t="str">
        <f t="shared" si="5"/>
        <v/>
      </c>
      <c r="S42" s="1" t="str">
        <f t="shared" si="6"/>
        <v/>
      </c>
      <c r="T42" s="20" t="str">
        <f t="shared" si="7"/>
        <v/>
      </c>
    </row>
    <row r="43" spans="1:20" ht="12.75" hidden="1" customHeight="1" x14ac:dyDescent="0.2">
      <c r="A43" s="18"/>
      <c r="B43" s="36" t="str">
        <f>IF(Ist!B6="","-",MID(Ist!B6,4,30))</f>
        <v>Milchkuh</v>
      </c>
      <c r="C43" s="18"/>
      <c r="D43" s="26">
        <f>IF('[1]E-Ist'!$I6="","",'[1]E-Ist'!$I6)</f>
        <v>2684.5</v>
      </c>
      <c r="E43" s="27"/>
      <c r="F43" s="27"/>
      <c r="H43" s="28">
        <f>IF(Ist!$I6="","",Ist!$I6)</f>
        <v>2684.5</v>
      </c>
      <c r="I43" s="29" t="str">
        <f t="shared" ref="I43:I56" si="12">IF(AND(P43="",T43=""),"",IF(T43=P43,"Richtig!",IF(T43="","Fehlt","Falsch")))</f>
        <v>Richtig!</v>
      </c>
      <c r="J43" s="30" t="str">
        <f t="shared" ref="J43:J57" si="13">IF(OR(B43="-",N43="",AND(P43="",T43="")),"-",IF(I43="Richtig!",1,IF(I43="Formel: OK",0.5,IF(OR(I43="Falsch",I43="Fehlt"),0,""))))</f>
        <v>-</v>
      </c>
      <c r="K43" s="23" t="str">
        <f t="shared" si="3"/>
        <v/>
      </c>
      <c r="L43" s="24" t="str">
        <f t="shared" si="11"/>
        <v/>
      </c>
      <c r="N43" s="882"/>
      <c r="P43" s="26">
        <f t="shared" si="8"/>
        <v>2684.5</v>
      </c>
      <c r="Q43" s="27" t="str">
        <f t="shared" si="4"/>
        <v/>
      </c>
      <c r="R43" s="27" t="str">
        <f t="shared" si="5"/>
        <v/>
      </c>
      <c r="S43" s="1" t="str">
        <f t="shared" si="6"/>
        <v/>
      </c>
      <c r="T43" s="28">
        <f t="shared" si="7"/>
        <v>2684.5</v>
      </c>
    </row>
    <row r="44" spans="1:20" ht="12.75" customHeight="1" x14ac:dyDescent="0.2">
      <c r="A44" s="18"/>
      <c r="B44" s="36" t="str">
        <f>IF(Ist!B7="","-",MID(Ist!B7,4,30))</f>
        <v>Kalbinnen</v>
      </c>
      <c r="C44" s="18"/>
      <c r="D44" s="26">
        <f>IF('[1]E-Ist'!$I7="","",'[1]E-Ist'!$I7)</f>
        <v>244.8</v>
      </c>
      <c r="E44" s="27"/>
      <c r="F44" s="27"/>
      <c r="H44" s="28" t="str">
        <f>IF(Ist!$I7="","",Ist!$I7)</f>
        <v/>
      </c>
      <c r="I44" s="29" t="str">
        <f t="shared" si="12"/>
        <v>Fehlt</v>
      </c>
      <c r="J44" s="30">
        <f t="shared" si="13"/>
        <v>0</v>
      </c>
      <c r="K44" s="23" t="str">
        <f t="shared" si="3"/>
        <v>│</v>
      </c>
      <c r="L44" s="24">
        <f t="shared" si="11"/>
        <v>1</v>
      </c>
      <c r="N44" s="882" t="str">
        <f>IF($L$1="","",$L$1)</f>
        <v>x</v>
      </c>
      <c r="P44" s="26">
        <f t="shared" si="8"/>
        <v>244.8</v>
      </c>
      <c r="Q44" s="27" t="str">
        <f t="shared" si="4"/>
        <v/>
      </c>
      <c r="R44" s="27" t="str">
        <f t="shared" si="5"/>
        <v/>
      </c>
      <c r="S44" s="1" t="str">
        <f t="shared" si="6"/>
        <v/>
      </c>
      <c r="T44" s="28" t="str">
        <f t="shared" si="7"/>
        <v/>
      </c>
    </row>
    <row r="45" spans="1:20" ht="12.75" hidden="1" customHeight="1" x14ac:dyDescent="0.2">
      <c r="A45" s="18"/>
      <c r="B45" s="36" t="str">
        <f>IF(Ist!B8="","-",MID(Ist!B8,4,30))</f>
        <v>Milchkälber</v>
      </c>
      <c r="C45" s="18"/>
      <c r="D45" s="26">
        <f>IF('[1]E-Ist'!$I8="","",'[1]E-Ist'!$I8)</f>
        <v>47.5</v>
      </c>
      <c r="E45" s="27"/>
      <c r="F45" s="27"/>
      <c r="H45" s="28">
        <f>IF(Ist!$I8="","",Ist!$I8)</f>
        <v>47.5</v>
      </c>
      <c r="I45" s="29" t="str">
        <f t="shared" si="12"/>
        <v>Richtig!</v>
      </c>
      <c r="J45" s="30" t="str">
        <f t="shared" si="13"/>
        <v>-</v>
      </c>
      <c r="K45" s="23" t="str">
        <f t="shared" si="3"/>
        <v/>
      </c>
      <c r="L45" s="24" t="str">
        <f t="shared" si="11"/>
        <v/>
      </c>
      <c r="N45" s="882"/>
      <c r="P45" s="26">
        <f t="shared" si="8"/>
        <v>47.5</v>
      </c>
      <c r="Q45" s="27" t="str">
        <f t="shared" si="4"/>
        <v/>
      </c>
      <c r="R45" s="27" t="str">
        <f t="shared" si="5"/>
        <v/>
      </c>
      <c r="S45" s="1" t="str">
        <f t="shared" si="6"/>
        <v/>
      </c>
      <c r="T45" s="28">
        <f t="shared" si="7"/>
        <v>47.5</v>
      </c>
    </row>
    <row r="46" spans="1:20" ht="12.75" hidden="1" customHeight="1" x14ac:dyDescent="0.2">
      <c r="A46" s="18"/>
      <c r="B46" s="36" t="str">
        <f>IF(Ist!B9="","-",MID(Ist!B9,4,30))</f>
        <v>Masthühner</v>
      </c>
      <c r="C46" s="18"/>
      <c r="D46" s="26">
        <f>IF('[1]E-Ist'!$I9="","",'[1]E-Ist'!$I9)</f>
        <v>135</v>
      </c>
      <c r="E46" s="27"/>
      <c r="F46" s="27"/>
      <c r="H46" s="28">
        <f>IF(Ist!$I9="","",Ist!$I9)</f>
        <v>135</v>
      </c>
      <c r="I46" s="29" t="str">
        <f t="shared" si="12"/>
        <v>Richtig!</v>
      </c>
      <c r="J46" s="30" t="str">
        <f t="shared" si="13"/>
        <v>-</v>
      </c>
      <c r="K46" s="23" t="str">
        <f t="shared" si="3"/>
        <v/>
      </c>
      <c r="L46" s="24" t="str">
        <f t="shared" si="11"/>
        <v/>
      </c>
      <c r="N46" s="882"/>
      <c r="P46" s="26">
        <f t="shared" si="8"/>
        <v>135</v>
      </c>
      <c r="Q46" s="27" t="str">
        <f t="shared" si="4"/>
        <v/>
      </c>
      <c r="R46" s="27" t="str">
        <f t="shared" si="5"/>
        <v/>
      </c>
      <c r="S46" s="1" t="str">
        <f t="shared" si="6"/>
        <v/>
      </c>
      <c r="T46" s="28">
        <f t="shared" si="7"/>
        <v>135</v>
      </c>
    </row>
    <row r="47" spans="1:20" ht="12.75" hidden="1" customHeight="1" x14ac:dyDescent="0.2">
      <c r="A47" s="18"/>
      <c r="B47" s="36" t="str">
        <f>IF(Ist!B10="","-",MID(Ist!B10,4,30))</f>
        <v>Kartoffel</v>
      </c>
      <c r="C47" s="18"/>
      <c r="D47" s="26">
        <f>IF('[1]E-Ist'!$I10="","",'[1]E-Ist'!$I10)</f>
        <v>34.68</v>
      </c>
      <c r="E47" s="27"/>
      <c r="F47" s="27"/>
      <c r="H47" s="28">
        <f>IF(Ist!$I10="","",Ist!$I10)</f>
        <v>34.68</v>
      </c>
      <c r="I47" s="29" t="str">
        <f t="shared" si="12"/>
        <v>Richtig!</v>
      </c>
      <c r="J47" s="30" t="str">
        <f t="shared" si="13"/>
        <v>-</v>
      </c>
      <c r="K47" s="23" t="str">
        <f t="shared" si="3"/>
        <v/>
      </c>
      <c r="L47" s="24" t="str">
        <f t="shared" si="11"/>
        <v/>
      </c>
      <c r="N47" s="882"/>
      <c r="P47" s="26">
        <f t="shared" si="8"/>
        <v>34.68</v>
      </c>
      <c r="Q47" s="27" t="str">
        <f t="shared" si="4"/>
        <v/>
      </c>
      <c r="R47" s="27" t="str">
        <f t="shared" si="5"/>
        <v/>
      </c>
      <c r="S47" s="1" t="str">
        <f t="shared" si="6"/>
        <v/>
      </c>
      <c r="T47" s="28">
        <f t="shared" si="7"/>
        <v>34.68</v>
      </c>
    </row>
    <row r="48" spans="1:20" ht="12.75" hidden="1" customHeight="1" x14ac:dyDescent="0.2">
      <c r="A48" s="18"/>
      <c r="B48" s="36" t="str">
        <f>IF(Ist!B11="","-",MID(Ist!B11,4,30))</f>
        <v>-</v>
      </c>
      <c r="C48" s="18"/>
      <c r="D48" s="26" t="str">
        <f>IF('[1]E-Ist'!$I11="","",'[1]E-Ist'!$I11)</f>
        <v/>
      </c>
      <c r="E48" s="27"/>
      <c r="F48" s="27"/>
      <c r="H48" s="28" t="str">
        <f>IF(Ist!$I11="","",Ist!$I11)</f>
        <v/>
      </c>
      <c r="I48" s="29" t="str">
        <f t="shared" si="12"/>
        <v/>
      </c>
      <c r="J48" s="30" t="str">
        <f t="shared" si="13"/>
        <v>-</v>
      </c>
      <c r="K48" s="23" t="str">
        <f t="shared" si="3"/>
        <v/>
      </c>
      <c r="L48" s="24" t="str">
        <f t="shared" si="11"/>
        <v/>
      </c>
      <c r="N48" s="882"/>
      <c r="P48" s="26" t="str">
        <f t="shared" si="8"/>
        <v/>
      </c>
      <c r="Q48" s="27" t="str">
        <f t="shared" si="4"/>
        <v/>
      </c>
      <c r="R48" s="27" t="str">
        <f t="shared" si="5"/>
        <v/>
      </c>
      <c r="S48" s="1" t="str">
        <f t="shared" si="6"/>
        <v/>
      </c>
      <c r="T48" s="28" t="str">
        <f t="shared" si="7"/>
        <v/>
      </c>
    </row>
    <row r="49" spans="1:20" ht="12.75" hidden="1" customHeight="1" x14ac:dyDescent="0.2">
      <c r="A49" s="18"/>
      <c r="B49" s="36" t="str">
        <f>IF(Ist!B12="","-",MID(Ist!B12,4,30))</f>
        <v>-</v>
      </c>
      <c r="C49" s="18"/>
      <c r="D49" s="26" t="str">
        <f>IF('[1]E-Ist'!$I12="","",'[1]E-Ist'!$I12)</f>
        <v/>
      </c>
      <c r="E49" s="27"/>
      <c r="F49" s="27"/>
      <c r="H49" s="28" t="str">
        <f>IF(Ist!$I12="","",Ist!$I12)</f>
        <v/>
      </c>
      <c r="I49" s="29" t="str">
        <f t="shared" si="12"/>
        <v/>
      </c>
      <c r="J49" s="30" t="str">
        <f t="shared" si="13"/>
        <v>-</v>
      </c>
      <c r="K49" s="23" t="str">
        <f t="shared" si="3"/>
        <v/>
      </c>
      <c r="L49" s="24" t="str">
        <f t="shared" si="11"/>
        <v/>
      </c>
      <c r="N49" s="882"/>
      <c r="P49" s="26" t="str">
        <f t="shared" si="8"/>
        <v/>
      </c>
      <c r="Q49" s="27" t="str">
        <f t="shared" si="4"/>
        <v/>
      </c>
      <c r="R49" s="27" t="str">
        <f t="shared" si="5"/>
        <v/>
      </c>
      <c r="S49" s="1" t="str">
        <f t="shared" si="6"/>
        <v/>
      </c>
      <c r="T49" s="28" t="str">
        <f t="shared" si="7"/>
        <v/>
      </c>
    </row>
    <row r="50" spans="1:20" ht="12.75" hidden="1" customHeight="1" x14ac:dyDescent="0.2">
      <c r="A50" s="18"/>
      <c r="B50" s="36" t="str">
        <f>IF(Ist!B13="","-",MID(Ist!B13,4,30))</f>
        <v>Feldfutter - Heu</v>
      </c>
      <c r="C50" s="18"/>
      <c r="D50" s="26">
        <f>IF('[1]E-Ist'!$I13="","",'[1]E-Ist'!$I13)</f>
        <v>65.849999999999994</v>
      </c>
      <c r="E50" s="27"/>
      <c r="F50" s="27"/>
      <c r="H50" s="28">
        <f>IF(Ist!$I13="","",Ist!$I13)</f>
        <v>65.849999999999994</v>
      </c>
      <c r="I50" s="29" t="str">
        <f t="shared" si="12"/>
        <v>Richtig!</v>
      </c>
      <c r="J50" s="30" t="str">
        <f t="shared" si="13"/>
        <v>-</v>
      </c>
      <c r="K50" s="23" t="str">
        <f t="shared" si="3"/>
        <v/>
      </c>
      <c r="L50" s="24" t="str">
        <f t="shared" si="11"/>
        <v/>
      </c>
      <c r="N50" s="882"/>
      <c r="P50" s="26">
        <f t="shared" si="8"/>
        <v>65.849999999999994</v>
      </c>
      <c r="Q50" s="27" t="str">
        <f t="shared" si="4"/>
        <v/>
      </c>
      <c r="R50" s="27" t="str">
        <f t="shared" si="5"/>
        <v/>
      </c>
      <c r="S50" s="1" t="str">
        <f t="shared" si="6"/>
        <v/>
      </c>
      <c r="T50" s="28">
        <f t="shared" si="7"/>
        <v>65.849999999999994</v>
      </c>
    </row>
    <row r="51" spans="1:20" ht="12.75" customHeight="1" x14ac:dyDescent="0.2">
      <c r="A51" s="18"/>
      <c r="B51" s="36" t="str">
        <f>IF(Ist!B14="","-",MID(Ist!B14,4,30))</f>
        <v>Dauergrünland 3-schnittig</v>
      </c>
      <c r="C51" s="18"/>
      <c r="D51" s="26">
        <f>IF('[1]E-Ist'!$I14="","",'[1]E-Ist'!$I14)</f>
        <v>498.11199999999997</v>
      </c>
      <c r="E51" s="27"/>
      <c r="F51" s="27"/>
      <c r="H51" s="28" t="str">
        <f>IF(Ist!$I14="","",Ist!$I14)</f>
        <v/>
      </c>
      <c r="I51" s="29" t="str">
        <f t="shared" si="12"/>
        <v>Fehlt</v>
      </c>
      <c r="J51" s="30">
        <f t="shared" si="13"/>
        <v>0</v>
      </c>
      <c r="K51" s="23" t="str">
        <f t="shared" si="3"/>
        <v>│</v>
      </c>
      <c r="L51" s="24">
        <f t="shared" si="11"/>
        <v>1</v>
      </c>
      <c r="N51" s="882" t="str">
        <f>IF($L$1="","",$L$1)</f>
        <v>x</v>
      </c>
      <c r="P51" s="26">
        <f t="shared" si="8"/>
        <v>498.11200000000002</v>
      </c>
      <c r="Q51" s="27" t="str">
        <f t="shared" si="4"/>
        <v/>
      </c>
      <c r="R51" s="27" t="str">
        <f t="shared" si="5"/>
        <v/>
      </c>
      <c r="S51" s="1" t="str">
        <f t="shared" si="6"/>
        <v/>
      </c>
      <c r="T51" s="28" t="str">
        <f t="shared" si="7"/>
        <v/>
      </c>
    </row>
    <row r="52" spans="1:20" ht="12.75" customHeight="1" x14ac:dyDescent="0.2">
      <c r="A52" s="18"/>
      <c r="B52" s="36" t="str">
        <f>IF(Ist!B15="","-",MID(Ist!B15,4,30))</f>
        <v>Dauergrünland 1-schnittig</v>
      </c>
      <c r="C52" s="18"/>
      <c r="D52" s="26">
        <f>IF('[1]E-Ist'!$I15="","",'[1]E-Ist'!$I15)</f>
        <v>18.399999999999999</v>
      </c>
      <c r="E52" s="27"/>
      <c r="F52" s="27"/>
      <c r="H52" s="28" t="str">
        <f>IF(Ist!$I15="","",Ist!$I15)</f>
        <v/>
      </c>
      <c r="I52" s="29" t="str">
        <f t="shared" si="12"/>
        <v>Fehlt</v>
      </c>
      <c r="J52" s="30">
        <f t="shared" si="13"/>
        <v>0</v>
      </c>
      <c r="K52" s="23" t="str">
        <f t="shared" si="3"/>
        <v>│</v>
      </c>
      <c r="L52" s="24">
        <f t="shared" si="11"/>
        <v>1</v>
      </c>
      <c r="N52" s="882" t="str">
        <f>IF($L$1="","",$L$1)</f>
        <v>x</v>
      </c>
      <c r="P52" s="26">
        <f t="shared" si="8"/>
        <v>18.399999999999999</v>
      </c>
      <c r="Q52" s="27" t="str">
        <f t="shared" si="4"/>
        <v/>
      </c>
      <c r="R52" s="27" t="str">
        <f t="shared" si="5"/>
        <v/>
      </c>
      <c r="S52" s="1" t="str">
        <f t="shared" si="6"/>
        <v/>
      </c>
      <c r="T52" s="28" t="str">
        <f t="shared" si="7"/>
        <v/>
      </c>
    </row>
    <row r="53" spans="1:20" ht="12.75" hidden="1" customHeight="1" x14ac:dyDescent="0.2">
      <c r="A53" s="18"/>
      <c r="B53" s="36" t="str">
        <f>IF(Ist!B16="","-",MID(Ist!B16,4,30))</f>
        <v>-</v>
      </c>
      <c r="C53" s="18"/>
      <c r="D53" s="26" t="str">
        <f>IF('[1]E-Ist'!$I16="","",'[1]E-Ist'!$I16)</f>
        <v/>
      </c>
      <c r="E53" s="27"/>
      <c r="F53" s="27"/>
      <c r="H53" s="28" t="str">
        <f>IF(Ist!$I16="","",Ist!$I16)</f>
        <v/>
      </c>
      <c r="I53" s="29" t="str">
        <f t="shared" si="12"/>
        <v/>
      </c>
      <c r="J53" s="30" t="str">
        <f t="shared" si="13"/>
        <v>-</v>
      </c>
      <c r="K53" s="23" t="str">
        <f t="shared" si="3"/>
        <v/>
      </c>
      <c r="L53" s="24" t="str">
        <f t="shared" si="11"/>
        <v/>
      </c>
      <c r="N53" s="882"/>
      <c r="P53" s="26" t="str">
        <f t="shared" si="8"/>
        <v/>
      </c>
      <c r="Q53" s="27" t="str">
        <f t="shared" si="4"/>
        <v/>
      </c>
      <c r="R53" s="27" t="str">
        <f t="shared" si="5"/>
        <v/>
      </c>
      <c r="S53" s="1" t="str">
        <f t="shared" si="6"/>
        <v/>
      </c>
      <c r="T53" s="28" t="str">
        <f t="shared" si="7"/>
        <v/>
      </c>
    </row>
    <row r="54" spans="1:20" ht="12.75" hidden="1" customHeight="1" x14ac:dyDescent="0.2">
      <c r="A54" s="18"/>
      <c r="B54" s="36" t="str">
        <f>IF(Ist!B17="","-",MID(Ist!B17,4,30))</f>
        <v>-</v>
      </c>
      <c r="C54" s="18"/>
      <c r="D54" s="26" t="str">
        <f>IF('[1]E-Ist'!$I17="","",'[1]E-Ist'!$I17)</f>
        <v/>
      </c>
      <c r="E54" s="27"/>
      <c r="F54" s="27"/>
      <c r="H54" s="28" t="str">
        <f>IF(Ist!$I17="","",Ist!$I17)</f>
        <v/>
      </c>
      <c r="I54" s="29" t="str">
        <f t="shared" si="12"/>
        <v/>
      </c>
      <c r="J54" s="30" t="str">
        <f t="shared" si="13"/>
        <v>-</v>
      </c>
      <c r="K54" s="23" t="str">
        <f t="shared" si="3"/>
        <v/>
      </c>
      <c r="L54" s="24" t="str">
        <f t="shared" si="11"/>
        <v/>
      </c>
      <c r="N54" s="882"/>
      <c r="P54" s="26" t="str">
        <f t="shared" si="8"/>
        <v/>
      </c>
      <c r="Q54" s="27" t="str">
        <f t="shared" si="4"/>
        <v/>
      </c>
      <c r="R54" s="27" t="str">
        <f t="shared" si="5"/>
        <v/>
      </c>
      <c r="S54" s="1" t="str">
        <f t="shared" si="6"/>
        <v/>
      </c>
      <c r="T54" s="28" t="str">
        <f t="shared" si="7"/>
        <v/>
      </c>
    </row>
    <row r="55" spans="1:20" ht="12.75" hidden="1" customHeight="1" x14ac:dyDescent="0.2">
      <c r="A55" s="18"/>
      <c r="B55" s="36" t="str">
        <f>IF(Ist!B18="","-",MID(Ist!B18,4,30))</f>
        <v>-</v>
      </c>
      <c r="C55" s="18"/>
      <c r="D55" s="26" t="str">
        <f>IF('[1]E-Ist'!$I18="","",'[1]E-Ist'!$I18)</f>
        <v/>
      </c>
      <c r="E55" s="27"/>
      <c r="F55" s="27"/>
      <c r="H55" s="28" t="str">
        <f>IF(Ist!$I18="","",Ist!$I18)</f>
        <v/>
      </c>
      <c r="I55" s="29" t="str">
        <f t="shared" si="12"/>
        <v/>
      </c>
      <c r="J55" s="30" t="str">
        <f t="shared" si="13"/>
        <v>-</v>
      </c>
      <c r="K55" s="23" t="str">
        <f t="shared" si="3"/>
        <v/>
      </c>
      <c r="L55" s="24" t="str">
        <f t="shared" si="11"/>
        <v/>
      </c>
      <c r="N55" s="882"/>
      <c r="P55" s="26" t="str">
        <f t="shared" si="8"/>
        <v/>
      </c>
      <c r="Q55" s="27" t="str">
        <f t="shared" si="4"/>
        <v/>
      </c>
      <c r="R55" s="27" t="str">
        <f t="shared" si="5"/>
        <v/>
      </c>
      <c r="S55" s="1" t="str">
        <f t="shared" si="6"/>
        <v/>
      </c>
      <c r="T55" s="28" t="str">
        <f t="shared" si="7"/>
        <v/>
      </c>
    </row>
    <row r="56" spans="1:20" ht="12.75" hidden="1" customHeight="1" x14ac:dyDescent="0.2">
      <c r="A56" s="18"/>
      <c r="B56" s="36" t="str">
        <f>IF(Ist!B19="","-",MID(Ist!B19,4,30))</f>
        <v>-</v>
      </c>
      <c r="C56" s="18"/>
      <c r="D56" s="26" t="str">
        <f>IF('[1]E-Ist'!$I19="","",'[1]E-Ist'!$I19)</f>
        <v/>
      </c>
      <c r="E56" s="27"/>
      <c r="F56" s="27"/>
      <c r="H56" s="28" t="str">
        <f>IF(Ist!$I19="","",Ist!$I19)</f>
        <v/>
      </c>
      <c r="I56" s="29" t="str">
        <f t="shared" si="12"/>
        <v/>
      </c>
      <c r="J56" s="30" t="str">
        <f t="shared" si="13"/>
        <v>-</v>
      </c>
      <c r="K56" s="23" t="str">
        <f t="shared" si="3"/>
        <v/>
      </c>
      <c r="L56" s="24" t="str">
        <f t="shared" si="11"/>
        <v/>
      </c>
      <c r="N56" s="882"/>
      <c r="P56" s="26" t="str">
        <f t="shared" si="8"/>
        <v/>
      </c>
      <c r="Q56" s="27" t="str">
        <f t="shared" si="4"/>
        <v/>
      </c>
      <c r="R56" s="27" t="str">
        <f t="shared" si="5"/>
        <v/>
      </c>
      <c r="S56" s="1" t="str">
        <f t="shared" si="6"/>
        <v/>
      </c>
      <c r="T56" s="28" t="str">
        <f t="shared" si="7"/>
        <v/>
      </c>
    </row>
    <row r="57" spans="1:20" ht="12.75" customHeight="1" x14ac:dyDescent="0.2">
      <c r="A57" s="18"/>
      <c r="B57" s="36" t="s">
        <v>16</v>
      </c>
      <c r="C57" s="18"/>
      <c r="D57" s="31">
        <f>IF('[1]E-Ist'!$I23="","",'[1]E-Ist'!$I23)</f>
        <v>3728.8420000000001</v>
      </c>
      <c r="E57" s="27"/>
      <c r="F57" s="32">
        <f>SUM(H43:H56)</f>
        <v>2967.5299999999997</v>
      </c>
      <c r="H57" s="33" t="str">
        <f>IF(Ist!$I23="","",Ist!$I23)</f>
        <v/>
      </c>
      <c r="I57" s="29" t="str">
        <f>IF(B57="-","",IF(T57=P57,"Richtig!",IF(AND(P57&lt;&gt;T57,R57=T57),"Formel: OK",IF(T57="","Fehlt","Falsch"))))</f>
        <v>Fehlt</v>
      </c>
      <c r="J57" s="30">
        <f t="shared" si="13"/>
        <v>0</v>
      </c>
      <c r="K57" s="23" t="str">
        <f t="shared" si="3"/>
        <v>│</v>
      </c>
      <c r="L57" s="24">
        <f t="shared" si="11"/>
        <v>1</v>
      </c>
      <c r="N57" s="882" t="str">
        <f>IF($L$1="","",$L$1)</f>
        <v>x</v>
      </c>
      <c r="P57" s="31">
        <f t="shared" si="8"/>
        <v>3728.8420000000001</v>
      </c>
      <c r="Q57" s="27" t="str">
        <f t="shared" si="4"/>
        <v/>
      </c>
      <c r="R57" s="32">
        <f t="shared" si="5"/>
        <v>2967.53</v>
      </c>
      <c r="S57" s="1" t="str">
        <f t="shared" si="6"/>
        <v/>
      </c>
      <c r="T57" s="33" t="str">
        <f t="shared" si="7"/>
        <v/>
      </c>
    </row>
    <row r="58" spans="1:20" ht="12.75" customHeight="1" x14ac:dyDescent="0.2">
      <c r="A58" s="18"/>
      <c r="B58" s="36"/>
      <c r="C58" s="18"/>
      <c r="D58" s="34"/>
      <c r="E58" s="27"/>
      <c r="F58" s="27"/>
      <c r="H58" s="35"/>
      <c r="I58" s="29"/>
      <c r="J58" s="29"/>
      <c r="K58" s="23" t="str">
        <f t="shared" si="3"/>
        <v/>
      </c>
      <c r="L58" s="24" t="str">
        <f t="shared" si="11"/>
        <v/>
      </c>
      <c r="N58" s="883" t="str">
        <f>IF($L$1="","",$L$1)</f>
        <v>x</v>
      </c>
      <c r="P58" s="34" t="str">
        <f t="shared" si="8"/>
        <v/>
      </c>
      <c r="Q58" s="27" t="str">
        <f t="shared" si="4"/>
        <v/>
      </c>
      <c r="R58" s="27" t="str">
        <f t="shared" si="5"/>
        <v/>
      </c>
      <c r="S58" s="1" t="str">
        <f t="shared" si="6"/>
        <v/>
      </c>
      <c r="T58" s="35" t="str">
        <f t="shared" si="7"/>
        <v/>
      </c>
    </row>
    <row r="59" spans="1:20" ht="12.75" customHeight="1" x14ac:dyDescent="0.2">
      <c r="A59" s="17" t="s">
        <v>17</v>
      </c>
      <c r="B59" s="17" t="s">
        <v>18</v>
      </c>
      <c r="C59" s="18"/>
      <c r="D59" s="19"/>
      <c r="H59" s="20"/>
      <c r="I59" s="21"/>
      <c r="J59" s="21"/>
      <c r="K59" s="23" t="str">
        <f t="shared" si="3"/>
        <v/>
      </c>
      <c r="L59" s="24" t="str">
        <f t="shared" si="11"/>
        <v/>
      </c>
      <c r="N59" s="880" t="str">
        <f>IF($L$1="","",$L$1)</f>
        <v>x</v>
      </c>
      <c r="P59" s="19" t="str">
        <f t="shared" si="8"/>
        <v/>
      </c>
      <c r="Q59" s="1" t="str">
        <f t="shared" si="4"/>
        <v/>
      </c>
      <c r="R59" s="1" t="str">
        <f t="shared" si="5"/>
        <v/>
      </c>
      <c r="S59" s="1" t="str">
        <f t="shared" si="6"/>
        <v/>
      </c>
      <c r="T59" s="20" t="str">
        <f t="shared" si="7"/>
        <v/>
      </c>
    </row>
    <row r="60" spans="1:20" ht="12.75" customHeight="1" x14ac:dyDescent="0.2">
      <c r="A60" s="17"/>
      <c r="B60" s="36" t="str">
        <f>IF(Ist!B26="","-",Ist!B26)</f>
        <v>Summe Sonstige Erträge</v>
      </c>
      <c r="C60" s="18"/>
      <c r="D60" s="26">
        <f>IF('[1]E-Ist'!$E26="","",'[1]E-Ist'!$E26)</f>
        <v>2045</v>
      </c>
      <c r="E60" s="27"/>
      <c r="F60" s="27"/>
      <c r="H60" s="28" t="str">
        <f>IF(Ist!$E26="","",Ist!$E26)</f>
        <v/>
      </c>
      <c r="I60" s="29" t="str">
        <f>IF(AND(P60="",T60=""),"",IF(T60=P60,"Richtig!",IF(T60="","Fehlt","Falsch")))</f>
        <v>Fehlt</v>
      </c>
      <c r="J60" s="30">
        <f t="shared" ref="J60:J65" si="14">IF(OR(B60="-",N60="",AND(P60="",T60="")),"-",IF(I60="Richtig!",1,IF(I60="Formel: OK",0.5,IF(OR(I60="Falsch",I60="Fehlt"),0,""))))</f>
        <v>0</v>
      </c>
      <c r="K60" s="23" t="str">
        <f t="shared" si="3"/>
        <v>│</v>
      </c>
      <c r="L60" s="24">
        <f t="shared" si="11"/>
        <v>1</v>
      </c>
      <c r="N60" s="882" t="str">
        <f t="shared" ref="N60:N75" si="15">IF($L$1="","",$L$1)</f>
        <v>x</v>
      </c>
      <c r="P60" s="26">
        <f t="shared" si="8"/>
        <v>2045</v>
      </c>
      <c r="Q60" s="27" t="str">
        <f t="shared" si="4"/>
        <v/>
      </c>
      <c r="R60" s="27" t="str">
        <f t="shared" si="5"/>
        <v/>
      </c>
      <c r="S60" s="1" t="str">
        <f t="shared" si="6"/>
        <v/>
      </c>
      <c r="T60" s="28" t="str">
        <f t="shared" si="7"/>
        <v/>
      </c>
    </row>
    <row r="61" spans="1:20" ht="12.75" customHeight="1" x14ac:dyDescent="0.2">
      <c r="A61" s="18"/>
      <c r="B61" s="36" t="str">
        <f>IF(Ist!B35="","-",Ist!B35)</f>
        <v>SUMME FÖRDERUNGEN</v>
      </c>
      <c r="C61" s="18"/>
      <c r="D61" s="26">
        <f>IF('[1]E-Ist'!$E35="","",'[1]E-Ist'!$E35)</f>
        <v>6858</v>
      </c>
      <c r="E61" s="27"/>
      <c r="F61" s="27"/>
      <c r="H61" s="28" t="str">
        <f>IF(Ist!$E35="","",Ist!$E35)</f>
        <v/>
      </c>
      <c r="I61" s="29" t="str">
        <f>IF(AND(P61="",T61=""),"",IF(T61=P61,"Richtig!",IF(T61="","Fehlt","Falsch")))</f>
        <v>Fehlt</v>
      </c>
      <c r="J61" s="30">
        <f t="shared" si="14"/>
        <v>0</v>
      </c>
      <c r="K61" s="23" t="str">
        <f t="shared" si="3"/>
        <v>│</v>
      </c>
      <c r="L61" s="24">
        <f t="shared" si="11"/>
        <v>1</v>
      </c>
      <c r="N61" s="882" t="str">
        <f t="shared" si="15"/>
        <v>x</v>
      </c>
      <c r="P61" s="26">
        <f t="shared" si="8"/>
        <v>6858</v>
      </c>
      <c r="Q61" s="27" t="str">
        <f t="shared" si="4"/>
        <v/>
      </c>
      <c r="R61" s="27" t="str">
        <f t="shared" si="5"/>
        <v/>
      </c>
      <c r="S61" s="1" t="str">
        <f t="shared" si="6"/>
        <v/>
      </c>
      <c r="T61" s="28" t="str">
        <f t="shared" si="7"/>
        <v/>
      </c>
    </row>
    <row r="62" spans="1:20" ht="12.75" customHeight="1" x14ac:dyDescent="0.2">
      <c r="A62" s="18"/>
      <c r="B62" s="36" t="str">
        <f>IF(Ist!B37="","-",Ist!B37)</f>
        <v>GDB einschl. Förd. und sonst. Erträge</v>
      </c>
      <c r="C62" s="18"/>
      <c r="D62" s="31">
        <f>IF('[1]E-Ist'!$E37="","",'[1]E-Ist'!$E37)</f>
        <v>20436.230000000003</v>
      </c>
      <c r="E62" s="27"/>
      <c r="F62" s="32">
        <f>SUM(H23,H60,H61)</f>
        <v>0</v>
      </c>
      <c r="H62" s="33" t="str">
        <f>IF(Ist!$E37="","",Ist!$E37)</f>
        <v/>
      </c>
      <c r="I62" s="29" t="str">
        <f>IF(B62="-","",IF(T62=P62,"Richtig!",IF(AND(P62&lt;&gt;T62,R62=T62),"Formel: OK",IF(T62="","Fehlt","Falsch"))))</f>
        <v>Fehlt</v>
      </c>
      <c r="J62" s="30">
        <f t="shared" si="14"/>
        <v>0</v>
      </c>
      <c r="K62" s="23" t="str">
        <f t="shared" si="3"/>
        <v>│</v>
      </c>
      <c r="L62" s="24">
        <f t="shared" si="11"/>
        <v>1</v>
      </c>
      <c r="N62" s="882" t="str">
        <f t="shared" si="15"/>
        <v>x</v>
      </c>
      <c r="P62" s="31">
        <f t="shared" si="8"/>
        <v>20436.23</v>
      </c>
      <c r="Q62" s="27" t="str">
        <f t="shared" si="4"/>
        <v/>
      </c>
      <c r="R62" s="32">
        <f t="shared" si="5"/>
        <v>0</v>
      </c>
      <c r="S62" s="1" t="str">
        <f t="shared" si="6"/>
        <v/>
      </c>
      <c r="T62" s="33" t="str">
        <f t="shared" si="7"/>
        <v/>
      </c>
    </row>
    <row r="63" spans="1:20" ht="12.75" customHeight="1" x14ac:dyDescent="0.2">
      <c r="A63" s="18"/>
      <c r="B63" s="36" t="str">
        <f>IF(Ist!B39="","-",Ist!B39)</f>
        <v>LANDWIRTSCHAFTLICHES EINKOMMEN - Gesamt</v>
      </c>
      <c r="C63" s="18"/>
      <c r="D63" s="31">
        <f>IF('[1]E-Ist'!$E39="","",'[1]E-Ist'!$E39)</f>
        <v>5016.9916935483889</v>
      </c>
      <c r="E63" s="27"/>
      <c r="F63" s="32">
        <f>SUM(F62,Ist!E38)</f>
        <v>0</v>
      </c>
      <c r="H63" s="33" t="str">
        <f>IF(Ist!$E39="","",Ist!$E39)</f>
        <v/>
      </c>
      <c r="I63" s="29" t="str">
        <f>IF(B63="-","",IF(T63=P63,"Richtig!",IF(AND(P63&lt;&gt;T63,R63=T63),"Formel: OK",IF(T63="","Fehlt","Falsch"))))</f>
        <v>Fehlt</v>
      </c>
      <c r="J63" s="30">
        <f t="shared" si="14"/>
        <v>0</v>
      </c>
      <c r="K63" s="23" t="str">
        <f t="shared" si="3"/>
        <v>│</v>
      </c>
      <c r="L63" s="24">
        <f t="shared" si="11"/>
        <v>1</v>
      </c>
      <c r="N63" s="882" t="str">
        <f t="shared" si="15"/>
        <v>x</v>
      </c>
      <c r="P63" s="31">
        <f t="shared" si="8"/>
        <v>5016.9916899999998</v>
      </c>
      <c r="Q63" s="27" t="str">
        <f t="shared" si="4"/>
        <v/>
      </c>
      <c r="R63" s="32">
        <f t="shared" si="5"/>
        <v>0</v>
      </c>
      <c r="S63" s="1" t="str">
        <f t="shared" si="6"/>
        <v/>
      </c>
      <c r="T63" s="33" t="str">
        <f t="shared" si="7"/>
        <v/>
      </c>
    </row>
    <row r="64" spans="1:20" ht="12.75" customHeight="1" x14ac:dyDescent="0.2">
      <c r="A64" s="18"/>
      <c r="B64" s="36" t="str">
        <f>IF(Ist!B40="","-",Ist!B40)</f>
        <v>LANDWIRTSCHAFTLICHES EINKOMMEN - EK/Akh</v>
      </c>
      <c r="C64" s="18"/>
      <c r="D64" s="31">
        <f>IF('[1]E-Ist'!$E40="","",'[1]E-Ist'!$E40)</f>
        <v>1.3454556920213805</v>
      </c>
      <c r="E64" s="27"/>
      <c r="F64" s="32" t="str">
        <f>IF(OR(H63="",H57=""),"-",H63/H57)</f>
        <v>-</v>
      </c>
      <c r="H64" s="33" t="str">
        <f>IF(Ist!$E40="","",Ist!$E40)</f>
        <v/>
      </c>
      <c r="I64" s="29" t="str">
        <f>IF(B64="-","",IF(T64=P64,"Richtig!",IF(AND(P64&lt;&gt;T64,R64=T64),"Formel: OK",IF(T64="","Fehlt","Falsch"))))</f>
        <v>Fehlt</v>
      </c>
      <c r="J64" s="30">
        <f t="shared" si="14"/>
        <v>0</v>
      </c>
      <c r="K64" s="23" t="str">
        <f t="shared" si="3"/>
        <v>│</v>
      </c>
      <c r="L64" s="24">
        <f t="shared" si="11"/>
        <v>1</v>
      </c>
      <c r="N64" s="882" t="str">
        <f t="shared" si="15"/>
        <v>x</v>
      </c>
      <c r="P64" s="31">
        <f t="shared" si="8"/>
        <v>1.3454600000000001</v>
      </c>
      <c r="Q64" s="27" t="str">
        <f t="shared" si="4"/>
        <v/>
      </c>
      <c r="R64" s="32" t="str">
        <f t="shared" si="5"/>
        <v>-</v>
      </c>
      <c r="S64" s="1" t="str">
        <f t="shared" si="6"/>
        <v/>
      </c>
      <c r="T64" s="33" t="str">
        <f t="shared" si="7"/>
        <v/>
      </c>
    </row>
    <row r="65" spans="1:20" ht="12.75" customHeight="1" x14ac:dyDescent="0.2">
      <c r="A65" s="18"/>
      <c r="B65" s="36" t="str">
        <f>IF(Ist!B43="","-",Ist!B43)</f>
        <v>GESAMTEINKOMMEN</v>
      </c>
      <c r="C65" s="18"/>
      <c r="D65" s="31">
        <f>IF('[1]E-Ist'!$E43="","",'[1]E-Ist'!$E43)</f>
        <v>26014.991693548389</v>
      </c>
      <c r="E65" s="27"/>
      <c r="F65" s="32">
        <f>SUM(H63,Ist!E41:E42)</f>
        <v>20998</v>
      </c>
      <c r="H65" s="33" t="str">
        <f>IF(Ist!$E43="","",Ist!$E43)</f>
        <v/>
      </c>
      <c r="I65" s="29" t="str">
        <f>IF(B65="-","",IF(T65=P65,"Richtig!",IF(AND(P65&lt;&gt;T65,R65=T65),"Formel: OK",IF(T65="","Fehlt","Falsch"))))</f>
        <v>Fehlt</v>
      </c>
      <c r="J65" s="30">
        <f t="shared" si="14"/>
        <v>0</v>
      </c>
      <c r="K65" s="23" t="str">
        <f t="shared" si="3"/>
        <v>│</v>
      </c>
      <c r="L65" s="24">
        <f t="shared" si="11"/>
        <v>1</v>
      </c>
      <c r="N65" s="882" t="str">
        <f t="shared" si="15"/>
        <v>x</v>
      </c>
      <c r="P65" s="31">
        <f t="shared" si="8"/>
        <v>26014.991689999999</v>
      </c>
      <c r="Q65" s="27" t="str">
        <f t="shared" si="4"/>
        <v/>
      </c>
      <c r="R65" s="32">
        <f t="shared" si="5"/>
        <v>20998</v>
      </c>
      <c r="S65" s="1" t="str">
        <f t="shared" si="6"/>
        <v/>
      </c>
      <c r="T65" s="33" t="str">
        <f t="shared" si="7"/>
        <v/>
      </c>
    </row>
    <row r="66" spans="1:20" ht="12.75" customHeight="1" x14ac:dyDescent="0.2">
      <c r="A66" s="18"/>
      <c r="B66" s="18"/>
      <c r="C66" s="18"/>
      <c r="D66" s="19"/>
      <c r="H66" s="20"/>
      <c r="I66" s="21"/>
      <c r="J66" s="21"/>
      <c r="K66" s="23" t="str">
        <f t="shared" si="3"/>
        <v/>
      </c>
      <c r="L66" s="24" t="str">
        <f t="shared" si="11"/>
        <v/>
      </c>
      <c r="N66" s="883" t="str">
        <f t="shared" si="15"/>
        <v>x</v>
      </c>
      <c r="P66" s="19" t="str">
        <f t="shared" si="8"/>
        <v/>
      </c>
      <c r="Q66" s="1" t="str">
        <f t="shared" si="4"/>
        <v/>
      </c>
      <c r="R66" s="1" t="str">
        <f t="shared" si="5"/>
        <v/>
      </c>
      <c r="S66" s="1" t="str">
        <f t="shared" si="6"/>
        <v/>
      </c>
      <c r="T66" s="20" t="str">
        <f t="shared" si="7"/>
        <v/>
      </c>
    </row>
    <row r="67" spans="1:20" ht="12.75" customHeight="1" x14ac:dyDescent="0.2">
      <c r="A67" s="17" t="s">
        <v>19</v>
      </c>
      <c r="B67" s="17" t="s">
        <v>20</v>
      </c>
      <c r="C67" s="18"/>
      <c r="D67" s="19"/>
      <c r="H67" s="20"/>
      <c r="I67" s="21"/>
      <c r="J67" s="21"/>
      <c r="K67" s="23" t="str">
        <f t="shared" si="3"/>
        <v/>
      </c>
      <c r="L67" s="24" t="str">
        <f t="shared" si="11"/>
        <v/>
      </c>
      <c r="N67" s="880" t="str">
        <f t="shared" si="15"/>
        <v>x</v>
      </c>
      <c r="P67" s="19" t="str">
        <f t="shared" si="8"/>
        <v/>
      </c>
      <c r="Q67" s="1" t="str">
        <f t="shared" si="4"/>
        <v/>
      </c>
      <c r="R67" s="1" t="str">
        <f t="shared" si="5"/>
        <v/>
      </c>
      <c r="S67" s="1" t="str">
        <f t="shared" si="6"/>
        <v/>
      </c>
      <c r="T67" s="20" t="str">
        <f t="shared" si="7"/>
        <v/>
      </c>
    </row>
    <row r="68" spans="1:20" ht="12.75" customHeight="1" x14ac:dyDescent="0.2">
      <c r="A68" s="18"/>
      <c r="B68" s="36" t="str">
        <f>IF(Ist!F32="","-",Ist!F32)</f>
        <v>Vorläufige Kapitaldienstgrenze</v>
      </c>
      <c r="C68" s="18"/>
      <c r="D68" s="31">
        <f>IF('[1]E-Ist'!$I32="","",'[1]E-Ist'!$I32)</f>
        <v>-1985.0083064516111</v>
      </c>
      <c r="E68" s="27"/>
      <c r="F68" s="32">
        <f>SUM(H65,Ist!I30:I31)</f>
        <v>-28000</v>
      </c>
      <c r="H68" s="33" t="str">
        <f>IF(Ist!$I32="","",Ist!$I32)</f>
        <v/>
      </c>
      <c r="I68" s="29" t="str">
        <f>IF(B68="-","",IF(T68=P68,"Richtig!",IF(AND(P68&lt;&gt;T68,R68=T68),"Formel: OK",IF(T68="","Fehlt","Falsch"))))</f>
        <v>Fehlt</v>
      </c>
      <c r="J68" s="30">
        <f>IF(OR(B68="-",N68="",AND(P68="",T68="")),"-",IF(I68="Richtig!",1,IF(I68="Formel: OK",0.5,IF(OR(I68="Falsch",I68="Fehlt"),0,""))))</f>
        <v>0</v>
      </c>
      <c r="K68" s="23" t="str">
        <f t="shared" si="3"/>
        <v>│</v>
      </c>
      <c r="L68" s="24">
        <f t="shared" si="11"/>
        <v>1</v>
      </c>
      <c r="N68" s="882" t="str">
        <f t="shared" si="15"/>
        <v>x</v>
      </c>
      <c r="P68" s="31">
        <f t="shared" si="8"/>
        <v>-1985.0083099999999</v>
      </c>
      <c r="Q68" s="27" t="str">
        <f t="shared" si="4"/>
        <v/>
      </c>
      <c r="R68" s="32">
        <f t="shared" si="5"/>
        <v>-28000</v>
      </c>
      <c r="S68" s="1" t="str">
        <f t="shared" si="6"/>
        <v/>
      </c>
      <c r="T68" s="33" t="str">
        <f t="shared" si="7"/>
        <v/>
      </c>
    </row>
    <row r="69" spans="1:20" ht="12.75" customHeight="1" x14ac:dyDescent="0.2">
      <c r="A69" s="18"/>
      <c r="B69" s="36" t="str">
        <f>IF(Ist!F35="","-",Ist!F35)</f>
        <v>Kapitaldienstgrenze</v>
      </c>
      <c r="C69" s="18"/>
      <c r="D69" s="31">
        <f>IF('[1]E-Ist'!$I35="","",'[1]E-Ist'!$I35)</f>
        <v>-1587.0083064516111</v>
      </c>
      <c r="E69" s="27"/>
      <c r="F69" s="32">
        <f>SUM(H68,Ist!I33)</f>
        <v>398</v>
      </c>
      <c r="H69" s="33" t="str">
        <f>IF(Ist!$I35="","",Ist!$I35)</f>
        <v/>
      </c>
      <c r="I69" s="29" t="str">
        <f>IF(B69="-","",IF(T69=P69,"Richtig!",IF(AND(P69&lt;&gt;T69,R69=T69),"Formel: OK",IF(T69="","Fehlt","Falsch"))))</f>
        <v>Fehlt</v>
      </c>
      <c r="J69" s="30">
        <f>IF(OR(B69="-",N69="",AND(P69="",T69="")),"-",IF(I69="Richtig!",1,IF(I69="Formel: OK",0.5,IF(OR(I69="Falsch",I69="Fehlt"),0,""))))</f>
        <v>0</v>
      </c>
      <c r="K69" s="23" t="str">
        <f t="shared" si="3"/>
        <v>│</v>
      </c>
      <c r="L69" s="24">
        <f t="shared" si="11"/>
        <v>1</v>
      </c>
      <c r="N69" s="882" t="str">
        <f t="shared" si="15"/>
        <v>x</v>
      </c>
      <c r="P69" s="31">
        <f t="shared" si="8"/>
        <v>-1587.0083099999999</v>
      </c>
      <c r="Q69" s="27" t="str">
        <f t="shared" si="4"/>
        <v/>
      </c>
      <c r="R69" s="32">
        <f t="shared" si="5"/>
        <v>398</v>
      </c>
      <c r="S69" s="1" t="str">
        <f t="shared" si="6"/>
        <v/>
      </c>
      <c r="T69" s="33" t="str">
        <f t="shared" si="7"/>
        <v/>
      </c>
    </row>
    <row r="70" spans="1:20" ht="12.75" customHeight="1" x14ac:dyDescent="0.2">
      <c r="A70" s="18"/>
      <c r="B70" s="18"/>
      <c r="C70" s="18"/>
      <c r="D70" s="19"/>
      <c r="H70" s="20"/>
      <c r="I70" s="21"/>
      <c r="J70" s="21"/>
      <c r="K70" s="23" t="str">
        <f t="shared" si="3"/>
        <v/>
      </c>
      <c r="L70" s="24" t="str">
        <f t="shared" si="11"/>
        <v/>
      </c>
      <c r="N70" s="883" t="str">
        <f t="shared" si="15"/>
        <v>x</v>
      </c>
      <c r="P70" s="19" t="str">
        <f t="shared" si="8"/>
        <v/>
      </c>
      <c r="Q70" s="1" t="str">
        <f t="shared" si="4"/>
        <v/>
      </c>
      <c r="R70" s="1" t="str">
        <f t="shared" si="5"/>
        <v/>
      </c>
      <c r="S70" s="1" t="str">
        <f t="shared" si="6"/>
        <v/>
      </c>
      <c r="T70" s="20" t="str">
        <f t="shared" si="7"/>
        <v/>
      </c>
    </row>
    <row r="71" spans="1:20" ht="22.5" x14ac:dyDescent="0.2">
      <c r="A71" s="10" t="str">
        <f>Plan!B1</f>
        <v>Berechnung geplanten Investition</v>
      </c>
      <c r="B71" s="11"/>
      <c r="C71" s="12"/>
      <c r="D71" s="13" t="s">
        <v>4</v>
      </c>
      <c r="E71" s="13"/>
      <c r="F71" s="14" t="s">
        <v>5</v>
      </c>
      <c r="G71" s="12"/>
      <c r="H71" s="14" t="s">
        <v>6</v>
      </c>
      <c r="I71" s="15" t="str">
        <f>"Fehler"</f>
        <v>Fehler</v>
      </c>
      <c r="J71" s="16" t="s">
        <v>7</v>
      </c>
      <c r="K71" s="16"/>
      <c r="L71" s="16"/>
      <c r="N71" s="881" t="str">
        <f t="shared" si="15"/>
        <v>x</v>
      </c>
      <c r="P71" s="13" t="str">
        <f t="shared" si="8"/>
        <v>Ergebnis</v>
      </c>
      <c r="Q71" s="13" t="str">
        <f t="shared" si="4"/>
        <v/>
      </c>
      <c r="R71" s="14" t="str">
        <f t="shared" si="5"/>
        <v>Formel-
prüfung</v>
      </c>
      <c r="S71" s="12" t="str">
        <f t="shared" si="6"/>
        <v/>
      </c>
      <c r="T71" s="14" t="str">
        <f t="shared" si="7"/>
        <v>Deine Be-rechnung</v>
      </c>
    </row>
    <row r="72" spans="1:20" ht="12.75" customHeight="1" x14ac:dyDescent="0.2">
      <c r="A72" s="17" t="s">
        <v>9</v>
      </c>
      <c r="B72" s="37" t="str">
        <f>Plan!E4</f>
        <v>Jährl. Afa</v>
      </c>
      <c r="C72" s="18"/>
      <c r="D72" s="19"/>
      <c r="H72" s="20"/>
      <c r="I72" s="21"/>
      <c r="J72" s="21"/>
      <c r="K72" s="23" t="str">
        <f t="shared" si="3"/>
        <v/>
      </c>
      <c r="L72" s="24" t="str">
        <f t="shared" ref="L72:L103" si="16">IF(OR(B72="-",N72="",AND(P72="",T72="")),"",1)</f>
        <v/>
      </c>
      <c r="N72" s="880" t="str">
        <f t="shared" si="15"/>
        <v>x</v>
      </c>
      <c r="P72" s="19" t="str">
        <f t="shared" si="8"/>
        <v/>
      </c>
      <c r="Q72" s="1" t="str">
        <f t="shared" si="4"/>
        <v/>
      </c>
      <c r="R72" s="1" t="str">
        <f t="shared" si="5"/>
        <v/>
      </c>
      <c r="S72" s="1" t="str">
        <f t="shared" si="6"/>
        <v/>
      </c>
      <c r="T72" s="20" t="str">
        <f t="shared" si="7"/>
        <v/>
      </c>
    </row>
    <row r="73" spans="1:20" ht="12.75" customHeight="1" x14ac:dyDescent="0.2">
      <c r="B73" s="25" t="str">
        <f>IF(Plan!$B5="","-",Plan!$B5)</f>
        <v>Stallneubau</v>
      </c>
      <c r="C73" s="38" t="s">
        <v>21</v>
      </c>
      <c r="D73" s="26">
        <f>IF('[1]E-Plan'!$E5="","",'[1]E-Plan'!$E5)</f>
        <v>6382.5</v>
      </c>
      <c r="E73" s="27"/>
      <c r="H73" s="28" t="str">
        <f>IF(Plan!$E5="","",Plan!$E5)</f>
        <v/>
      </c>
      <c r="I73" s="29" t="str">
        <f>IF(AND(P73="",T73=""),"",IF(P73=T73,"Richtig!",IF(T73="","Fehlt","Falsch")))</f>
        <v>Fehlt</v>
      </c>
      <c r="J73" s="30">
        <f t="shared" ref="J73:J80" si="17">IF(OR(B73="-",N73="",AND(P73="",T73="")),"-",IF(I73="Richtig!",1,IF(I73="Formel: OK",0.5,IF(OR(I73="Falsch",I73="Fehlt"),0,""))))</f>
        <v>0</v>
      </c>
      <c r="K73" s="23" t="str">
        <f t="shared" si="3"/>
        <v>│</v>
      </c>
      <c r="L73" s="24">
        <f t="shared" si="16"/>
        <v>1</v>
      </c>
      <c r="N73" s="882" t="str">
        <f t="shared" si="15"/>
        <v>x</v>
      </c>
      <c r="P73" s="26">
        <f t="shared" si="8"/>
        <v>6382.5</v>
      </c>
      <c r="Q73" s="27" t="str">
        <f t="shared" si="4"/>
        <v/>
      </c>
      <c r="R73" s="1" t="str">
        <f t="shared" si="5"/>
        <v/>
      </c>
      <c r="S73" s="1" t="str">
        <f t="shared" si="6"/>
        <v/>
      </c>
      <c r="T73" s="28" t="str">
        <f t="shared" si="7"/>
        <v/>
      </c>
    </row>
    <row r="74" spans="1:20" ht="12.75" x14ac:dyDescent="0.2">
      <c r="B74" s="25" t="str">
        <f>IF(Plan!$B6="","-",Plan!$B6)</f>
        <v>Ausstattung</v>
      </c>
      <c r="C74" s="38" t="s">
        <v>21</v>
      </c>
      <c r="D74" s="26">
        <f>IF('[1]E-Plan'!$E6="","",'[1]E-Plan'!$E6)</f>
        <v>2146.8000000000002</v>
      </c>
      <c r="E74" s="27"/>
      <c r="H74" s="28" t="str">
        <f>IF(Plan!$E6="","",Plan!$E6)</f>
        <v/>
      </c>
      <c r="I74" s="29" t="str">
        <f>IF(AND(P74="",T74=""),"",IF(P74=T74,"Richtig!",IF(T74="","Fehlt","Falsch")))</f>
        <v>Fehlt</v>
      </c>
      <c r="J74" s="30">
        <f t="shared" si="17"/>
        <v>0</v>
      </c>
      <c r="K74" s="23" t="str">
        <f t="shared" ref="K74:K137" si="18">IF(L74="","","│")</f>
        <v>│</v>
      </c>
      <c r="L74" s="24">
        <f t="shared" si="16"/>
        <v>1</v>
      </c>
      <c r="N74" s="882" t="str">
        <f t="shared" si="15"/>
        <v>x</v>
      </c>
      <c r="P74" s="26">
        <f t="shared" si="8"/>
        <v>2146.8000000000002</v>
      </c>
      <c r="Q74" s="27" t="str">
        <f t="shared" ref="Q74:Q137" si="19">IF(ISTEXT(E74),E74,IF(E74="","",ROUND(E74,$R$1)))</f>
        <v/>
      </c>
      <c r="R74" s="1" t="str">
        <f t="shared" ref="R74:R137" si="20">IF(ISTEXT(F74),F74,IF(F74="","",ROUND(F74,$R$1)))</f>
        <v/>
      </c>
      <c r="S74" s="1" t="str">
        <f t="shared" ref="S74:S137" si="21">IF(ISTEXT(G74),G74,IF(G74="","",ROUND(G74,$R$1)))</f>
        <v/>
      </c>
      <c r="T74" s="28" t="str">
        <f t="shared" ref="T74:T137" si="22">IF(ISTEXT(H74),H74,IF(H74="","",ROUND(H74,$R$1)))</f>
        <v/>
      </c>
    </row>
    <row r="75" spans="1:20" ht="12.75" x14ac:dyDescent="0.2">
      <c r="B75" s="25" t="str">
        <f>IF(Plan!$B7="","-",Plan!$B7)</f>
        <v>Tierzukauf</v>
      </c>
      <c r="C75" s="38" t="s">
        <v>21</v>
      </c>
      <c r="D75" s="26">
        <f>IF('[1]E-Plan'!$E7="","",'[1]E-Plan'!$E7)</f>
        <v>3028.8</v>
      </c>
      <c r="E75" s="27"/>
      <c r="H75" s="28" t="str">
        <f>IF(Plan!$E7="","",Plan!$E7)</f>
        <v/>
      </c>
      <c r="I75" s="29" t="str">
        <f>IF(AND(P75="",T75=""),"",IF(P75=T75,"Richtig!",IF(T75="","Fehlt","Falsch")))</f>
        <v>Fehlt</v>
      </c>
      <c r="J75" s="30">
        <f t="shared" si="17"/>
        <v>0</v>
      </c>
      <c r="K75" s="23" t="str">
        <f t="shared" si="18"/>
        <v>│</v>
      </c>
      <c r="L75" s="24">
        <f t="shared" si="16"/>
        <v>1</v>
      </c>
      <c r="N75" s="882" t="str">
        <f t="shared" si="15"/>
        <v>x</v>
      </c>
      <c r="P75" s="26">
        <f t="shared" ref="P75:P138" si="23">IF(ISTEXT(D75),D75,IF(D75="","",ROUND(D75,$R$1)))</f>
        <v>3028.8</v>
      </c>
      <c r="Q75" s="27" t="str">
        <f t="shared" si="19"/>
        <v/>
      </c>
      <c r="R75" s="1" t="str">
        <f t="shared" si="20"/>
        <v/>
      </c>
      <c r="S75" s="1" t="str">
        <f t="shared" si="21"/>
        <v/>
      </c>
      <c r="T75" s="28" t="str">
        <f t="shared" si="22"/>
        <v/>
      </c>
    </row>
    <row r="76" spans="1:20" ht="12.75" hidden="1" customHeight="1" x14ac:dyDescent="0.2">
      <c r="B76" s="25" t="str">
        <f>IF(Plan!$B8="","-",Plan!$B8)</f>
        <v>-</v>
      </c>
      <c r="C76" s="38" t="s">
        <v>21</v>
      </c>
      <c r="D76" s="26" t="str">
        <f>IF('[1]E-Plan'!$E8="","",'[1]E-Plan'!$E8)</f>
        <v/>
      </c>
      <c r="E76" s="27"/>
      <c r="H76" s="28" t="str">
        <f>IF(Plan!$E8="","",Plan!$E8)</f>
        <v/>
      </c>
      <c r="I76" s="29" t="str">
        <f>IF(AND(P76="",T76=""),"",IF(P76=T76,"Richtig!",IF(T76="","Fehlt","Falsch")))</f>
        <v/>
      </c>
      <c r="J76" s="30" t="str">
        <f t="shared" si="17"/>
        <v>-</v>
      </c>
      <c r="K76" s="23" t="str">
        <f t="shared" si="18"/>
        <v/>
      </c>
      <c r="L76" s="24" t="str">
        <f t="shared" si="16"/>
        <v/>
      </c>
      <c r="N76" s="882"/>
      <c r="P76" s="26" t="str">
        <f t="shared" si="23"/>
        <v/>
      </c>
      <c r="Q76" s="27" t="str">
        <f t="shared" si="19"/>
        <v/>
      </c>
      <c r="R76" s="1" t="str">
        <f t="shared" si="20"/>
        <v/>
      </c>
      <c r="S76" s="1" t="str">
        <f t="shared" si="21"/>
        <v/>
      </c>
      <c r="T76" s="28" t="str">
        <f t="shared" si="22"/>
        <v/>
      </c>
    </row>
    <row r="77" spans="1:20" ht="12.75" hidden="1" customHeight="1" x14ac:dyDescent="0.2">
      <c r="B77" s="25" t="str">
        <f>IF(Plan!$B9="","-",Plan!$B9)</f>
        <v>-</v>
      </c>
      <c r="C77" s="38" t="s">
        <v>21</v>
      </c>
      <c r="D77" s="26" t="str">
        <f>IF('[1]E-Plan'!$E9="","",'[1]E-Plan'!$E9)</f>
        <v/>
      </c>
      <c r="E77" s="27"/>
      <c r="H77" s="28" t="str">
        <f>IF(Plan!$E9="","",Plan!$E9)</f>
        <v/>
      </c>
      <c r="I77" s="29" t="str">
        <f>IF(AND(P77="",T77=""),"",IF(P77=T77,"Richtig!",IF(T77="","Fehlt","Falsch")))</f>
        <v/>
      </c>
      <c r="J77" s="30" t="str">
        <f t="shared" si="17"/>
        <v>-</v>
      </c>
      <c r="K77" s="23" t="str">
        <f t="shared" si="18"/>
        <v/>
      </c>
      <c r="L77" s="24" t="str">
        <f t="shared" si="16"/>
        <v/>
      </c>
      <c r="N77" s="882"/>
      <c r="P77" s="26" t="str">
        <f t="shared" si="23"/>
        <v/>
      </c>
      <c r="Q77" s="27" t="str">
        <f t="shared" si="19"/>
        <v/>
      </c>
      <c r="R77" s="1" t="str">
        <f t="shared" si="20"/>
        <v/>
      </c>
      <c r="S77" s="1" t="str">
        <f t="shared" si="21"/>
        <v/>
      </c>
      <c r="T77" s="28" t="str">
        <f t="shared" si="22"/>
        <v/>
      </c>
    </row>
    <row r="78" spans="1:20" ht="12.75" customHeight="1" x14ac:dyDescent="0.2">
      <c r="B78" s="25" t="str">
        <f>IF(Plan!D12="","-",Plan!D12)</f>
        <v>∑ Afa</v>
      </c>
      <c r="C78" s="38" t="s">
        <v>21</v>
      </c>
      <c r="D78" s="31">
        <f>IF('[1]E-Plan'!$E12="","",'[1]E-Plan'!$E12)</f>
        <v>11558.099999999999</v>
      </c>
      <c r="E78" s="27"/>
      <c r="F78" s="32">
        <f>SUM(H73:H77)</f>
        <v>0</v>
      </c>
      <c r="H78" s="33" t="str">
        <f>IF(Plan!$E12="","",Plan!$E12)</f>
        <v/>
      </c>
      <c r="I78" s="29" t="str">
        <f>IF(B78="-","",IF(P78=T78,"Richtig!",IF(AND(P78&lt;&gt;T78,R78=T78),"Formel: OK",IF(T78="","Fehlt","Falsch"))))</f>
        <v>Fehlt</v>
      </c>
      <c r="J78" s="30">
        <f t="shared" si="17"/>
        <v>0</v>
      </c>
      <c r="K78" s="23" t="str">
        <f t="shared" si="18"/>
        <v>│</v>
      </c>
      <c r="L78" s="24">
        <f t="shared" si="16"/>
        <v>1</v>
      </c>
      <c r="N78" s="882" t="str">
        <f t="shared" ref="N78:N83" si="24">IF($L$1="","",$L$1)</f>
        <v>x</v>
      </c>
      <c r="P78" s="31">
        <f t="shared" si="23"/>
        <v>11558.1</v>
      </c>
      <c r="Q78" s="27" t="str">
        <f t="shared" si="19"/>
        <v/>
      </c>
      <c r="R78" s="32">
        <f t="shared" si="20"/>
        <v>0</v>
      </c>
      <c r="S78" s="1" t="str">
        <f t="shared" si="21"/>
        <v/>
      </c>
      <c r="T78" s="33" t="str">
        <f t="shared" si="22"/>
        <v/>
      </c>
    </row>
    <row r="79" spans="1:20" ht="12.75" x14ac:dyDescent="0.2">
      <c r="B79" s="25" t="str">
        <f>IF(Plan!B12="","-",Plan!B12)</f>
        <v>Investitionssumme</v>
      </c>
      <c r="C79" s="38" t="s">
        <v>21</v>
      </c>
      <c r="D79" s="26">
        <f>IF('[1]E-Plan'!$C12="","",'[1]E-Plan'!$C12)</f>
        <v>239484</v>
      </c>
      <c r="E79" s="27"/>
      <c r="H79" s="28" t="str">
        <f>IF(Plan!$C12="","",Plan!$C12)</f>
        <v/>
      </c>
      <c r="I79" s="29" t="str">
        <f>IF(AND(P79="",T79=""),"",IF(P79=T79,"Richtig!",IF(T79="","Fehlt","Falsch")))</f>
        <v>Fehlt</v>
      </c>
      <c r="J79" s="30">
        <f t="shared" si="17"/>
        <v>0</v>
      </c>
      <c r="K79" s="23" t="str">
        <f t="shared" si="18"/>
        <v>│</v>
      </c>
      <c r="L79" s="24">
        <f t="shared" si="16"/>
        <v>1</v>
      </c>
      <c r="N79" s="882" t="str">
        <f t="shared" si="24"/>
        <v>x</v>
      </c>
      <c r="P79" s="26">
        <f t="shared" si="23"/>
        <v>239484</v>
      </c>
      <c r="Q79" s="27" t="str">
        <f t="shared" si="19"/>
        <v/>
      </c>
      <c r="R79" s="1" t="str">
        <f t="shared" si="20"/>
        <v/>
      </c>
      <c r="S79" s="1" t="str">
        <f t="shared" si="21"/>
        <v/>
      </c>
      <c r="T79" s="28" t="str">
        <f t="shared" si="22"/>
        <v/>
      </c>
    </row>
    <row r="80" spans="1:20" ht="12.75" x14ac:dyDescent="0.2">
      <c r="B80" s="25" t="str">
        <f>IF(Plan!F12="","-",Plan!F12)</f>
        <v>Finanzbedarf</v>
      </c>
      <c r="C80" s="38" t="s">
        <v>21</v>
      </c>
      <c r="D80" s="26">
        <f>IF('[1]E-Plan'!$G12="","",'[1]E-Plan'!$G12)</f>
        <v>239484</v>
      </c>
      <c r="E80" s="27"/>
      <c r="H80" s="28" t="str">
        <f>IF(Plan!$G12="","",Plan!$G12)</f>
        <v/>
      </c>
      <c r="I80" s="29" t="str">
        <f>IF(AND(P80="",T80=""),"",IF(P80=T80,"Richtig!",IF(T80="","Fehlt","Falsch")))</f>
        <v>Fehlt</v>
      </c>
      <c r="J80" s="30">
        <f t="shared" si="17"/>
        <v>0</v>
      </c>
      <c r="K80" s="23" t="str">
        <f t="shared" si="18"/>
        <v>│</v>
      </c>
      <c r="L80" s="24">
        <f t="shared" si="16"/>
        <v>1</v>
      </c>
      <c r="N80" s="882" t="str">
        <f t="shared" si="24"/>
        <v>x</v>
      </c>
      <c r="P80" s="26">
        <f t="shared" si="23"/>
        <v>239484</v>
      </c>
      <c r="Q80" s="27" t="str">
        <f t="shared" si="19"/>
        <v/>
      </c>
      <c r="R80" s="1" t="str">
        <f t="shared" si="20"/>
        <v/>
      </c>
      <c r="S80" s="1" t="str">
        <f t="shared" si="21"/>
        <v/>
      </c>
      <c r="T80" s="28" t="str">
        <f t="shared" si="22"/>
        <v/>
      </c>
    </row>
    <row r="81" spans="1:20" ht="12.75" customHeight="1" x14ac:dyDescent="0.2">
      <c r="A81" s="18"/>
      <c r="C81" s="38"/>
      <c r="D81" s="34"/>
      <c r="E81" s="27"/>
      <c r="F81" s="27"/>
      <c r="H81" s="35"/>
      <c r="I81" s="29"/>
      <c r="J81" s="29"/>
      <c r="K81" s="23" t="str">
        <f t="shared" si="18"/>
        <v/>
      </c>
      <c r="L81" s="24" t="str">
        <f t="shared" si="16"/>
        <v/>
      </c>
      <c r="N81" s="883" t="str">
        <f t="shared" si="24"/>
        <v>x</v>
      </c>
      <c r="P81" s="34" t="str">
        <f t="shared" si="23"/>
        <v/>
      </c>
      <c r="Q81" s="27" t="str">
        <f t="shared" si="19"/>
        <v/>
      </c>
      <c r="R81" s="27" t="str">
        <f t="shared" si="20"/>
        <v/>
      </c>
      <c r="S81" s="1" t="str">
        <f t="shared" si="21"/>
        <v/>
      </c>
      <c r="T81" s="35" t="str">
        <f t="shared" si="22"/>
        <v/>
      </c>
    </row>
    <row r="82" spans="1:20" ht="12.75" customHeight="1" x14ac:dyDescent="0.2">
      <c r="A82" s="17" t="s">
        <v>12</v>
      </c>
      <c r="B82" s="37" t="str">
        <f>Plan!D18</f>
        <v>Deckungsbeitrag (+) bzw. Variable Kosten (-)</v>
      </c>
      <c r="C82" s="38"/>
      <c r="D82" s="19"/>
      <c r="H82" s="20"/>
      <c r="I82" s="21"/>
      <c r="J82" s="21"/>
      <c r="K82" s="23" t="str">
        <f t="shared" si="18"/>
        <v/>
      </c>
      <c r="L82" s="24" t="str">
        <f t="shared" si="16"/>
        <v/>
      </c>
      <c r="N82" s="880" t="str">
        <f t="shared" si="24"/>
        <v>x</v>
      </c>
      <c r="P82" s="19" t="str">
        <f t="shared" si="23"/>
        <v/>
      </c>
      <c r="Q82" s="1" t="str">
        <f t="shared" si="19"/>
        <v/>
      </c>
      <c r="R82" s="1" t="str">
        <f t="shared" si="20"/>
        <v/>
      </c>
      <c r="S82" s="1" t="str">
        <f t="shared" si="21"/>
        <v/>
      </c>
      <c r="T82" s="20" t="str">
        <f t="shared" si="22"/>
        <v/>
      </c>
    </row>
    <row r="83" spans="1:20" ht="12.75" customHeight="1" x14ac:dyDescent="0.2">
      <c r="B83" s="25" t="str">
        <f>IF(Plan!B21="","-",Plan!B21)</f>
        <v>DB Milchkuh</v>
      </c>
      <c r="C83" s="38" t="s">
        <v>21</v>
      </c>
      <c r="D83" s="31">
        <f>IF('[1]E-Plan'!$E21="","",'[1]E-Plan'!$E21)</f>
        <v>44042.862500000003</v>
      </c>
      <c r="E83" s="27"/>
      <c r="F83" s="32">
        <f>IF(OR(Plan!C21="",Plan!D21=""),"-",Plan!C21*Plan!D21)</f>
        <v>44042.862500000003</v>
      </c>
      <c r="H83" s="33" t="str">
        <f>IF(Plan!$E21="","",Plan!$E21)</f>
        <v/>
      </c>
      <c r="I83" s="29" t="str">
        <f t="shared" ref="I83:I97" si="25">IF(B83="-","",IF(P83=T83,"Richtig!",IF(AND(P83&lt;&gt;T83,R83=T83),"Formel: OK",IF(T83="","Fehlt","Falsch"))))</f>
        <v>Fehlt</v>
      </c>
      <c r="J83" s="30">
        <f t="shared" ref="J83:J97" si="26">IF(OR(B83="-",N83="",AND(P83="",T83="")),"-",IF(I83="Richtig!",1,IF(I83="Formel: OK",0.5,IF(OR(I83="Falsch",I83="Fehlt"),0,""))))</f>
        <v>0</v>
      </c>
      <c r="K83" s="23" t="str">
        <f t="shared" si="18"/>
        <v>│</v>
      </c>
      <c r="L83" s="24">
        <f t="shared" si="16"/>
        <v>1</v>
      </c>
      <c r="N83" s="882" t="str">
        <f t="shared" si="24"/>
        <v>x</v>
      </c>
      <c r="P83" s="31">
        <f t="shared" si="23"/>
        <v>44042.862500000003</v>
      </c>
      <c r="Q83" s="27" t="str">
        <f t="shared" si="19"/>
        <v/>
      </c>
      <c r="R83" s="32">
        <f t="shared" si="20"/>
        <v>44042.862500000003</v>
      </c>
      <c r="S83" s="1" t="str">
        <f t="shared" si="21"/>
        <v/>
      </c>
      <c r="T83" s="33" t="str">
        <f t="shared" si="22"/>
        <v/>
      </c>
    </row>
    <row r="84" spans="1:20" ht="12.75" customHeight="1" x14ac:dyDescent="0.2">
      <c r="B84" s="25" t="str">
        <f>IF(Plan!B22="","-",Plan!B22)</f>
        <v>DB Kalbinnen</v>
      </c>
      <c r="C84" s="38" t="s">
        <v>21</v>
      </c>
      <c r="D84" s="31">
        <f>IF('[1]E-Plan'!$E22="","",'[1]E-Plan'!$E22)</f>
        <v>5185.866</v>
      </c>
      <c r="E84" s="27"/>
      <c r="F84" s="32">
        <f>IF(OR(Plan!C22="",Plan!D22=""),"-",Plan!C22*Plan!D22)</f>
        <v>5185.866</v>
      </c>
      <c r="H84" s="33" t="str">
        <f>IF(Plan!$E22="","",Plan!$E22)</f>
        <v/>
      </c>
      <c r="I84" s="29" t="str">
        <f t="shared" si="25"/>
        <v>Fehlt</v>
      </c>
      <c r="J84" s="30">
        <f t="shared" si="26"/>
        <v>0</v>
      </c>
      <c r="K84" s="23" t="str">
        <f t="shared" si="18"/>
        <v>│</v>
      </c>
      <c r="L84" s="24">
        <f t="shared" si="16"/>
        <v>1</v>
      </c>
      <c r="N84" s="882" t="str">
        <f>IF($L$1="","",$L$1)</f>
        <v>x</v>
      </c>
      <c r="P84" s="31">
        <f t="shared" si="23"/>
        <v>5185.866</v>
      </c>
      <c r="Q84" s="27" t="str">
        <f t="shared" si="19"/>
        <v/>
      </c>
      <c r="R84" s="32">
        <f t="shared" si="20"/>
        <v>5185.866</v>
      </c>
      <c r="S84" s="1" t="str">
        <f t="shared" si="21"/>
        <v/>
      </c>
      <c r="T84" s="33" t="str">
        <f t="shared" si="22"/>
        <v/>
      </c>
    </row>
    <row r="85" spans="1:20" ht="12.75" hidden="1" customHeight="1" x14ac:dyDescent="0.2">
      <c r="B85" s="25" t="str">
        <f>IF(Plan!B23="","-",Plan!B23)</f>
        <v>DB Milchkälber</v>
      </c>
      <c r="C85" s="38" t="s">
        <v>21</v>
      </c>
      <c r="D85" s="31">
        <f>IF('[1]E-Plan'!$E23="","",'[1]E-Plan'!$E23)</f>
        <v>106.76399999999998</v>
      </c>
      <c r="E85" s="27"/>
      <c r="F85" s="32">
        <f>IF(OR(Plan!C23="",Plan!D23=""),"-",Plan!C23*Plan!D23)</f>
        <v>106.76399999999998</v>
      </c>
      <c r="H85" s="33">
        <f>IF(Plan!$E23="","",Plan!$E23)</f>
        <v>106.76399999999998</v>
      </c>
      <c r="I85" s="29" t="str">
        <f t="shared" si="25"/>
        <v>Richtig!</v>
      </c>
      <c r="J85" s="30" t="str">
        <f t="shared" si="26"/>
        <v>-</v>
      </c>
      <c r="K85" s="23" t="str">
        <f t="shared" si="18"/>
        <v/>
      </c>
      <c r="L85" s="24" t="str">
        <f t="shared" si="16"/>
        <v/>
      </c>
      <c r="N85" s="882"/>
      <c r="P85" s="31">
        <f t="shared" si="23"/>
        <v>106.764</v>
      </c>
      <c r="Q85" s="27" t="str">
        <f t="shared" si="19"/>
        <v/>
      </c>
      <c r="R85" s="32">
        <f t="shared" si="20"/>
        <v>106.764</v>
      </c>
      <c r="S85" s="1" t="str">
        <f t="shared" si="21"/>
        <v/>
      </c>
      <c r="T85" s="33">
        <f t="shared" si="22"/>
        <v>106.764</v>
      </c>
    </row>
    <row r="86" spans="1:20" ht="12.75" hidden="1" customHeight="1" x14ac:dyDescent="0.2">
      <c r="B86" s="25" t="str">
        <f>IF(Plan!B24="","-",Plan!B24)</f>
        <v>DB Masthühner</v>
      </c>
      <c r="C86" s="38" t="s">
        <v>21</v>
      </c>
      <c r="D86" s="31">
        <f>IF('[1]E-Plan'!$E24="","",'[1]E-Plan'!$E24)</f>
        <v>65.099999999999994</v>
      </c>
      <c r="E86" s="27"/>
      <c r="F86" s="32">
        <f>IF(OR(Plan!C24="",Plan!D24=""),"-",Plan!C24*Plan!D24)</f>
        <v>65.099999999999994</v>
      </c>
      <c r="H86" s="33">
        <f>IF(Plan!$E24="","",Plan!$E24)</f>
        <v>65.099999999999994</v>
      </c>
      <c r="I86" s="29" t="str">
        <f t="shared" si="25"/>
        <v>Richtig!</v>
      </c>
      <c r="J86" s="30" t="str">
        <f t="shared" si="26"/>
        <v>-</v>
      </c>
      <c r="K86" s="23" t="str">
        <f t="shared" si="18"/>
        <v/>
      </c>
      <c r="L86" s="24" t="str">
        <f t="shared" si="16"/>
        <v/>
      </c>
      <c r="N86" s="882"/>
      <c r="P86" s="31">
        <f t="shared" si="23"/>
        <v>65.099999999999994</v>
      </c>
      <c r="Q86" s="27" t="str">
        <f t="shared" si="19"/>
        <v/>
      </c>
      <c r="R86" s="32">
        <f t="shared" si="20"/>
        <v>65.099999999999994</v>
      </c>
      <c r="S86" s="1" t="str">
        <f t="shared" si="21"/>
        <v/>
      </c>
      <c r="T86" s="33">
        <f t="shared" si="22"/>
        <v>65.099999999999994</v>
      </c>
    </row>
    <row r="87" spans="1:20" ht="12.75" hidden="1" customHeight="1" x14ac:dyDescent="0.2">
      <c r="B87" s="25" t="str">
        <f>IF(Plan!B25="","-",Plan!B25)</f>
        <v>DB Kartoffel</v>
      </c>
      <c r="C87" s="38" t="s">
        <v>21</v>
      </c>
      <c r="D87" s="31">
        <f>IF('[1]E-Plan'!$E25="","",'[1]E-Plan'!$E25)</f>
        <v>398.41200000000003</v>
      </c>
      <c r="E87" s="27"/>
      <c r="F87" s="32">
        <f>IF(OR(Plan!C25="",Plan!D25=""),"-",Plan!C25*Plan!D25)</f>
        <v>398.41200000000003</v>
      </c>
      <c r="H87" s="33">
        <f>IF(Plan!$E25="","",Plan!$E25)</f>
        <v>398.41200000000003</v>
      </c>
      <c r="I87" s="29" t="str">
        <f t="shared" si="25"/>
        <v>Richtig!</v>
      </c>
      <c r="J87" s="30" t="str">
        <f t="shared" si="26"/>
        <v>-</v>
      </c>
      <c r="K87" s="23" t="str">
        <f t="shared" si="18"/>
        <v/>
      </c>
      <c r="L87" s="24" t="str">
        <f t="shared" si="16"/>
        <v/>
      </c>
      <c r="N87" s="882"/>
      <c r="P87" s="31">
        <f t="shared" si="23"/>
        <v>398.41199999999998</v>
      </c>
      <c r="Q87" s="27" t="str">
        <f t="shared" si="19"/>
        <v/>
      </c>
      <c r="R87" s="32">
        <f t="shared" si="20"/>
        <v>398.41199999999998</v>
      </c>
      <c r="S87" s="1" t="str">
        <f t="shared" si="21"/>
        <v/>
      </c>
      <c r="T87" s="33">
        <f t="shared" si="22"/>
        <v>398.41199999999998</v>
      </c>
    </row>
    <row r="88" spans="1:20" ht="12.75" hidden="1" customHeight="1" x14ac:dyDescent="0.2">
      <c r="B88" s="25" t="str">
        <f>IF(Plan!B26="","-",Plan!B26)</f>
        <v>-</v>
      </c>
      <c r="C88" s="38" t="s">
        <v>21</v>
      </c>
      <c r="D88" s="31" t="str">
        <f>IF('[1]E-Plan'!$E26="","",'[1]E-Plan'!$E26)</f>
        <v/>
      </c>
      <c r="E88" s="27"/>
      <c r="F88" s="32" t="str">
        <f>IF(OR(Plan!C26="",Plan!D26=""),"-",Plan!C26*Plan!D26)</f>
        <v>-</v>
      </c>
      <c r="H88" s="33" t="str">
        <f>IF(Plan!$E26="","",Plan!$E26)</f>
        <v/>
      </c>
      <c r="I88" s="29" t="str">
        <f t="shared" si="25"/>
        <v/>
      </c>
      <c r="J88" s="30" t="str">
        <f t="shared" si="26"/>
        <v>-</v>
      </c>
      <c r="K88" s="23" t="str">
        <f t="shared" si="18"/>
        <v/>
      </c>
      <c r="L88" s="24" t="str">
        <f t="shared" si="16"/>
        <v/>
      </c>
      <c r="N88" s="882"/>
      <c r="P88" s="31" t="str">
        <f t="shared" si="23"/>
        <v/>
      </c>
      <c r="Q88" s="27" t="str">
        <f t="shared" si="19"/>
        <v/>
      </c>
      <c r="R88" s="32" t="str">
        <f t="shared" si="20"/>
        <v>-</v>
      </c>
      <c r="S88" s="1" t="str">
        <f t="shared" si="21"/>
        <v/>
      </c>
      <c r="T88" s="33" t="str">
        <f t="shared" si="22"/>
        <v/>
      </c>
    </row>
    <row r="89" spans="1:20" ht="12.75" hidden="1" customHeight="1" x14ac:dyDescent="0.2">
      <c r="B89" s="25" t="str">
        <f>IF(Plan!B27="","-",Plan!B27)</f>
        <v>-</v>
      </c>
      <c r="C89" s="38" t="s">
        <v>21</v>
      </c>
      <c r="D89" s="31" t="str">
        <f>IF('[1]E-Plan'!$E27="","",'[1]E-Plan'!$E27)</f>
        <v/>
      </c>
      <c r="E89" s="27"/>
      <c r="F89" s="32" t="str">
        <f>IF(OR(Plan!C27="",Plan!D27=""),"-",Plan!C27*Plan!D27)</f>
        <v>-</v>
      </c>
      <c r="H89" s="33" t="str">
        <f>IF(Plan!$E27="","",Plan!$E27)</f>
        <v/>
      </c>
      <c r="I89" s="29" t="str">
        <f t="shared" si="25"/>
        <v/>
      </c>
      <c r="J89" s="30" t="str">
        <f t="shared" si="26"/>
        <v>-</v>
      </c>
      <c r="K89" s="23" t="str">
        <f t="shared" si="18"/>
        <v/>
      </c>
      <c r="L89" s="24" t="str">
        <f t="shared" si="16"/>
        <v/>
      </c>
      <c r="N89" s="882"/>
      <c r="P89" s="31" t="str">
        <f t="shared" si="23"/>
        <v/>
      </c>
      <c r="Q89" s="27" t="str">
        <f t="shared" si="19"/>
        <v/>
      </c>
      <c r="R89" s="32" t="str">
        <f t="shared" si="20"/>
        <v>-</v>
      </c>
      <c r="S89" s="1" t="str">
        <f t="shared" si="21"/>
        <v/>
      </c>
      <c r="T89" s="33" t="str">
        <f t="shared" si="22"/>
        <v/>
      </c>
    </row>
    <row r="90" spans="1:20" ht="12.75" hidden="1" customHeight="1" x14ac:dyDescent="0.2">
      <c r="B90" s="25" t="str">
        <f>IF(Plan!B28="","-",Plan!B28)</f>
        <v>VK Feldfutter  - Silage</v>
      </c>
      <c r="C90" s="38" t="s">
        <v>21</v>
      </c>
      <c r="D90" s="31">
        <f>IF('[1]E-Plan'!$E28="","",'[1]E-Plan'!$E28)</f>
        <v>-1309.902</v>
      </c>
      <c r="E90" s="27"/>
      <c r="F90" s="32">
        <f>IF(OR(Plan!C28="",Plan!D28=""),"-",Plan!C28*-Plan!D28)</f>
        <v>-1309.902</v>
      </c>
      <c r="H90" s="33">
        <f>IF(Plan!$E28="","",Plan!$E28)</f>
        <v>-1309.902</v>
      </c>
      <c r="I90" s="29" t="str">
        <f t="shared" si="25"/>
        <v>Richtig!</v>
      </c>
      <c r="J90" s="30" t="str">
        <f t="shared" si="26"/>
        <v>-</v>
      </c>
      <c r="K90" s="23" t="str">
        <f t="shared" si="18"/>
        <v/>
      </c>
      <c r="L90" s="24" t="str">
        <f t="shared" si="16"/>
        <v/>
      </c>
      <c r="N90" s="882"/>
      <c r="P90" s="31">
        <f t="shared" si="23"/>
        <v>-1309.902</v>
      </c>
      <c r="Q90" s="27" t="str">
        <f t="shared" si="19"/>
        <v/>
      </c>
      <c r="R90" s="32">
        <f t="shared" si="20"/>
        <v>-1309.902</v>
      </c>
      <c r="S90" s="1" t="str">
        <f t="shared" si="21"/>
        <v/>
      </c>
      <c r="T90" s="33">
        <f t="shared" si="22"/>
        <v>-1309.902</v>
      </c>
    </row>
    <row r="91" spans="1:20" ht="12.75" customHeight="1" x14ac:dyDescent="0.2">
      <c r="B91" s="25" t="str">
        <f>IF(Plan!B29="","-",Plan!B29)</f>
        <v>VK Dauergrünland 3-schnittig</v>
      </c>
      <c r="C91" s="38" t="s">
        <v>21</v>
      </c>
      <c r="D91" s="31">
        <f>IF('[1]E-Plan'!$E29="","",'[1]E-Plan'!$E29)</f>
        <v>-17562.8773</v>
      </c>
      <c r="E91" s="27"/>
      <c r="F91" s="32">
        <f>IF(OR(Plan!C29="",Plan!D29=""),"-",Plan!C29*-Plan!D29)</f>
        <v>-17562.8773</v>
      </c>
      <c r="H91" s="33" t="str">
        <f>IF(Plan!$E29="","",Plan!$E29)</f>
        <v/>
      </c>
      <c r="I91" s="29" t="str">
        <f t="shared" si="25"/>
        <v>Fehlt</v>
      </c>
      <c r="J91" s="30">
        <f t="shared" si="26"/>
        <v>0</v>
      </c>
      <c r="K91" s="23" t="str">
        <f t="shared" si="18"/>
        <v>│</v>
      </c>
      <c r="L91" s="24">
        <f t="shared" si="16"/>
        <v>1</v>
      </c>
      <c r="N91" s="882" t="str">
        <f>IF($L$1="","",$L$1)</f>
        <v>x</v>
      </c>
      <c r="P91" s="31">
        <f t="shared" si="23"/>
        <v>-17562.8773</v>
      </c>
      <c r="Q91" s="27" t="str">
        <f t="shared" si="19"/>
        <v/>
      </c>
      <c r="R91" s="32">
        <f t="shared" si="20"/>
        <v>-17562.8773</v>
      </c>
      <c r="S91" s="1" t="str">
        <f t="shared" si="21"/>
        <v/>
      </c>
      <c r="T91" s="33" t="str">
        <f t="shared" si="22"/>
        <v/>
      </c>
    </row>
    <row r="92" spans="1:20" ht="12.75" hidden="1" customHeight="1" x14ac:dyDescent="0.2">
      <c r="B92" s="25" t="str">
        <f>IF(Plan!B30="","-",Plan!B30)</f>
        <v>VK Dauergrünland 1-schnittig</v>
      </c>
      <c r="C92" s="38" t="s">
        <v>21</v>
      </c>
      <c r="D92" s="31">
        <f>IF('[1]E-Plan'!$E30="","",'[1]E-Plan'!$E30)</f>
        <v>-177.02100000000002</v>
      </c>
      <c r="E92" s="27"/>
      <c r="F92" s="32">
        <f>IF(OR(Plan!C30="",Plan!D30=""),"-",Plan!C30*-Plan!D30)</f>
        <v>-177.02100000000002</v>
      </c>
      <c r="H92" s="33">
        <f>IF(Plan!$E30="","",Plan!$E30)</f>
        <v>-177.02100000000002</v>
      </c>
      <c r="I92" s="29" t="str">
        <f t="shared" si="25"/>
        <v>Richtig!</v>
      </c>
      <c r="J92" s="30" t="str">
        <f t="shared" si="26"/>
        <v>-</v>
      </c>
      <c r="K92" s="23" t="str">
        <f t="shared" si="18"/>
        <v/>
      </c>
      <c r="L92" s="24" t="str">
        <f t="shared" si="16"/>
        <v/>
      </c>
      <c r="N92" s="882"/>
      <c r="P92" s="31">
        <f t="shared" si="23"/>
        <v>-177.02099999999999</v>
      </c>
      <c r="Q92" s="27" t="str">
        <f t="shared" si="19"/>
        <v/>
      </c>
      <c r="R92" s="32">
        <f t="shared" si="20"/>
        <v>-177.02099999999999</v>
      </c>
      <c r="S92" s="1" t="str">
        <f t="shared" si="21"/>
        <v/>
      </c>
      <c r="T92" s="33">
        <f t="shared" si="22"/>
        <v>-177.02099999999999</v>
      </c>
    </row>
    <row r="93" spans="1:20" ht="12.75" hidden="1" customHeight="1" x14ac:dyDescent="0.2">
      <c r="B93" s="25" t="str">
        <f>IF(Plan!B31="","-",Plan!B31)</f>
        <v>-</v>
      </c>
      <c r="C93" s="38" t="s">
        <v>21</v>
      </c>
      <c r="D93" s="31" t="str">
        <f>IF('[1]E-Plan'!$E31="","",'[1]E-Plan'!$E31)</f>
        <v/>
      </c>
      <c r="E93" s="27"/>
      <c r="F93" s="32" t="str">
        <f>IF(OR(Plan!C31="",Plan!D31=""),"-",Plan!C31*-Plan!D31)</f>
        <v>-</v>
      </c>
      <c r="H93" s="33" t="str">
        <f>IF(Plan!$E31="","",Plan!$E31)</f>
        <v/>
      </c>
      <c r="I93" s="29" t="str">
        <f t="shared" si="25"/>
        <v/>
      </c>
      <c r="J93" s="30" t="str">
        <f t="shared" si="26"/>
        <v>-</v>
      </c>
      <c r="K93" s="23" t="str">
        <f t="shared" si="18"/>
        <v/>
      </c>
      <c r="L93" s="24" t="str">
        <f t="shared" si="16"/>
        <v/>
      </c>
      <c r="N93" s="882"/>
      <c r="P93" s="31" t="str">
        <f t="shared" si="23"/>
        <v/>
      </c>
      <c r="Q93" s="27" t="str">
        <f t="shared" si="19"/>
        <v/>
      </c>
      <c r="R93" s="32" t="str">
        <f t="shared" si="20"/>
        <v>-</v>
      </c>
      <c r="S93" s="1" t="str">
        <f t="shared" si="21"/>
        <v/>
      </c>
      <c r="T93" s="33" t="str">
        <f t="shared" si="22"/>
        <v/>
      </c>
    </row>
    <row r="94" spans="1:20" ht="12.75" hidden="1" customHeight="1" x14ac:dyDescent="0.2">
      <c r="B94" s="25" t="str">
        <f>IF(Plan!B32="","-",Plan!B32)</f>
        <v>-</v>
      </c>
      <c r="C94" s="38" t="s">
        <v>21</v>
      </c>
      <c r="D94" s="31" t="str">
        <f>IF('[1]E-Plan'!$E32="","",'[1]E-Plan'!$E32)</f>
        <v/>
      </c>
      <c r="E94" s="27"/>
      <c r="F94" s="32" t="str">
        <f>IF(OR(Plan!C32="",Plan!D32=""),"-",Plan!C32*-Plan!D32)</f>
        <v>-</v>
      </c>
      <c r="H94" s="33" t="str">
        <f>IF(Plan!$E32="","",Plan!$E32)</f>
        <v/>
      </c>
      <c r="I94" s="29" t="str">
        <f t="shared" si="25"/>
        <v/>
      </c>
      <c r="J94" s="30" t="str">
        <f t="shared" si="26"/>
        <v>-</v>
      </c>
      <c r="K94" s="23" t="str">
        <f t="shared" si="18"/>
        <v/>
      </c>
      <c r="L94" s="24" t="str">
        <f t="shared" si="16"/>
        <v/>
      </c>
      <c r="N94" s="882"/>
      <c r="P94" s="31" t="str">
        <f t="shared" si="23"/>
        <v/>
      </c>
      <c r="Q94" s="27" t="str">
        <f t="shared" si="19"/>
        <v/>
      </c>
      <c r="R94" s="32" t="str">
        <f t="shared" si="20"/>
        <v>-</v>
      </c>
      <c r="S94" s="1" t="str">
        <f t="shared" si="21"/>
        <v/>
      </c>
      <c r="T94" s="33" t="str">
        <f t="shared" si="22"/>
        <v/>
      </c>
    </row>
    <row r="95" spans="1:20" ht="12.75" hidden="1" customHeight="1" x14ac:dyDescent="0.2">
      <c r="B95" s="25" t="str">
        <f>IF(Plan!B33="","-",Plan!B33)</f>
        <v>-</v>
      </c>
      <c r="C95" s="38" t="s">
        <v>21</v>
      </c>
      <c r="D95" s="31" t="str">
        <f>IF('[1]E-Plan'!$E33="","",'[1]E-Plan'!$E33)</f>
        <v/>
      </c>
      <c r="E95" s="27"/>
      <c r="F95" s="32" t="str">
        <f>IF(OR(Plan!C33="",Plan!D33=""),"-",Plan!C33*-Plan!D33)</f>
        <v>-</v>
      </c>
      <c r="H95" s="33" t="str">
        <f>IF(Plan!$E33="","",Plan!$E33)</f>
        <v/>
      </c>
      <c r="I95" s="29" t="str">
        <f t="shared" si="25"/>
        <v/>
      </c>
      <c r="J95" s="30" t="str">
        <f t="shared" si="26"/>
        <v>-</v>
      </c>
      <c r="K95" s="23" t="str">
        <f t="shared" si="18"/>
        <v/>
      </c>
      <c r="L95" s="24" t="str">
        <f t="shared" si="16"/>
        <v/>
      </c>
      <c r="N95" s="882"/>
      <c r="P95" s="31" t="str">
        <f t="shared" si="23"/>
        <v/>
      </c>
      <c r="Q95" s="27" t="str">
        <f t="shared" si="19"/>
        <v/>
      </c>
      <c r="R95" s="32" t="str">
        <f t="shared" si="20"/>
        <v>-</v>
      </c>
      <c r="S95" s="1" t="str">
        <f t="shared" si="21"/>
        <v/>
      </c>
      <c r="T95" s="33" t="str">
        <f t="shared" si="22"/>
        <v/>
      </c>
    </row>
    <row r="96" spans="1:20" ht="12.75" hidden="1" customHeight="1" x14ac:dyDescent="0.2">
      <c r="B96" s="25" t="str">
        <f>IF(Plan!B34="","-",Plan!B34)</f>
        <v>-</v>
      </c>
      <c r="C96" s="38" t="s">
        <v>21</v>
      </c>
      <c r="D96" s="31" t="str">
        <f>IF('[1]E-Plan'!$E34="","",'[1]E-Plan'!$E34)</f>
        <v/>
      </c>
      <c r="E96" s="27"/>
      <c r="F96" s="32" t="str">
        <f>IF(OR(Plan!C34="",Plan!D34=""),"-",Plan!C34*-Plan!D34)</f>
        <v>-</v>
      </c>
      <c r="H96" s="33" t="str">
        <f>IF(Plan!$E34="","",Plan!$E34)</f>
        <v/>
      </c>
      <c r="I96" s="29" t="str">
        <f t="shared" si="25"/>
        <v/>
      </c>
      <c r="J96" s="30" t="str">
        <f t="shared" si="26"/>
        <v>-</v>
      </c>
      <c r="K96" s="23" t="str">
        <f t="shared" si="18"/>
        <v/>
      </c>
      <c r="L96" s="24" t="str">
        <f t="shared" si="16"/>
        <v/>
      </c>
      <c r="N96" s="882"/>
      <c r="P96" s="31" t="str">
        <f t="shared" si="23"/>
        <v/>
      </c>
      <c r="Q96" s="27" t="str">
        <f t="shared" si="19"/>
        <v/>
      </c>
      <c r="R96" s="32" t="str">
        <f t="shared" si="20"/>
        <v>-</v>
      </c>
      <c r="S96" s="1" t="str">
        <f t="shared" si="21"/>
        <v/>
      </c>
      <c r="T96" s="33" t="str">
        <f t="shared" si="22"/>
        <v/>
      </c>
    </row>
    <row r="97" spans="1:20" ht="12.75" customHeight="1" x14ac:dyDescent="0.2">
      <c r="B97" s="25" t="str">
        <f>IF(Plan!B35="","-",Plan!B35)</f>
        <v>Gesamt DB</v>
      </c>
      <c r="C97" s="38" t="s">
        <v>21</v>
      </c>
      <c r="D97" s="31">
        <f>IF('[1]E-Plan'!$E35="","",'[1]E-Plan'!$E35)</f>
        <v>30749.2042</v>
      </c>
      <c r="E97" s="27"/>
      <c r="F97" s="32">
        <f>IF(AND(H83="",H84="",H85="",H86="",H87="",H88="",H89="",H90="",H91="",H92="",H93="",H94="",H95="",H96=""),"-",SUM(H83:H96))</f>
        <v>-916.64699999999993</v>
      </c>
      <c r="H97" s="33" t="str">
        <f>IF(Plan!$E35="","",Plan!$E35)</f>
        <v/>
      </c>
      <c r="I97" s="29" t="str">
        <f t="shared" si="25"/>
        <v>Fehlt</v>
      </c>
      <c r="J97" s="30">
        <f t="shared" si="26"/>
        <v>0</v>
      </c>
      <c r="K97" s="23" t="str">
        <f t="shared" si="18"/>
        <v>│</v>
      </c>
      <c r="L97" s="24">
        <f t="shared" si="16"/>
        <v>1</v>
      </c>
      <c r="N97" s="882" t="str">
        <f>IF($L$1="","",$L$1)</f>
        <v>x</v>
      </c>
      <c r="P97" s="31">
        <f t="shared" si="23"/>
        <v>30749.2042</v>
      </c>
      <c r="Q97" s="27" t="str">
        <f t="shared" si="19"/>
        <v/>
      </c>
      <c r="R97" s="32">
        <f t="shared" si="20"/>
        <v>-916.64700000000005</v>
      </c>
      <c r="S97" s="1" t="str">
        <f t="shared" si="21"/>
        <v/>
      </c>
      <c r="T97" s="33" t="str">
        <f t="shared" si="22"/>
        <v/>
      </c>
    </row>
    <row r="98" spans="1:20" ht="12.75" customHeight="1" x14ac:dyDescent="0.2">
      <c r="A98" s="18"/>
      <c r="C98" s="38"/>
      <c r="D98" s="34"/>
      <c r="E98" s="27"/>
      <c r="F98" s="27"/>
      <c r="H98" s="35"/>
      <c r="I98" s="29"/>
      <c r="J98" s="29"/>
      <c r="K98" s="23" t="str">
        <f t="shared" si="18"/>
        <v/>
      </c>
      <c r="L98" s="24" t="str">
        <f t="shared" si="16"/>
        <v/>
      </c>
      <c r="N98" s="883" t="str">
        <f>IF($L$1="","",$L$1)</f>
        <v>x</v>
      </c>
      <c r="P98" s="34" t="str">
        <f t="shared" si="23"/>
        <v/>
      </c>
      <c r="Q98" s="27" t="str">
        <f t="shared" si="19"/>
        <v/>
      </c>
      <c r="R98" s="27" t="str">
        <f t="shared" si="20"/>
        <v/>
      </c>
      <c r="S98" s="1" t="str">
        <f t="shared" si="21"/>
        <v/>
      </c>
      <c r="T98" s="35" t="str">
        <f t="shared" si="22"/>
        <v/>
      </c>
    </row>
    <row r="99" spans="1:20" ht="12.75" customHeight="1" x14ac:dyDescent="0.2">
      <c r="A99" s="17" t="s">
        <v>14</v>
      </c>
      <c r="B99" s="37" t="str">
        <f>Plan!F18</f>
        <v>Ertrag (+) bzw Bedarf (-) an KStE oder MJ NEL</v>
      </c>
      <c r="C99" s="38"/>
      <c r="D99" s="19"/>
      <c r="H99" s="20"/>
      <c r="I99" s="21"/>
      <c r="J99" s="21"/>
      <c r="K99" s="23" t="str">
        <f t="shared" si="18"/>
        <v/>
      </c>
      <c r="L99" s="24" t="str">
        <f t="shared" si="16"/>
        <v/>
      </c>
      <c r="N99" s="880" t="str">
        <f>IF($L$1="","",$L$1)</f>
        <v>x</v>
      </c>
      <c r="P99" s="19" t="str">
        <f t="shared" si="23"/>
        <v/>
      </c>
      <c r="Q99" s="1" t="str">
        <f t="shared" si="19"/>
        <v/>
      </c>
      <c r="R99" s="1" t="str">
        <f t="shared" si="20"/>
        <v/>
      </c>
      <c r="S99" s="1" t="str">
        <f t="shared" si="21"/>
        <v/>
      </c>
      <c r="T99" s="20" t="str">
        <f t="shared" si="22"/>
        <v/>
      </c>
    </row>
    <row r="100" spans="1:20" ht="12.75" x14ac:dyDescent="0.2">
      <c r="B100" s="25" t="str">
        <f>IF(Plan!B21="","-",Plan!B21)</f>
        <v>DB Milchkuh</v>
      </c>
      <c r="C100" s="38" t="s">
        <v>21</v>
      </c>
      <c r="D100" s="31">
        <f>IF('[1]E-Plan'!$G21="","",'[1]E-Plan'!$G21)</f>
        <v>-499875</v>
      </c>
      <c r="E100" s="27"/>
      <c r="F100" s="32">
        <f>IF(OR(Plan!$C21="",Plan!F21=""),"-",Plan!$C21*-Plan!F21)</f>
        <v>-499875</v>
      </c>
      <c r="H100" s="33" t="str">
        <f>IF(Plan!$G21="","",Plan!$G21)</f>
        <v/>
      </c>
      <c r="I100" s="29" t="str">
        <f t="shared" ref="I100:I114" si="27">IF(B100="-","",IF(P100=T100,"Richtig!",IF(AND(P100&lt;&gt;T100,R100=T100),"Formel: OK",IF(T100="","Fehlt","Falsch"))))</f>
        <v>Fehlt</v>
      </c>
      <c r="J100" s="30">
        <f t="shared" ref="J100:J114" si="28">IF(OR(B100="-",N100="",AND(P100="",T100="")),"-",IF(I100="Richtig!",1,IF(I100="Formel: OK",0.5,IF(OR(I100="Falsch",I100="Fehlt"),0,""))))</f>
        <v>0</v>
      </c>
      <c r="K100" s="23" t="str">
        <f t="shared" si="18"/>
        <v>│</v>
      </c>
      <c r="L100" s="24">
        <f t="shared" si="16"/>
        <v>1</v>
      </c>
      <c r="N100" s="882" t="str">
        <f>IF($L$1="","",$L$1)</f>
        <v>x</v>
      </c>
      <c r="P100" s="31">
        <f t="shared" si="23"/>
        <v>-499875</v>
      </c>
      <c r="Q100" s="27" t="str">
        <f t="shared" si="19"/>
        <v/>
      </c>
      <c r="R100" s="32">
        <f t="shared" si="20"/>
        <v>-499875</v>
      </c>
      <c r="S100" s="1" t="str">
        <f t="shared" si="21"/>
        <v/>
      </c>
      <c r="T100" s="33" t="str">
        <f t="shared" si="22"/>
        <v/>
      </c>
    </row>
    <row r="101" spans="1:20" ht="12.75" x14ac:dyDescent="0.2">
      <c r="B101" s="25" t="str">
        <f>IF(Plan!B22="","-",Plan!B22)</f>
        <v>DB Kalbinnen</v>
      </c>
      <c r="C101" s="38" t="s">
        <v>21</v>
      </c>
      <c r="D101" s="31">
        <f>IF('[1]E-Plan'!$G22="","",'[1]E-Plan'!$G22)</f>
        <v>-174420</v>
      </c>
      <c r="E101" s="27"/>
      <c r="F101" s="32">
        <f>IF(OR(Plan!$C22="",Plan!F22=""),"-",Plan!$C22*-Plan!F22)</f>
        <v>-174420</v>
      </c>
      <c r="H101" s="33" t="str">
        <f>IF(Plan!$G22="","",Plan!$G22)</f>
        <v/>
      </c>
      <c r="I101" s="29" t="str">
        <f t="shared" si="27"/>
        <v>Fehlt</v>
      </c>
      <c r="J101" s="30">
        <f t="shared" si="28"/>
        <v>0</v>
      </c>
      <c r="K101" s="23" t="str">
        <f t="shared" si="18"/>
        <v>│</v>
      </c>
      <c r="L101" s="24">
        <f t="shared" si="16"/>
        <v>1</v>
      </c>
      <c r="N101" s="882" t="str">
        <f>IF($L$1="","",$L$1)</f>
        <v>x</v>
      </c>
      <c r="P101" s="31">
        <f t="shared" si="23"/>
        <v>-174420</v>
      </c>
      <c r="Q101" s="27" t="str">
        <f t="shared" si="19"/>
        <v/>
      </c>
      <c r="R101" s="32">
        <f t="shared" si="20"/>
        <v>-174420</v>
      </c>
      <c r="S101" s="1" t="str">
        <f t="shared" si="21"/>
        <v/>
      </c>
      <c r="T101" s="33" t="str">
        <f t="shared" si="22"/>
        <v/>
      </c>
    </row>
    <row r="102" spans="1:20" ht="12.75" hidden="1" customHeight="1" x14ac:dyDescent="0.2">
      <c r="B102" s="25" t="str">
        <f>IF(Plan!B23="","-",Plan!B23)</f>
        <v>DB Milchkälber</v>
      </c>
      <c r="C102" s="38" t="s">
        <v>21</v>
      </c>
      <c r="D102" s="31">
        <f>IF('[1]E-Plan'!$G23="","",'[1]E-Plan'!$G23)</f>
        <v>0</v>
      </c>
      <c r="E102" s="27"/>
      <c r="F102" s="32">
        <f>IF(OR(Plan!$C23="",Plan!F23=""),"-",Plan!$C23*-Plan!F23)</f>
        <v>0</v>
      </c>
      <c r="H102" s="33">
        <f>IF(Plan!$G23="","",Plan!$G23)</f>
        <v>0</v>
      </c>
      <c r="I102" s="29" t="str">
        <f t="shared" si="27"/>
        <v>Richtig!</v>
      </c>
      <c r="J102" s="30" t="str">
        <f t="shared" si="28"/>
        <v>-</v>
      </c>
      <c r="K102" s="23" t="str">
        <f t="shared" si="18"/>
        <v/>
      </c>
      <c r="L102" s="24" t="str">
        <f t="shared" si="16"/>
        <v/>
      </c>
      <c r="N102" s="882"/>
      <c r="P102" s="31">
        <f t="shared" si="23"/>
        <v>0</v>
      </c>
      <c r="Q102" s="27" t="str">
        <f t="shared" si="19"/>
        <v/>
      </c>
      <c r="R102" s="32">
        <f t="shared" si="20"/>
        <v>0</v>
      </c>
      <c r="S102" s="1" t="str">
        <f t="shared" si="21"/>
        <v/>
      </c>
      <c r="T102" s="33">
        <f t="shared" si="22"/>
        <v>0</v>
      </c>
    </row>
    <row r="103" spans="1:20" ht="12.75" hidden="1" customHeight="1" x14ac:dyDescent="0.2">
      <c r="B103" s="25" t="str">
        <f>IF(Plan!B24="","-",Plan!B24)</f>
        <v>DB Masthühner</v>
      </c>
      <c r="C103" s="38" t="s">
        <v>21</v>
      </c>
      <c r="D103" s="31">
        <f>IF('[1]E-Plan'!$G24="","",'[1]E-Plan'!$G24)</f>
        <v>0</v>
      </c>
      <c r="E103" s="27"/>
      <c r="F103" s="32">
        <f>IF(OR(Plan!$C24="",Plan!F24=""),"-",Plan!$C24*-Plan!F24)</f>
        <v>0</v>
      </c>
      <c r="H103" s="33">
        <f>IF(Plan!$G24="","",Plan!$G24)</f>
        <v>0</v>
      </c>
      <c r="I103" s="29" t="str">
        <f t="shared" si="27"/>
        <v>Richtig!</v>
      </c>
      <c r="J103" s="30" t="str">
        <f t="shared" si="28"/>
        <v>-</v>
      </c>
      <c r="K103" s="23" t="str">
        <f t="shared" si="18"/>
        <v/>
      </c>
      <c r="L103" s="24" t="str">
        <f t="shared" si="16"/>
        <v/>
      </c>
      <c r="N103" s="882"/>
      <c r="P103" s="31">
        <f t="shared" si="23"/>
        <v>0</v>
      </c>
      <c r="Q103" s="27" t="str">
        <f t="shared" si="19"/>
        <v/>
      </c>
      <c r="R103" s="32">
        <f t="shared" si="20"/>
        <v>0</v>
      </c>
      <c r="S103" s="1" t="str">
        <f t="shared" si="21"/>
        <v/>
      </c>
      <c r="T103" s="33">
        <f t="shared" si="22"/>
        <v>0</v>
      </c>
    </row>
    <row r="104" spans="1:20" ht="12.75" hidden="1" customHeight="1" x14ac:dyDescent="0.2">
      <c r="B104" s="25" t="str">
        <f>IF(Plan!B25="","-",Plan!B25)</f>
        <v>DB Kartoffel</v>
      </c>
      <c r="C104" s="38" t="s">
        <v>21</v>
      </c>
      <c r="D104" s="31">
        <f>IF('[1]E-Plan'!$G25="","",'[1]E-Plan'!$G25)</f>
        <v>0</v>
      </c>
      <c r="E104" s="27"/>
      <c r="F104" s="32">
        <f>IF(OR(Plan!$C25="",Plan!F25=""),"-",Plan!$C25*-Plan!F25)</f>
        <v>0</v>
      </c>
      <c r="H104" s="33">
        <f>IF(Plan!$G25="","",Plan!$G25)</f>
        <v>0</v>
      </c>
      <c r="I104" s="29" t="str">
        <f t="shared" si="27"/>
        <v>Richtig!</v>
      </c>
      <c r="J104" s="30" t="str">
        <f t="shared" si="28"/>
        <v>-</v>
      </c>
      <c r="K104" s="23" t="str">
        <f t="shared" si="18"/>
        <v/>
      </c>
      <c r="L104" s="24" t="str">
        <f t="shared" ref="L104:L135" si="29">IF(OR(B104="-",N104="",AND(P104="",T104="")),"",1)</f>
        <v/>
      </c>
      <c r="N104" s="882"/>
      <c r="P104" s="31">
        <f t="shared" si="23"/>
        <v>0</v>
      </c>
      <c r="Q104" s="27" t="str">
        <f t="shared" si="19"/>
        <v/>
      </c>
      <c r="R104" s="32">
        <f t="shared" si="20"/>
        <v>0</v>
      </c>
      <c r="S104" s="1" t="str">
        <f t="shared" si="21"/>
        <v/>
      </c>
      <c r="T104" s="33">
        <f t="shared" si="22"/>
        <v>0</v>
      </c>
    </row>
    <row r="105" spans="1:20" ht="12.75" hidden="1" customHeight="1" x14ac:dyDescent="0.2">
      <c r="B105" s="25" t="str">
        <f>IF(Plan!B26="","-",Plan!B26)</f>
        <v>-</v>
      </c>
      <c r="C105" s="38" t="s">
        <v>21</v>
      </c>
      <c r="D105" s="31" t="str">
        <f>IF('[1]E-Plan'!$G26="","",'[1]E-Plan'!$G26)</f>
        <v/>
      </c>
      <c r="E105" s="27"/>
      <c r="F105" s="32" t="str">
        <f>IF(OR(Plan!$C26="",Plan!F26=""),"-",Plan!$C26*-Plan!F26)</f>
        <v>-</v>
      </c>
      <c r="H105" s="33" t="str">
        <f>IF(Plan!$G26="","",Plan!$G26)</f>
        <v/>
      </c>
      <c r="I105" s="29" t="str">
        <f t="shared" si="27"/>
        <v/>
      </c>
      <c r="J105" s="30" t="str">
        <f t="shared" si="28"/>
        <v>-</v>
      </c>
      <c r="K105" s="23" t="str">
        <f t="shared" si="18"/>
        <v/>
      </c>
      <c r="L105" s="24" t="str">
        <f t="shared" si="29"/>
        <v/>
      </c>
      <c r="N105" s="882"/>
      <c r="P105" s="31" t="str">
        <f t="shared" si="23"/>
        <v/>
      </c>
      <c r="Q105" s="27" t="str">
        <f t="shared" si="19"/>
        <v/>
      </c>
      <c r="R105" s="32" t="str">
        <f t="shared" si="20"/>
        <v>-</v>
      </c>
      <c r="S105" s="1" t="str">
        <f t="shared" si="21"/>
        <v/>
      </c>
      <c r="T105" s="33" t="str">
        <f t="shared" si="22"/>
        <v/>
      </c>
    </row>
    <row r="106" spans="1:20" ht="12.75" hidden="1" customHeight="1" x14ac:dyDescent="0.2">
      <c r="B106" s="25" t="str">
        <f>IF(Plan!B27="","-",Plan!B27)</f>
        <v>-</v>
      </c>
      <c r="C106" s="38" t="s">
        <v>21</v>
      </c>
      <c r="D106" s="31" t="str">
        <f>IF('[1]E-Plan'!$G27="","",'[1]E-Plan'!$G27)</f>
        <v/>
      </c>
      <c r="E106" s="27"/>
      <c r="F106" s="32" t="str">
        <f>IF(OR(Plan!$C27="",Plan!F27=""),"-",Plan!$C27*-Plan!F27)</f>
        <v>-</v>
      </c>
      <c r="H106" s="33" t="str">
        <f>IF(Plan!$G27="","",Plan!$G27)</f>
        <v/>
      </c>
      <c r="I106" s="29" t="str">
        <f t="shared" si="27"/>
        <v/>
      </c>
      <c r="J106" s="30" t="str">
        <f t="shared" si="28"/>
        <v>-</v>
      </c>
      <c r="K106" s="23" t="str">
        <f t="shared" si="18"/>
        <v/>
      </c>
      <c r="L106" s="24" t="str">
        <f t="shared" si="29"/>
        <v/>
      </c>
      <c r="N106" s="882"/>
      <c r="P106" s="31" t="str">
        <f t="shared" si="23"/>
        <v/>
      </c>
      <c r="Q106" s="27" t="str">
        <f t="shared" si="19"/>
        <v/>
      </c>
      <c r="R106" s="32" t="str">
        <f t="shared" si="20"/>
        <v>-</v>
      </c>
      <c r="S106" s="1" t="str">
        <f t="shared" si="21"/>
        <v/>
      </c>
      <c r="T106" s="33" t="str">
        <f t="shared" si="22"/>
        <v/>
      </c>
    </row>
    <row r="107" spans="1:20" ht="12.75" hidden="1" customHeight="1" x14ac:dyDescent="0.2">
      <c r="B107" s="25" t="str">
        <f>IF(Plan!B28="","-",Plan!B28)</f>
        <v>VK Feldfutter  - Silage</v>
      </c>
      <c r="C107" s="38" t="s">
        <v>21</v>
      </c>
      <c r="D107" s="31">
        <f>IF('[1]E-Plan'!$G28="","",'[1]E-Plan'!$G28)</f>
        <v>129254.40000000001</v>
      </c>
      <c r="E107" s="27"/>
      <c r="F107" s="32">
        <f>IF(OR(Plan!$C28="",Plan!F28=""),"-",Plan!$C28*Plan!F28)</f>
        <v>129254.40000000001</v>
      </c>
      <c r="H107" s="33">
        <f>IF(Plan!$G28="","",Plan!$G28)</f>
        <v>129254.40000000001</v>
      </c>
      <c r="I107" s="29" t="str">
        <f t="shared" si="27"/>
        <v>Richtig!</v>
      </c>
      <c r="J107" s="30" t="str">
        <f t="shared" si="28"/>
        <v>-</v>
      </c>
      <c r="K107" s="23" t="str">
        <f t="shared" si="18"/>
        <v/>
      </c>
      <c r="L107" s="24" t="str">
        <f t="shared" si="29"/>
        <v/>
      </c>
      <c r="N107" s="882"/>
      <c r="P107" s="31">
        <f t="shared" si="23"/>
        <v>129254.39999999999</v>
      </c>
      <c r="Q107" s="27" t="str">
        <f t="shared" si="19"/>
        <v/>
      </c>
      <c r="R107" s="32">
        <f t="shared" si="20"/>
        <v>129254.39999999999</v>
      </c>
      <c r="S107" s="1" t="str">
        <f t="shared" si="21"/>
        <v/>
      </c>
      <c r="T107" s="33">
        <f t="shared" si="22"/>
        <v>129254.39999999999</v>
      </c>
    </row>
    <row r="108" spans="1:20" ht="12.75" x14ac:dyDescent="0.2">
      <c r="B108" s="25" t="str">
        <f>IF(Plan!B29="","-",Plan!B29)</f>
        <v>VK Dauergrünland 3-schnittig</v>
      </c>
      <c r="C108" s="38" t="s">
        <v>21</v>
      </c>
      <c r="D108" s="31">
        <f>IF('[1]E-Plan'!$G29="","",'[1]E-Plan'!$G29)</f>
        <v>626302.60000000009</v>
      </c>
      <c r="E108" s="27"/>
      <c r="F108" s="32">
        <f>IF(OR(Plan!$C29="",Plan!F29=""),"-",Plan!$C29*Plan!F29)</f>
        <v>626302.60000000009</v>
      </c>
      <c r="H108" s="33" t="str">
        <f>IF(Plan!$G29="","",Plan!$G29)</f>
        <v/>
      </c>
      <c r="I108" s="29" t="str">
        <f t="shared" si="27"/>
        <v>Fehlt</v>
      </c>
      <c r="J108" s="30">
        <f t="shared" si="28"/>
        <v>0</v>
      </c>
      <c r="K108" s="23" t="str">
        <f t="shared" si="18"/>
        <v>│</v>
      </c>
      <c r="L108" s="24">
        <f t="shared" si="29"/>
        <v>1</v>
      </c>
      <c r="N108" s="882" t="str">
        <f>IF($L$1="","",$L$1)</f>
        <v>x</v>
      </c>
      <c r="P108" s="31">
        <f t="shared" si="23"/>
        <v>626302.6</v>
      </c>
      <c r="Q108" s="27" t="str">
        <f t="shared" si="19"/>
        <v/>
      </c>
      <c r="R108" s="32">
        <f t="shared" si="20"/>
        <v>626302.6</v>
      </c>
      <c r="S108" s="1" t="str">
        <f t="shared" si="21"/>
        <v/>
      </c>
      <c r="T108" s="33" t="str">
        <f t="shared" si="22"/>
        <v/>
      </c>
    </row>
    <row r="109" spans="1:20" ht="12.75" hidden="1" customHeight="1" x14ac:dyDescent="0.2">
      <c r="B109" s="25" t="str">
        <f>IF(Plan!B30="","-",Plan!B30)</f>
        <v>VK Dauergrünland 1-schnittig</v>
      </c>
      <c r="C109" s="38" t="s">
        <v>21</v>
      </c>
      <c r="D109" s="31">
        <f>IF('[1]E-Plan'!$G30="","",'[1]E-Plan'!$G30)</f>
        <v>17906.900000000001</v>
      </c>
      <c r="E109" s="27"/>
      <c r="F109" s="32">
        <f>IF(OR(Plan!$C30="",Plan!F30=""),"-",Plan!$C30*Plan!F30)</f>
        <v>17906.900000000001</v>
      </c>
      <c r="H109" s="33">
        <f>IF(Plan!$G30="","",Plan!$G30)</f>
        <v>17906.900000000001</v>
      </c>
      <c r="I109" s="29" t="str">
        <f t="shared" si="27"/>
        <v>Richtig!</v>
      </c>
      <c r="J109" s="30" t="str">
        <f t="shared" si="28"/>
        <v>-</v>
      </c>
      <c r="K109" s="23" t="str">
        <f t="shared" si="18"/>
        <v/>
      </c>
      <c r="L109" s="24" t="str">
        <f t="shared" si="29"/>
        <v/>
      </c>
      <c r="N109" s="882"/>
      <c r="P109" s="31">
        <f t="shared" si="23"/>
        <v>17906.900000000001</v>
      </c>
      <c r="Q109" s="27" t="str">
        <f t="shared" si="19"/>
        <v/>
      </c>
      <c r="R109" s="32">
        <f t="shared" si="20"/>
        <v>17906.900000000001</v>
      </c>
      <c r="S109" s="1" t="str">
        <f t="shared" si="21"/>
        <v/>
      </c>
      <c r="T109" s="33">
        <f t="shared" si="22"/>
        <v>17906.900000000001</v>
      </c>
    </row>
    <row r="110" spans="1:20" ht="12.75" hidden="1" customHeight="1" x14ac:dyDescent="0.2">
      <c r="B110" s="25" t="str">
        <f>IF(Plan!B31="","-",Plan!B31)</f>
        <v>-</v>
      </c>
      <c r="C110" s="38" t="s">
        <v>21</v>
      </c>
      <c r="D110" s="31" t="str">
        <f>IF('[1]E-Plan'!$G31="","",'[1]E-Plan'!$G31)</f>
        <v/>
      </c>
      <c r="E110" s="27"/>
      <c r="F110" s="32" t="str">
        <f>IF(OR(Plan!$C31="",Plan!F31=""),"-",Plan!$C31*Plan!F31)</f>
        <v>-</v>
      </c>
      <c r="H110" s="33" t="str">
        <f>IF(Plan!$G31="","",Plan!$G31)</f>
        <v/>
      </c>
      <c r="I110" s="29" t="str">
        <f t="shared" si="27"/>
        <v/>
      </c>
      <c r="J110" s="30" t="str">
        <f t="shared" si="28"/>
        <v>-</v>
      </c>
      <c r="K110" s="23" t="str">
        <f t="shared" si="18"/>
        <v/>
      </c>
      <c r="L110" s="24" t="str">
        <f t="shared" si="29"/>
        <v/>
      </c>
      <c r="N110" s="882"/>
      <c r="P110" s="31" t="str">
        <f t="shared" si="23"/>
        <v/>
      </c>
      <c r="Q110" s="27" t="str">
        <f t="shared" si="19"/>
        <v/>
      </c>
      <c r="R110" s="32" t="str">
        <f t="shared" si="20"/>
        <v>-</v>
      </c>
      <c r="S110" s="1" t="str">
        <f t="shared" si="21"/>
        <v/>
      </c>
      <c r="T110" s="33" t="str">
        <f t="shared" si="22"/>
        <v/>
      </c>
    </row>
    <row r="111" spans="1:20" ht="12.75" hidden="1" customHeight="1" x14ac:dyDescent="0.2">
      <c r="B111" s="25" t="str">
        <f>IF(Plan!B32="","-",Plan!B32)</f>
        <v>-</v>
      </c>
      <c r="C111" s="38" t="s">
        <v>21</v>
      </c>
      <c r="D111" s="31" t="str">
        <f>IF('[1]E-Plan'!$G32="","",'[1]E-Plan'!$G32)</f>
        <v/>
      </c>
      <c r="E111" s="27"/>
      <c r="F111" s="32" t="str">
        <f>IF(OR(Plan!$C32="",Plan!F32=""),"-",Plan!$C32*Plan!F32)</f>
        <v>-</v>
      </c>
      <c r="H111" s="33" t="str">
        <f>IF(Plan!$G32="","",Plan!$G32)</f>
        <v/>
      </c>
      <c r="I111" s="29" t="str">
        <f t="shared" si="27"/>
        <v/>
      </c>
      <c r="J111" s="30" t="str">
        <f t="shared" si="28"/>
        <v>-</v>
      </c>
      <c r="K111" s="23" t="str">
        <f t="shared" si="18"/>
        <v/>
      </c>
      <c r="L111" s="24" t="str">
        <f t="shared" si="29"/>
        <v/>
      </c>
      <c r="N111" s="882"/>
      <c r="P111" s="31" t="str">
        <f t="shared" si="23"/>
        <v/>
      </c>
      <c r="Q111" s="27" t="str">
        <f t="shared" si="19"/>
        <v/>
      </c>
      <c r="R111" s="32" t="str">
        <f t="shared" si="20"/>
        <v>-</v>
      </c>
      <c r="S111" s="1" t="str">
        <f t="shared" si="21"/>
        <v/>
      </c>
      <c r="T111" s="33" t="str">
        <f t="shared" si="22"/>
        <v/>
      </c>
    </row>
    <row r="112" spans="1:20" ht="12.75" hidden="1" customHeight="1" x14ac:dyDescent="0.2">
      <c r="B112" s="25" t="str">
        <f>IF(Plan!B33="","-",Plan!B33)</f>
        <v>-</v>
      </c>
      <c r="C112" s="38" t="s">
        <v>21</v>
      </c>
      <c r="D112" s="31" t="str">
        <f>IF('[1]E-Plan'!$G33="","",'[1]E-Plan'!$G33)</f>
        <v/>
      </c>
      <c r="E112" s="27"/>
      <c r="F112" s="32" t="str">
        <f>IF(OR(Plan!$C33="",Plan!F33=""),"-",Plan!$C33*Plan!F33)</f>
        <v>-</v>
      </c>
      <c r="H112" s="33" t="str">
        <f>IF(Plan!$G33="","",Plan!$G33)</f>
        <v/>
      </c>
      <c r="I112" s="29" t="str">
        <f t="shared" si="27"/>
        <v/>
      </c>
      <c r="J112" s="30" t="str">
        <f t="shared" si="28"/>
        <v>-</v>
      </c>
      <c r="K112" s="23" t="str">
        <f t="shared" si="18"/>
        <v/>
      </c>
      <c r="L112" s="24" t="str">
        <f t="shared" si="29"/>
        <v/>
      </c>
      <c r="N112" s="882"/>
      <c r="P112" s="31" t="str">
        <f t="shared" si="23"/>
        <v/>
      </c>
      <c r="Q112" s="27" t="str">
        <f t="shared" si="19"/>
        <v/>
      </c>
      <c r="R112" s="32" t="str">
        <f t="shared" si="20"/>
        <v>-</v>
      </c>
      <c r="S112" s="1" t="str">
        <f t="shared" si="21"/>
        <v/>
      </c>
      <c r="T112" s="33" t="str">
        <f t="shared" si="22"/>
        <v/>
      </c>
    </row>
    <row r="113" spans="1:20" ht="12.75" hidden="1" customHeight="1" x14ac:dyDescent="0.2">
      <c r="B113" s="25" t="str">
        <f>IF(Plan!B34="","-",Plan!B34)</f>
        <v>-</v>
      </c>
      <c r="C113" s="38" t="s">
        <v>21</v>
      </c>
      <c r="D113" s="31" t="str">
        <f>IF('[1]E-Plan'!$G34="","",'[1]E-Plan'!$G34)</f>
        <v/>
      </c>
      <c r="E113" s="27"/>
      <c r="F113" s="32" t="str">
        <f>IF(OR(Plan!$C34="",Plan!F34=""),"-",Plan!$C34*Plan!F34)</f>
        <v>-</v>
      </c>
      <c r="H113" s="33" t="str">
        <f>IF(Plan!$G34="","",Plan!$G34)</f>
        <v/>
      </c>
      <c r="I113" s="29" t="str">
        <f t="shared" si="27"/>
        <v/>
      </c>
      <c r="J113" s="30" t="str">
        <f t="shared" si="28"/>
        <v>-</v>
      </c>
      <c r="K113" s="23" t="str">
        <f t="shared" si="18"/>
        <v/>
      </c>
      <c r="L113" s="24" t="str">
        <f t="shared" si="29"/>
        <v/>
      </c>
      <c r="N113" s="882"/>
      <c r="P113" s="31" t="str">
        <f t="shared" si="23"/>
        <v/>
      </c>
      <c r="Q113" s="27" t="str">
        <f t="shared" si="19"/>
        <v/>
      </c>
      <c r="R113" s="32" t="str">
        <f t="shared" si="20"/>
        <v>-</v>
      </c>
      <c r="S113" s="1" t="str">
        <f t="shared" si="21"/>
        <v/>
      </c>
      <c r="T113" s="33" t="str">
        <f t="shared" si="22"/>
        <v/>
      </c>
    </row>
    <row r="114" spans="1:20" ht="12.75" customHeight="1" x14ac:dyDescent="0.2">
      <c r="B114" s="25" t="str">
        <f>IF(Plan!F38="","-",Plan!F38)</f>
        <v xml:space="preserve"> +/- Ges.
Energie</v>
      </c>
      <c r="C114" s="38" t="s">
        <v>21</v>
      </c>
      <c r="D114" s="31">
        <f>IF('[1]E-Plan'!$G38="","",'[1]E-Plan'!$G38)</f>
        <v>99168.900000000111</v>
      </c>
      <c r="E114" s="27"/>
      <c r="F114" s="32">
        <f>IF(AND(H100="",H101="",H102="",H103="",H104="",H105="",H106="",H107="",H108="",H109="",H110="",H111="",H112="",H113=""),"-",SUM(H100:H113))</f>
        <v>147161.30000000002</v>
      </c>
      <c r="H114" s="33" t="str">
        <f>IF(Plan!$G38="","",Plan!$G38)</f>
        <v/>
      </c>
      <c r="I114" s="29" t="str">
        <f t="shared" si="27"/>
        <v>Fehlt</v>
      </c>
      <c r="J114" s="30">
        <f t="shared" si="28"/>
        <v>0</v>
      </c>
      <c r="K114" s="23" t="str">
        <f t="shared" si="18"/>
        <v>│</v>
      </c>
      <c r="L114" s="24">
        <f t="shared" si="29"/>
        <v>1</v>
      </c>
      <c r="N114" s="882" t="str">
        <f>IF($L$1="","",$L$1)</f>
        <v>x</v>
      </c>
      <c r="P114" s="31">
        <f t="shared" si="23"/>
        <v>99168.9</v>
      </c>
      <c r="Q114" s="27" t="str">
        <f t="shared" si="19"/>
        <v/>
      </c>
      <c r="R114" s="32">
        <f t="shared" si="20"/>
        <v>147161.29999999999</v>
      </c>
      <c r="S114" s="1" t="str">
        <f t="shared" si="21"/>
        <v/>
      </c>
      <c r="T114" s="33" t="str">
        <f t="shared" si="22"/>
        <v/>
      </c>
    </row>
    <row r="115" spans="1:20" ht="12.75" customHeight="1" x14ac:dyDescent="0.2">
      <c r="A115" s="18"/>
      <c r="C115" s="38"/>
      <c r="D115" s="34"/>
      <c r="E115" s="27"/>
      <c r="F115" s="27"/>
      <c r="H115" s="35"/>
      <c r="I115" s="29"/>
      <c r="J115" s="29"/>
      <c r="K115" s="23" t="str">
        <f t="shared" si="18"/>
        <v/>
      </c>
      <c r="L115" s="24" t="str">
        <f t="shared" si="29"/>
        <v/>
      </c>
      <c r="N115" s="883" t="str">
        <f>IF($L$1="","",$L$1)</f>
        <v>x</v>
      </c>
      <c r="P115" s="34" t="str">
        <f t="shared" si="23"/>
        <v/>
      </c>
      <c r="Q115" s="27" t="str">
        <f t="shared" si="19"/>
        <v/>
      </c>
      <c r="R115" s="27" t="str">
        <f t="shared" si="20"/>
        <v/>
      </c>
      <c r="S115" s="1" t="str">
        <f t="shared" si="21"/>
        <v/>
      </c>
      <c r="T115" s="35" t="str">
        <f t="shared" si="22"/>
        <v/>
      </c>
    </row>
    <row r="116" spans="1:20" ht="12.75" customHeight="1" x14ac:dyDescent="0.2">
      <c r="A116" s="17" t="s">
        <v>17</v>
      </c>
      <c r="B116" s="37" t="str">
        <f>Plan!H18</f>
        <v>Jahresarbeitszeit 
in Akh</v>
      </c>
      <c r="C116" s="38"/>
      <c r="D116" s="19"/>
      <c r="H116" s="20"/>
      <c r="I116" s="21"/>
      <c r="J116" s="21"/>
      <c r="K116" s="23" t="str">
        <f t="shared" si="18"/>
        <v/>
      </c>
      <c r="L116" s="24" t="str">
        <f t="shared" si="29"/>
        <v/>
      </c>
      <c r="N116" s="880" t="str">
        <f>IF($L$1="","",$L$1)</f>
        <v>x</v>
      </c>
      <c r="P116" s="19" t="str">
        <f t="shared" si="23"/>
        <v/>
      </c>
      <c r="Q116" s="1" t="str">
        <f t="shared" si="19"/>
        <v/>
      </c>
      <c r="R116" s="1" t="str">
        <f t="shared" si="20"/>
        <v/>
      </c>
      <c r="S116" s="1" t="str">
        <f t="shared" si="21"/>
        <v/>
      </c>
      <c r="T116" s="20" t="str">
        <f t="shared" si="22"/>
        <v/>
      </c>
    </row>
    <row r="117" spans="1:20" ht="12.75" x14ac:dyDescent="0.2">
      <c r="B117" s="25" t="str">
        <f>IF(Plan!B21="","-",Plan!B21)</f>
        <v>DB Milchkuh</v>
      </c>
      <c r="C117" s="38" t="s">
        <v>21</v>
      </c>
      <c r="D117" s="31">
        <f>IF('[1]E-Plan'!$I21="","",'[1]E-Plan'!$I21)</f>
        <v>3200.75</v>
      </c>
      <c r="E117" s="27"/>
      <c r="F117" s="32">
        <f>IF(OR(Plan!$C21="",Plan!H21=""),"-",Plan!$C21*Plan!H21)</f>
        <v>3200.75</v>
      </c>
      <c r="H117" s="33" t="str">
        <f>IF(Plan!$I21="","",Plan!$I21)</f>
        <v/>
      </c>
      <c r="I117" s="29" t="str">
        <f t="shared" ref="I117:I131" si="30">IF(B117="-","",IF(P117=T117,"Richtig!",IF(AND(P117&lt;&gt;T117,R117=T117),"Formel: OK",IF(T117="","Fehlt","Falsch"))))</f>
        <v>Fehlt</v>
      </c>
      <c r="J117" s="30">
        <f t="shared" ref="J117:J131" si="31">IF(OR(B117="-",N117="",AND(P117="",T117="")),"-",IF(I117="Richtig!",1,IF(I117="Formel: OK",0.5,IF(OR(I117="Falsch",I117="Fehlt"),0,""))))</f>
        <v>0</v>
      </c>
      <c r="K117" s="23" t="str">
        <f t="shared" si="18"/>
        <v>│</v>
      </c>
      <c r="L117" s="24">
        <f t="shared" si="29"/>
        <v>1</v>
      </c>
      <c r="N117" s="882" t="str">
        <f>IF($L$1="","",$L$1)</f>
        <v>x</v>
      </c>
      <c r="P117" s="31">
        <f t="shared" si="23"/>
        <v>3200.75</v>
      </c>
      <c r="Q117" s="27" t="str">
        <f t="shared" si="19"/>
        <v/>
      </c>
      <c r="R117" s="32">
        <f t="shared" si="20"/>
        <v>3200.75</v>
      </c>
      <c r="S117" s="1" t="str">
        <f t="shared" si="21"/>
        <v/>
      </c>
      <c r="T117" s="33" t="str">
        <f t="shared" si="22"/>
        <v/>
      </c>
    </row>
    <row r="118" spans="1:20" ht="12.75" x14ac:dyDescent="0.2">
      <c r="B118" s="25" t="str">
        <f>IF(Plan!B22="","-",Plan!B22)</f>
        <v>DB Kalbinnen</v>
      </c>
      <c r="C118" s="38" t="s">
        <v>21</v>
      </c>
      <c r="D118" s="31">
        <f>IF('[1]E-Plan'!$I22="","",'[1]E-Plan'!$I22)</f>
        <v>227.66400000000002</v>
      </c>
      <c r="E118" s="27"/>
      <c r="F118" s="32">
        <f>IF(OR(Plan!$C22="",Plan!H22=""),"-",Plan!$C22*Plan!H22)</f>
        <v>227.66400000000002</v>
      </c>
      <c r="H118" s="33" t="str">
        <f>IF(Plan!$I22="","",Plan!$I22)</f>
        <v/>
      </c>
      <c r="I118" s="29" t="str">
        <f t="shared" si="30"/>
        <v>Fehlt</v>
      </c>
      <c r="J118" s="30">
        <f t="shared" si="31"/>
        <v>0</v>
      </c>
      <c r="K118" s="23" t="str">
        <f t="shared" si="18"/>
        <v>│</v>
      </c>
      <c r="L118" s="24">
        <f t="shared" si="29"/>
        <v>1</v>
      </c>
      <c r="N118" s="882" t="str">
        <f>IF($L$1="","",$L$1)</f>
        <v>x</v>
      </c>
      <c r="P118" s="31">
        <f t="shared" si="23"/>
        <v>227.66399999999999</v>
      </c>
      <c r="Q118" s="27" t="str">
        <f t="shared" si="19"/>
        <v/>
      </c>
      <c r="R118" s="32">
        <f t="shared" si="20"/>
        <v>227.66399999999999</v>
      </c>
      <c r="S118" s="1" t="str">
        <f t="shared" si="21"/>
        <v/>
      </c>
      <c r="T118" s="33" t="str">
        <f t="shared" si="22"/>
        <v/>
      </c>
    </row>
    <row r="119" spans="1:20" ht="12.75" hidden="1" customHeight="1" x14ac:dyDescent="0.2">
      <c r="B119" s="25" t="str">
        <f>IF(Plan!B23="","-",Plan!B23)</f>
        <v>DB Milchkälber</v>
      </c>
      <c r="C119" s="38" t="s">
        <v>21</v>
      </c>
      <c r="D119" s="31">
        <f>IF('[1]E-Plan'!$I23="","",'[1]E-Plan'!$I23)</f>
        <v>70.679999999999993</v>
      </c>
      <c r="E119" s="27"/>
      <c r="F119" s="32">
        <f>IF(OR(Plan!$C23="",Plan!H23=""),"-",Plan!$C23*Plan!H23)</f>
        <v>70.679999999999993</v>
      </c>
      <c r="H119" s="33">
        <f>IF(Plan!$I23="","",Plan!$I23)</f>
        <v>70.679999999999993</v>
      </c>
      <c r="I119" s="29" t="str">
        <f t="shared" si="30"/>
        <v>Richtig!</v>
      </c>
      <c r="J119" s="30" t="str">
        <f t="shared" si="31"/>
        <v>-</v>
      </c>
      <c r="K119" s="23" t="str">
        <f t="shared" si="18"/>
        <v/>
      </c>
      <c r="L119" s="24" t="str">
        <f t="shared" si="29"/>
        <v/>
      </c>
      <c r="N119" s="882"/>
      <c r="P119" s="31">
        <f t="shared" si="23"/>
        <v>70.680000000000007</v>
      </c>
      <c r="Q119" s="27" t="str">
        <f t="shared" si="19"/>
        <v/>
      </c>
      <c r="R119" s="32">
        <f t="shared" si="20"/>
        <v>70.680000000000007</v>
      </c>
      <c r="S119" s="1" t="str">
        <f t="shared" si="21"/>
        <v/>
      </c>
      <c r="T119" s="33">
        <f t="shared" si="22"/>
        <v>70.680000000000007</v>
      </c>
    </row>
    <row r="120" spans="1:20" ht="12.75" hidden="1" customHeight="1" x14ac:dyDescent="0.2">
      <c r="B120" s="25" t="str">
        <f>IF(Plan!B24="","-",Plan!B24)</f>
        <v>DB Masthühner</v>
      </c>
      <c r="C120" s="38" t="s">
        <v>21</v>
      </c>
      <c r="D120" s="31">
        <f>IF('[1]E-Plan'!$I24="","",'[1]E-Plan'!$I24)</f>
        <v>111.6</v>
      </c>
      <c r="E120" s="27"/>
      <c r="F120" s="32">
        <f>IF(OR(Plan!$C24="",Plan!H24=""),"-",Plan!$C24*Plan!H24)</f>
        <v>111.6</v>
      </c>
      <c r="H120" s="33">
        <f>IF(Plan!$I24="","",Plan!$I24)</f>
        <v>111.6</v>
      </c>
      <c r="I120" s="29" t="str">
        <f t="shared" si="30"/>
        <v>Richtig!</v>
      </c>
      <c r="J120" s="30" t="str">
        <f t="shared" si="31"/>
        <v>-</v>
      </c>
      <c r="K120" s="23" t="str">
        <f t="shared" si="18"/>
        <v/>
      </c>
      <c r="L120" s="24" t="str">
        <f t="shared" si="29"/>
        <v/>
      </c>
      <c r="N120" s="882"/>
      <c r="P120" s="31">
        <f t="shared" si="23"/>
        <v>111.6</v>
      </c>
      <c r="Q120" s="27" t="str">
        <f t="shared" si="19"/>
        <v/>
      </c>
      <c r="R120" s="32">
        <f t="shared" si="20"/>
        <v>111.6</v>
      </c>
      <c r="S120" s="1" t="str">
        <f t="shared" si="21"/>
        <v/>
      </c>
      <c r="T120" s="33">
        <f t="shared" si="22"/>
        <v>111.6</v>
      </c>
    </row>
    <row r="121" spans="1:20" ht="12.75" hidden="1" customHeight="1" x14ac:dyDescent="0.2">
      <c r="B121" s="25" t="str">
        <f>IF(Plan!B25="","-",Plan!B25)</f>
        <v>DB Kartoffel</v>
      </c>
      <c r="C121" s="38" t="s">
        <v>21</v>
      </c>
      <c r="D121" s="31">
        <f>IF('[1]E-Plan'!$I25="","",'[1]E-Plan'!$I25)</f>
        <v>21.501600000000003</v>
      </c>
      <c r="E121" s="27"/>
      <c r="F121" s="32">
        <f>IF(OR(Plan!$C25="",Plan!H25=""),"-",Plan!$C25*Plan!H25)</f>
        <v>21.501600000000003</v>
      </c>
      <c r="H121" s="33">
        <f>IF(Plan!$I25="","",Plan!$I25)</f>
        <v>21.501600000000003</v>
      </c>
      <c r="I121" s="29" t="str">
        <f t="shared" si="30"/>
        <v>Richtig!</v>
      </c>
      <c r="J121" s="30" t="str">
        <f t="shared" si="31"/>
        <v>-</v>
      </c>
      <c r="K121" s="23" t="str">
        <f t="shared" si="18"/>
        <v/>
      </c>
      <c r="L121" s="24" t="str">
        <f t="shared" si="29"/>
        <v/>
      </c>
      <c r="N121" s="882"/>
      <c r="P121" s="31">
        <f t="shared" si="23"/>
        <v>21.5016</v>
      </c>
      <c r="Q121" s="27" t="str">
        <f t="shared" si="19"/>
        <v/>
      </c>
      <c r="R121" s="32">
        <f t="shared" si="20"/>
        <v>21.5016</v>
      </c>
      <c r="S121" s="1" t="str">
        <f t="shared" si="21"/>
        <v/>
      </c>
      <c r="T121" s="33">
        <f t="shared" si="22"/>
        <v>21.5016</v>
      </c>
    </row>
    <row r="122" spans="1:20" ht="12.75" hidden="1" customHeight="1" x14ac:dyDescent="0.2">
      <c r="B122" s="25" t="str">
        <f>IF(Plan!B26="","-",Plan!B26)</f>
        <v>-</v>
      </c>
      <c r="C122" s="38" t="s">
        <v>21</v>
      </c>
      <c r="D122" s="31" t="str">
        <f>IF('[1]E-Plan'!$I26="","",'[1]E-Plan'!$I26)</f>
        <v/>
      </c>
      <c r="E122" s="27"/>
      <c r="F122" s="32" t="str">
        <f>IF(OR(Plan!$C26="",Plan!H26=""),"-",Plan!$C26*Plan!H26)</f>
        <v>-</v>
      </c>
      <c r="H122" s="33" t="str">
        <f>IF(Plan!$I26="","",Plan!$I26)</f>
        <v/>
      </c>
      <c r="I122" s="29" t="str">
        <f t="shared" si="30"/>
        <v/>
      </c>
      <c r="J122" s="30" t="str">
        <f t="shared" si="31"/>
        <v>-</v>
      </c>
      <c r="K122" s="23" t="str">
        <f t="shared" si="18"/>
        <v/>
      </c>
      <c r="L122" s="24" t="str">
        <f t="shared" si="29"/>
        <v/>
      </c>
      <c r="N122" s="882"/>
      <c r="P122" s="31" t="str">
        <f t="shared" si="23"/>
        <v/>
      </c>
      <c r="Q122" s="27" t="str">
        <f t="shared" si="19"/>
        <v/>
      </c>
      <c r="R122" s="32" t="str">
        <f t="shared" si="20"/>
        <v>-</v>
      </c>
      <c r="S122" s="1" t="str">
        <f t="shared" si="21"/>
        <v/>
      </c>
      <c r="T122" s="33" t="str">
        <f t="shared" si="22"/>
        <v/>
      </c>
    </row>
    <row r="123" spans="1:20" ht="12.75" hidden="1" customHeight="1" x14ac:dyDescent="0.2">
      <c r="B123" s="25" t="str">
        <f>IF(Plan!B27="","-",Plan!B27)</f>
        <v>-</v>
      </c>
      <c r="C123" s="38" t="s">
        <v>21</v>
      </c>
      <c r="D123" s="31" t="str">
        <f>IF('[1]E-Plan'!$I27="","",'[1]E-Plan'!$I27)</f>
        <v/>
      </c>
      <c r="E123" s="27"/>
      <c r="F123" s="32" t="str">
        <f>IF(OR(Plan!$C27="",Plan!H27=""),"-",Plan!$C27*Plan!H27)</f>
        <v>-</v>
      </c>
      <c r="H123" s="33" t="str">
        <f>IF(Plan!$I27="","",Plan!$I27)</f>
        <v/>
      </c>
      <c r="I123" s="29" t="str">
        <f t="shared" si="30"/>
        <v/>
      </c>
      <c r="J123" s="30" t="str">
        <f t="shared" si="31"/>
        <v>-</v>
      </c>
      <c r="K123" s="23" t="str">
        <f t="shared" si="18"/>
        <v/>
      </c>
      <c r="L123" s="24" t="str">
        <f t="shared" si="29"/>
        <v/>
      </c>
      <c r="N123" s="882"/>
      <c r="P123" s="31" t="str">
        <f t="shared" si="23"/>
        <v/>
      </c>
      <c r="Q123" s="27" t="str">
        <f t="shared" si="19"/>
        <v/>
      </c>
      <c r="R123" s="32" t="str">
        <f t="shared" si="20"/>
        <v>-</v>
      </c>
      <c r="S123" s="1" t="str">
        <f t="shared" si="21"/>
        <v/>
      </c>
      <c r="T123" s="33" t="str">
        <f t="shared" si="22"/>
        <v/>
      </c>
    </row>
    <row r="124" spans="1:20" ht="12.75" hidden="1" customHeight="1" x14ac:dyDescent="0.2">
      <c r="B124" s="25" t="str">
        <f>IF(Plan!B28="","-",Plan!B28)</f>
        <v>VK Feldfutter  - Silage</v>
      </c>
      <c r="C124" s="38" t="s">
        <v>21</v>
      </c>
      <c r="D124" s="31">
        <f>IF('[1]E-Plan'!$I28="","",'[1]E-Plan'!$I28)</f>
        <v>32.271000000000001</v>
      </c>
      <c r="E124" s="27"/>
      <c r="F124" s="32">
        <f>IF(OR(Plan!$C28="",Plan!H28=""),"-",Plan!$C28*Plan!H28)</f>
        <v>32.271000000000001</v>
      </c>
      <c r="H124" s="33">
        <f>IF(Plan!$I28="","",Plan!$I28)</f>
        <v>32.271000000000001</v>
      </c>
      <c r="I124" s="29" t="str">
        <f t="shared" si="30"/>
        <v>Richtig!</v>
      </c>
      <c r="J124" s="30" t="str">
        <f t="shared" si="31"/>
        <v>-</v>
      </c>
      <c r="K124" s="23" t="str">
        <f t="shared" si="18"/>
        <v/>
      </c>
      <c r="L124" s="24" t="str">
        <f t="shared" si="29"/>
        <v/>
      </c>
      <c r="N124" s="882"/>
      <c r="P124" s="31">
        <f t="shared" si="23"/>
        <v>32.271000000000001</v>
      </c>
      <c r="Q124" s="27" t="str">
        <f t="shared" si="19"/>
        <v/>
      </c>
      <c r="R124" s="32">
        <f t="shared" si="20"/>
        <v>32.271000000000001</v>
      </c>
      <c r="S124" s="1" t="str">
        <f t="shared" si="21"/>
        <v/>
      </c>
      <c r="T124" s="33">
        <f t="shared" si="22"/>
        <v>32.271000000000001</v>
      </c>
    </row>
    <row r="125" spans="1:20" ht="12.75" x14ac:dyDescent="0.2">
      <c r="B125" s="25" t="str">
        <f>IF(Plan!B29="","-",Plan!B29)</f>
        <v>VK Dauergrünland 3-schnittig</v>
      </c>
      <c r="C125" s="38" t="s">
        <v>21</v>
      </c>
      <c r="D125" s="31">
        <f>IF('[1]E-Plan'!$I29="","",'[1]E-Plan'!$I29)</f>
        <v>517.84384</v>
      </c>
      <c r="E125" s="27"/>
      <c r="F125" s="32">
        <f>IF(OR(Plan!$C29="",Plan!H29=""),"-",Plan!$C29*Plan!H29)</f>
        <v>517.84384</v>
      </c>
      <c r="H125" s="33" t="str">
        <f>IF(Plan!$I29="","",Plan!$I29)</f>
        <v/>
      </c>
      <c r="I125" s="29" t="str">
        <f t="shared" si="30"/>
        <v>Fehlt</v>
      </c>
      <c r="J125" s="30">
        <f t="shared" si="31"/>
        <v>0</v>
      </c>
      <c r="K125" s="23" t="str">
        <f t="shared" si="18"/>
        <v>│</v>
      </c>
      <c r="L125" s="24">
        <f t="shared" si="29"/>
        <v>1</v>
      </c>
      <c r="N125" s="882" t="str">
        <f>IF($L$1="","",$L$1)</f>
        <v>x</v>
      </c>
      <c r="P125" s="31">
        <f t="shared" si="23"/>
        <v>517.84384</v>
      </c>
      <c r="Q125" s="27" t="str">
        <f t="shared" si="19"/>
        <v/>
      </c>
      <c r="R125" s="32">
        <f t="shared" si="20"/>
        <v>517.84384</v>
      </c>
      <c r="S125" s="1" t="str">
        <f t="shared" si="21"/>
        <v/>
      </c>
      <c r="T125" s="33" t="str">
        <f t="shared" si="22"/>
        <v/>
      </c>
    </row>
    <row r="126" spans="1:20" ht="12.75" hidden="1" customHeight="1" x14ac:dyDescent="0.2">
      <c r="B126" s="25" t="str">
        <f>IF(Plan!B30="","-",Plan!B30)</f>
        <v>VK Dauergrünland 1-schnittig</v>
      </c>
      <c r="C126" s="38" t="s">
        <v>21</v>
      </c>
      <c r="D126" s="31">
        <f>IF('[1]E-Plan'!$I30="","",'[1]E-Plan'!$I30)</f>
        <v>11.407999999999999</v>
      </c>
      <c r="E126" s="27"/>
      <c r="F126" s="32">
        <f>IF(OR(Plan!$C30="",Plan!H30=""),"-",Plan!$C30*Plan!H30)</f>
        <v>11.407999999999999</v>
      </c>
      <c r="H126" s="33">
        <f>IF(Plan!$I30="","",Plan!$I30)</f>
        <v>11.407999999999999</v>
      </c>
      <c r="I126" s="29" t="str">
        <f t="shared" si="30"/>
        <v>Richtig!</v>
      </c>
      <c r="J126" s="30" t="str">
        <f t="shared" si="31"/>
        <v>-</v>
      </c>
      <c r="K126" s="23" t="str">
        <f t="shared" si="18"/>
        <v/>
      </c>
      <c r="L126" s="24" t="str">
        <f t="shared" si="29"/>
        <v/>
      </c>
      <c r="N126" s="882"/>
      <c r="P126" s="31">
        <f t="shared" si="23"/>
        <v>11.407999999999999</v>
      </c>
      <c r="Q126" s="27" t="str">
        <f t="shared" si="19"/>
        <v/>
      </c>
      <c r="R126" s="32">
        <f t="shared" si="20"/>
        <v>11.407999999999999</v>
      </c>
      <c r="S126" s="1" t="str">
        <f t="shared" si="21"/>
        <v/>
      </c>
      <c r="T126" s="33">
        <f t="shared" si="22"/>
        <v>11.407999999999999</v>
      </c>
    </row>
    <row r="127" spans="1:20" ht="12.75" hidden="1" customHeight="1" x14ac:dyDescent="0.2">
      <c r="B127" s="25" t="str">
        <f>IF(Plan!B31="","-",Plan!B31)</f>
        <v>-</v>
      </c>
      <c r="C127" s="38" t="s">
        <v>21</v>
      </c>
      <c r="D127" s="31" t="str">
        <f>IF('[1]E-Plan'!$I31="","",'[1]E-Plan'!$I31)</f>
        <v/>
      </c>
      <c r="E127" s="27"/>
      <c r="F127" s="32" t="str">
        <f>IF(OR(Plan!$C31="",Plan!H31=""),"-",Plan!$C31*Plan!H31)</f>
        <v>-</v>
      </c>
      <c r="H127" s="33" t="str">
        <f>IF(Plan!$I31="","",Plan!$I31)</f>
        <v/>
      </c>
      <c r="I127" s="29" t="str">
        <f t="shared" si="30"/>
        <v/>
      </c>
      <c r="J127" s="30" t="str">
        <f t="shared" si="31"/>
        <v>-</v>
      </c>
      <c r="K127" s="23" t="str">
        <f t="shared" si="18"/>
        <v/>
      </c>
      <c r="L127" s="24" t="str">
        <f t="shared" si="29"/>
        <v/>
      </c>
      <c r="N127" s="882"/>
      <c r="P127" s="31" t="str">
        <f t="shared" si="23"/>
        <v/>
      </c>
      <c r="Q127" s="27" t="str">
        <f t="shared" si="19"/>
        <v/>
      </c>
      <c r="R127" s="32" t="str">
        <f t="shared" si="20"/>
        <v>-</v>
      </c>
      <c r="S127" s="1" t="str">
        <f t="shared" si="21"/>
        <v/>
      </c>
      <c r="T127" s="33" t="str">
        <f t="shared" si="22"/>
        <v/>
      </c>
    </row>
    <row r="128" spans="1:20" ht="12.75" hidden="1" customHeight="1" x14ac:dyDescent="0.2">
      <c r="B128" s="25" t="str">
        <f>IF(Plan!B32="","-",Plan!B32)</f>
        <v>-</v>
      </c>
      <c r="C128" s="38" t="s">
        <v>21</v>
      </c>
      <c r="D128" s="31" t="str">
        <f>IF('[1]E-Plan'!$I32="","",'[1]E-Plan'!$I32)</f>
        <v/>
      </c>
      <c r="E128" s="27"/>
      <c r="F128" s="32" t="str">
        <f>IF(OR(Plan!$C32="",Plan!H32=""),"-",Plan!$C32*Plan!H32)</f>
        <v>-</v>
      </c>
      <c r="H128" s="33" t="str">
        <f>IF(Plan!$I32="","",Plan!$I32)</f>
        <v/>
      </c>
      <c r="I128" s="29" t="str">
        <f t="shared" si="30"/>
        <v/>
      </c>
      <c r="J128" s="30" t="str">
        <f t="shared" si="31"/>
        <v>-</v>
      </c>
      <c r="K128" s="23" t="str">
        <f t="shared" si="18"/>
        <v/>
      </c>
      <c r="L128" s="24" t="str">
        <f t="shared" si="29"/>
        <v/>
      </c>
      <c r="N128" s="882"/>
      <c r="P128" s="31" t="str">
        <f t="shared" si="23"/>
        <v/>
      </c>
      <c r="Q128" s="27" t="str">
        <f t="shared" si="19"/>
        <v/>
      </c>
      <c r="R128" s="32" t="str">
        <f t="shared" si="20"/>
        <v>-</v>
      </c>
      <c r="S128" s="1" t="str">
        <f t="shared" si="21"/>
        <v/>
      </c>
      <c r="T128" s="33" t="str">
        <f t="shared" si="22"/>
        <v/>
      </c>
    </row>
    <row r="129" spans="1:20" ht="12.75" hidden="1" customHeight="1" x14ac:dyDescent="0.2">
      <c r="B129" s="25" t="str">
        <f>IF(Plan!B33="","-",Plan!B33)</f>
        <v>-</v>
      </c>
      <c r="C129" s="38" t="s">
        <v>21</v>
      </c>
      <c r="D129" s="31" t="str">
        <f>IF('[1]E-Plan'!$I33="","",'[1]E-Plan'!$I33)</f>
        <v/>
      </c>
      <c r="E129" s="27"/>
      <c r="F129" s="32" t="str">
        <f>IF(OR(Plan!$C33="",Plan!H33=""),"-",Plan!$C33*Plan!H33)</f>
        <v>-</v>
      </c>
      <c r="H129" s="33" t="str">
        <f>IF(Plan!$I33="","",Plan!$I33)</f>
        <v/>
      </c>
      <c r="I129" s="29" t="str">
        <f t="shared" si="30"/>
        <v/>
      </c>
      <c r="J129" s="30" t="str">
        <f t="shared" si="31"/>
        <v>-</v>
      </c>
      <c r="K129" s="23" t="str">
        <f t="shared" si="18"/>
        <v/>
      </c>
      <c r="L129" s="24" t="str">
        <f t="shared" si="29"/>
        <v/>
      </c>
      <c r="N129" s="882"/>
      <c r="P129" s="31" t="str">
        <f t="shared" si="23"/>
        <v/>
      </c>
      <c r="Q129" s="27" t="str">
        <f t="shared" si="19"/>
        <v/>
      </c>
      <c r="R129" s="32" t="str">
        <f t="shared" si="20"/>
        <v>-</v>
      </c>
      <c r="S129" s="1" t="str">
        <f t="shared" si="21"/>
        <v/>
      </c>
      <c r="T129" s="33" t="str">
        <f t="shared" si="22"/>
        <v/>
      </c>
    </row>
    <row r="130" spans="1:20" ht="12.75" hidden="1" customHeight="1" x14ac:dyDescent="0.2">
      <c r="B130" s="25" t="str">
        <f>IF(Plan!B34="","-",Plan!B34)</f>
        <v>-</v>
      </c>
      <c r="C130" s="38" t="s">
        <v>21</v>
      </c>
      <c r="D130" s="31" t="str">
        <f>IF('[1]E-Plan'!$I34="","",'[1]E-Plan'!$I34)</f>
        <v/>
      </c>
      <c r="E130" s="27"/>
      <c r="F130" s="32" t="str">
        <f>IF(OR(Plan!$C34="",Plan!H34=""),"-",Plan!$C34*Plan!H34)</f>
        <v>-</v>
      </c>
      <c r="H130" s="33" t="str">
        <f>IF(Plan!$I34="","",Plan!$I34)</f>
        <v/>
      </c>
      <c r="I130" s="29" t="str">
        <f t="shared" si="30"/>
        <v/>
      </c>
      <c r="J130" s="30" t="str">
        <f t="shared" si="31"/>
        <v>-</v>
      </c>
      <c r="K130" s="23" t="str">
        <f t="shared" si="18"/>
        <v/>
      </c>
      <c r="L130" s="24" t="str">
        <f t="shared" si="29"/>
        <v/>
      </c>
      <c r="N130" s="882"/>
      <c r="P130" s="31" t="str">
        <f t="shared" si="23"/>
        <v/>
      </c>
      <c r="Q130" s="27" t="str">
        <f t="shared" si="19"/>
        <v/>
      </c>
      <c r="R130" s="32" t="str">
        <f t="shared" si="20"/>
        <v>-</v>
      </c>
      <c r="S130" s="1" t="str">
        <f t="shared" si="21"/>
        <v/>
      </c>
      <c r="T130" s="33" t="str">
        <f t="shared" si="22"/>
        <v/>
      </c>
    </row>
    <row r="131" spans="1:20" ht="12.75" x14ac:dyDescent="0.2">
      <c r="B131" s="25" t="str">
        <f>IF(Plan!H38="","-",Plan!H38)</f>
        <v>Gesamt
Akh</v>
      </c>
      <c r="C131" s="38" t="s">
        <v>21</v>
      </c>
      <c r="D131" s="31">
        <f>IF('[1]E-Plan'!$I38="","",'[1]E-Plan'!I$38)</f>
        <v>4193.7184400000006</v>
      </c>
      <c r="E131" s="27"/>
      <c r="F131" s="32">
        <f>IF(AND(H117="",H118="",H119="",H120="",H121="",H122="",H123="",H124="",H125="",H126="",H127="",H128="",H129="",H130=""),"-",SUM(H117:H130))</f>
        <v>247.46059999999997</v>
      </c>
      <c r="H131" s="33" t="str">
        <f>IF(Plan!$I38="","",Plan!I$38)</f>
        <v/>
      </c>
      <c r="I131" s="29" t="str">
        <f t="shared" si="30"/>
        <v>Fehlt</v>
      </c>
      <c r="J131" s="30">
        <f t="shared" si="31"/>
        <v>0</v>
      </c>
      <c r="K131" s="23" t="str">
        <f t="shared" si="18"/>
        <v>│</v>
      </c>
      <c r="L131" s="24">
        <f t="shared" si="29"/>
        <v>1</v>
      </c>
      <c r="N131" s="882" t="str">
        <f t="shared" ref="N131:N151" si="32">IF($L$1="","",$L$1)</f>
        <v>x</v>
      </c>
      <c r="P131" s="31">
        <f t="shared" si="23"/>
        <v>4193.7184399999996</v>
      </c>
      <c r="Q131" s="27" t="str">
        <f t="shared" si="19"/>
        <v/>
      </c>
      <c r="R131" s="32">
        <f t="shared" si="20"/>
        <v>247.4606</v>
      </c>
      <c r="S131" s="1" t="str">
        <f t="shared" si="21"/>
        <v/>
      </c>
      <c r="T131" s="33" t="str">
        <f t="shared" si="22"/>
        <v/>
      </c>
    </row>
    <row r="132" spans="1:20" ht="12.75" customHeight="1" x14ac:dyDescent="0.2">
      <c r="A132" s="18"/>
      <c r="C132" s="38"/>
      <c r="D132" s="34"/>
      <c r="E132" s="27"/>
      <c r="F132" s="27"/>
      <c r="H132" s="35"/>
      <c r="I132" s="29"/>
      <c r="J132" s="29"/>
      <c r="K132" s="23" t="str">
        <f t="shared" si="18"/>
        <v/>
      </c>
      <c r="L132" s="24" t="str">
        <f t="shared" si="29"/>
        <v/>
      </c>
      <c r="N132" s="883" t="str">
        <f t="shared" si="32"/>
        <v>x</v>
      </c>
      <c r="P132" s="34" t="str">
        <f t="shared" si="23"/>
        <v/>
      </c>
      <c r="Q132" s="27" t="str">
        <f t="shared" si="19"/>
        <v/>
      </c>
      <c r="R132" s="27" t="str">
        <f t="shared" si="20"/>
        <v/>
      </c>
      <c r="S132" s="1" t="str">
        <f t="shared" si="21"/>
        <v/>
      </c>
      <c r="T132" s="35" t="str">
        <f t="shared" si="22"/>
        <v/>
      </c>
    </row>
    <row r="133" spans="1:20" ht="12.75" customHeight="1" x14ac:dyDescent="0.2">
      <c r="A133" s="17" t="s">
        <v>19</v>
      </c>
      <c r="B133" s="37" t="s">
        <v>22</v>
      </c>
      <c r="C133" s="38"/>
      <c r="D133" s="19"/>
      <c r="H133" s="20"/>
      <c r="I133" s="21"/>
      <c r="J133" s="21"/>
      <c r="K133" s="23" t="str">
        <f t="shared" si="18"/>
        <v/>
      </c>
      <c r="L133" s="24" t="str">
        <f t="shared" si="29"/>
        <v/>
      </c>
      <c r="N133" s="880" t="str">
        <f t="shared" si="32"/>
        <v>x</v>
      </c>
      <c r="P133" s="19" t="str">
        <f t="shared" si="23"/>
        <v/>
      </c>
      <c r="Q133" s="1" t="str">
        <f t="shared" si="19"/>
        <v/>
      </c>
      <c r="R133" s="1" t="str">
        <f t="shared" si="20"/>
        <v/>
      </c>
      <c r="S133" s="1" t="str">
        <f t="shared" si="21"/>
        <v/>
      </c>
      <c r="T133" s="20" t="str">
        <f t="shared" si="22"/>
        <v/>
      </c>
    </row>
    <row r="134" spans="1:20" ht="12.75" x14ac:dyDescent="0.2">
      <c r="B134" s="25" t="str">
        <f>IF(Plan!B41="","-",Plan!B41)</f>
        <v>Summe Sonstige Erträge</v>
      </c>
      <c r="C134" s="38" t="s">
        <v>21</v>
      </c>
      <c r="D134" s="26">
        <f>IF('[1]E-Plan'!$E41="","",'[1]E-Plan'!$E41)</f>
        <v>2798</v>
      </c>
      <c r="E134" s="27"/>
      <c r="H134" s="28" t="str">
        <f>IF(Plan!$E41="","",Plan!$E41)</f>
        <v/>
      </c>
      <c r="I134" s="29" t="str">
        <f>IF(AND(P134="",T134=""),"",IF(P134=T134,"Richtig!",IF(T134="","Fehlt","Falsch")))</f>
        <v>Fehlt</v>
      </c>
      <c r="J134" s="30">
        <f>IF(OR(B134="-",N134="",AND(P134="",T134="")),"-",IF(I134="Richtig!",1,IF(I134="Formel: OK",0.5,IF(OR(I134="Falsch",I134="Fehlt"),0,""))))</f>
        <v>0</v>
      </c>
      <c r="K134" s="23" t="str">
        <f t="shared" si="18"/>
        <v>│</v>
      </c>
      <c r="L134" s="24">
        <f t="shared" si="29"/>
        <v>1</v>
      </c>
      <c r="N134" s="882" t="str">
        <f t="shared" si="32"/>
        <v>x</v>
      </c>
      <c r="P134" s="26">
        <f t="shared" si="23"/>
        <v>2798</v>
      </c>
      <c r="Q134" s="27" t="str">
        <f t="shared" si="19"/>
        <v/>
      </c>
      <c r="R134" s="1" t="str">
        <f t="shared" si="20"/>
        <v/>
      </c>
      <c r="S134" s="1" t="str">
        <f t="shared" si="21"/>
        <v/>
      </c>
      <c r="T134" s="28" t="str">
        <f t="shared" si="22"/>
        <v/>
      </c>
    </row>
    <row r="135" spans="1:20" ht="12.75" x14ac:dyDescent="0.2">
      <c r="B135" s="25" t="str">
        <f>IF(Plan!B50="","-",Plan!B50)</f>
        <v>SUMME FÖRDERUNGEN</v>
      </c>
      <c r="C135" s="38" t="s">
        <v>21</v>
      </c>
      <c r="D135" s="26">
        <f>IF('[1]E-Plan'!$E50="","",'[1]E-Plan'!$E50)</f>
        <v>9756</v>
      </c>
      <c r="E135" s="27"/>
      <c r="H135" s="28" t="str">
        <f>IF(Plan!$E50="","",Plan!$E50)</f>
        <v/>
      </c>
      <c r="I135" s="29" t="str">
        <f>IF(AND(P135="",T135=""),"",IF(P135=T135,"Richtig!",IF(T135="","Fehlt","Falsch")))</f>
        <v>Fehlt</v>
      </c>
      <c r="J135" s="30">
        <f>IF(OR(B135="-",N135="",AND(P135="",T135="")),"-",IF(I135="Richtig!",1,IF(I135="Formel: OK",0.5,IF(OR(I135="Falsch",I135="Fehlt"),0,""))))</f>
        <v>0</v>
      </c>
      <c r="K135" s="23" t="str">
        <f t="shared" si="18"/>
        <v>│</v>
      </c>
      <c r="L135" s="24">
        <f t="shared" si="29"/>
        <v>1</v>
      </c>
      <c r="N135" s="882" t="str">
        <f t="shared" si="32"/>
        <v>x</v>
      </c>
      <c r="P135" s="26">
        <f t="shared" si="23"/>
        <v>9756</v>
      </c>
      <c r="Q135" s="27" t="str">
        <f t="shared" si="19"/>
        <v/>
      </c>
      <c r="R135" s="1" t="str">
        <f t="shared" si="20"/>
        <v/>
      </c>
      <c r="S135" s="1" t="str">
        <f t="shared" si="21"/>
        <v/>
      </c>
      <c r="T135" s="28" t="str">
        <f t="shared" si="22"/>
        <v/>
      </c>
    </row>
    <row r="136" spans="1:20" ht="12.75" x14ac:dyDescent="0.2">
      <c r="B136" s="25" t="str">
        <f>IF(Plan!B52="","-",Plan!B52)</f>
        <v>GDB einschl. Förd. und sonst. Erträge</v>
      </c>
      <c r="C136" s="38" t="s">
        <v>21</v>
      </c>
      <c r="D136" s="31">
        <f>IF('[1]E-Plan'!$E52="","",'[1]E-Plan'!$E52)</f>
        <v>43303.2042</v>
      </c>
      <c r="E136" s="27"/>
      <c r="F136" s="32" t="str">
        <f>IF(AND(H97="",H134="",H135=""),"-",SUM(H97,H134,H135))</f>
        <v>-</v>
      </c>
      <c r="H136" s="33" t="str">
        <f>IF(Plan!$E52="","",Plan!$E52)</f>
        <v/>
      </c>
      <c r="I136" s="29" t="str">
        <f>IF(B136="-","",IF(P136=T136,"Richtig!",IF(AND(P136&lt;&gt;T136,R136=T136),"Formel: OK",IF(T136="","Fehlt","Falsch"))))</f>
        <v>Fehlt</v>
      </c>
      <c r="J136" s="30">
        <f>IF(OR(B136="-",N136="",AND(P136="",T136="")),"-",IF(I136="Richtig!",1,IF(I136="Formel: OK",0.5,IF(OR(I136="Falsch",I136="Fehlt"),0,""))))</f>
        <v>0</v>
      </c>
      <c r="K136" s="23" t="str">
        <f t="shared" si="18"/>
        <v>│</v>
      </c>
      <c r="L136" s="24">
        <f t="shared" ref="L136:L147" si="33">IF(OR(B136="-",N136="",AND(P136="",T136="")),"",1)</f>
        <v>1</v>
      </c>
      <c r="N136" s="882" t="str">
        <f t="shared" si="32"/>
        <v>x</v>
      </c>
      <c r="P136" s="31">
        <f t="shared" si="23"/>
        <v>43303.2042</v>
      </c>
      <c r="Q136" s="27" t="str">
        <f t="shared" si="19"/>
        <v/>
      </c>
      <c r="R136" s="32" t="str">
        <f t="shared" si="20"/>
        <v>-</v>
      </c>
      <c r="S136" s="1" t="str">
        <f t="shared" si="21"/>
        <v/>
      </c>
      <c r="T136" s="33" t="str">
        <f t="shared" si="22"/>
        <v/>
      </c>
    </row>
    <row r="137" spans="1:20" ht="12.75" customHeight="1" x14ac:dyDescent="0.2">
      <c r="A137" s="18"/>
      <c r="C137" s="38"/>
      <c r="D137" s="34"/>
      <c r="E137" s="27"/>
      <c r="F137" s="27"/>
      <c r="H137" s="35"/>
      <c r="I137" s="29"/>
      <c r="J137" s="29"/>
      <c r="K137" s="23" t="str">
        <f t="shared" si="18"/>
        <v/>
      </c>
      <c r="L137" s="24" t="str">
        <f t="shared" si="33"/>
        <v/>
      </c>
      <c r="N137" s="883" t="str">
        <f t="shared" si="32"/>
        <v>x</v>
      </c>
      <c r="P137" s="34" t="str">
        <f t="shared" si="23"/>
        <v/>
      </c>
      <c r="Q137" s="27" t="str">
        <f t="shared" si="19"/>
        <v/>
      </c>
      <c r="R137" s="27" t="str">
        <f t="shared" si="20"/>
        <v/>
      </c>
      <c r="S137" s="1" t="str">
        <f t="shared" si="21"/>
        <v/>
      </c>
      <c r="T137" s="35" t="str">
        <f t="shared" si="22"/>
        <v/>
      </c>
    </row>
    <row r="138" spans="1:20" ht="12.75" customHeight="1" x14ac:dyDescent="0.2">
      <c r="A138" s="17" t="s">
        <v>23</v>
      </c>
      <c r="B138" s="37" t="s">
        <v>18</v>
      </c>
      <c r="C138" s="38"/>
      <c r="D138" s="19"/>
      <c r="H138" s="20"/>
      <c r="I138" s="21"/>
      <c r="J138" s="21"/>
      <c r="K138" s="23" t="str">
        <f t="shared" ref="K138:K201" si="34">IF(L138="","","│")</f>
        <v/>
      </c>
      <c r="L138" s="24" t="str">
        <f t="shared" si="33"/>
        <v/>
      </c>
      <c r="N138" s="880" t="str">
        <f t="shared" si="32"/>
        <v>x</v>
      </c>
      <c r="P138" s="19" t="str">
        <f t="shared" si="23"/>
        <v/>
      </c>
      <c r="Q138" s="1" t="str">
        <f t="shared" ref="Q138:Q201" si="35">IF(ISTEXT(E138),E138,IF(E138="","",ROUND(E138,$R$1)))</f>
        <v/>
      </c>
      <c r="R138" s="1" t="str">
        <f t="shared" ref="R138:R201" si="36">IF(ISTEXT(F138),F138,IF(F138="","",ROUND(F138,$R$1)))</f>
        <v/>
      </c>
      <c r="S138" s="1" t="str">
        <f t="shared" ref="S138:S201" si="37">IF(ISTEXT(G138),G138,IF(G138="","",ROUND(G138,$R$1)))</f>
        <v/>
      </c>
      <c r="T138" s="20" t="str">
        <f t="shared" ref="T138:T201" si="38">IF(ISTEXT(H138),H138,IF(H138="","",ROUND(H138,$R$1)))</f>
        <v/>
      </c>
    </row>
    <row r="139" spans="1:20" ht="12.75" x14ac:dyDescent="0.2">
      <c r="B139" s="25" t="str">
        <f>IF(Plan!B56="","-",Plan!B56)</f>
        <v>Landwirtschaftliches Einkommen ohne Förderungen</v>
      </c>
      <c r="C139" s="38" t="s">
        <v>21</v>
      </c>
      <c r="D139" s="31">
        <f>IF('[1]E-Plan'!$E56="","",'[1]E-Plan'!$E56)</f>
        <v>3408.7320941318926</v>
      </c>
      <c r="E139" s="27"/>
      <c r="F139" s="32" t="str">
        <f>IF(AND(H97="",H134=""),"-",SUM(H97,H134,Plan!E53:E55))</f>
        <v>-</v>
      </c>
      <c r="H139" s="33" t="str">
        <f>IF(Plan!$E56="","",Plan!$E56)</f>
        <v/>
      </c>
      <c r="I139" s="29" t="str">
        <f>IF(B139="-","",IF(P139=T139,"Richtig!",IF(AND(P139&lt;&gt;T139,R139=T139),"Formel: OK",IF(T139="","Fehlt","Falsch"))))</f>
        <v>Fehlt</v>
      </c>
      <c r="J139" s="30">
        <f>IF(OR(B139="-",N139="",AND(P139="",T139="")),"-",IF(I139="Richtig!",1,IF(I139="Formel: OK",0.5,IF(OR(I139="Falsch",I139="Fehlt"),0,""))))</f>
        <v>0</v>
      </c>
      <c r="K139" s="23" t="str">
        <f t="shared" si="34"/>
        <v>│</v>
      </c>
      <c r="L139" s="24">
        <f t="shared" si="33"/>
        <v>1</v>
      </c>
      <c r="N139" s="882" t="str">
        <f t="shared" si="32"/>
        <v>x</v>
      </c>
      <c r="P139" s="31">
        <f t="shared" ref="P139:P202" si="39">IF(ISTEXT(D139),D139,IF(D139="","",ROUND(D139,$R$1)))</f>
        <v>3408.73209</v>
      </c>
      <c r="Q139" s="27" t="str">
        <f t="shared" si="35"/>
        <v/>
      </c>
      <c r="R139" s="32" t="str">
        <f t="shared" si="36"/>
        <v>-</v>
      </c>
      <c r="S139" s="1" t="str">
        <f t="shared" si="37"/>
        <v/>
      </c>
      <c r="T139" s="33" t="str">
        <f t="shared" si="38"/>
        <v/>
      </c>
    </row>
    <row r="140" spans="1:20" ht="12.75" x14ac:dyDescent="0.2">
      <c r="B140" s="25" t="str">
        <f>IF(Plan!B57="","-",Plan!B57)</f>
        <v>LANDWIRTSCHAFTLICHES EINKOMMEN - Gesamt</v>
      </c>
      <c r="C140" s="38" t="s">
        <v>21</v>
      </c>
      <c r="D140" s="31">
        <f>IF('[1]E-Plan'!$E57="","",'[1]E-Plan'!$E57)</f>
        <v>13164.732094131892</v>
      </c>
      <c r="E140" s="27"/>
      <c r="F140" s="32" t="str">
        <f>IF(H136="","-",SUM(H136,Plan!E53:E55))</f>
        <v>-</v>
      </c>
      <c r="H140" s="33" t="str">
        <f>IF(Plan!$E57="","",Plan!$E57)</f>
        <v/>
      </c>
      <c r="I140" s="29" t="str">
        <f>IF(B140="-","",IF(P140=T140,"Richtig!",IF(AND(P140&lt;&gt;T140,R140=T140),"Formel: OK",IF(T140="","Fehlt","Falsch"))))</f>
        <v>Fehlt</v>
      </c>
      <c r="J140" s="30">
        <f>IF(OR(B140="-",N140="",AND(P140="",T140="")),"-",IF(I140="Richtig!",1,IF(I140="Formel: OK",0.5,IF(OR(I140="Falsch",I140="Fehlt"),0,""))))</f>
        <v>0</v>
      </c>
      <c r="K140" s="23" t="str">
        <f t="shared" si="34"/>
        <v>│</v>
      </c>
      <c r="L140" s="24">
        <f t="shared" si="33"/>
        <v>1</v>
      </c>
      <c r="N140" s="882" t="str">
        <f t="shared" si="32"/>
        <v>x</v>
      </c>
      <c r="P140" s="31">
        <f t="shared" si="39"/>
        <v>13164.73209</v>
      </c>
      <c r="Q140" s="27" t="str">
        <f t="shared" si="35"/>
        <v/>
      </c>
      <c r="R140" s="32" t="str">
        <f t="shared" si="36"/>
        <v>-</v>
      </c>
      <c r="S140" s="1" t="str">
        <f t="shared" si="37"/>
        <v/>
      </c>
      <c r="T140" s="33" t="str">
        <f t="shared" si="38"/>
        <v/>
      </c>
    </row>
    <row r="141" spans="1:20" ht="12.75" x14ac:dyDescent="0.2">
      <c r="B141" s="25" t="str">
        <f>IF(Plan!B58="","-",Plan!B58)</f>
        <v>LANDWIRTSCHAFTLICHES EINKOMMEN - EK/Akh</v>
      </c>
      <c r="C141" s="38" t="s">
        <v>21</v>
      </c>
      <c r="D141" s="31">
        <f>IF('[1]E-Plan'!$E58="","",'[1]E-Plan'!$E58)</f>
        <v>3.1391549724859189</v>
      </c>
      <c r="E141" s="27"/>
      <c r="F141" s="32" t="str">
        <f>IF(OR(H140="",H131="",H131=0),"-",H140/H131)</f>
        <v>-</v>
      </c>
      <c r="H141" s="33" t="str">
        <f>IF(Plan!$E58="","",Plan!$E58)</f>
        <v/>
      </c>
      <c r="I141" s="29" t="str">
        <f>IF(B141="-","",IF(P141=T141,"Richtig!",IF(AND(P141&lt;&gt;T141,R141=T141),"Formel: OK",IF(T141="","Fehlt","Falsch"))))</f>
        <v>Fehlt</v>
      </c>
      <c r="J141" s="30">
        <f>IF(OR(B141="-",N141="",AND(P141="",T141="")),"-",IF(I141="Richtig!",1,IF(I141="Formel: OK",0.5,IF(OR(I141="Falsch",I141="Fehlt"),0,""))))</f>
        <v>0</v>
      </c>
      <c r="K141" s="23" t="str">
        <f t="shared" si="34"/>
        <v>│</v>
      </c>
      <c r="L141" s="24">
        <f t="shared" si="33"/>
        <v>1</v>
      </c>
      <c r="N141" s="882" t="str">
        <f t="shared" si="32"/>
        <v>x</v>
      </c>
      <c r="P141" s="31">
        <f t="shared" si="39"/>
        <v>3.1391499999999999</v>
      </c>
      <c r="Q141" s="27" t="str">
        <f t="shared" si="35"/>
        <v/>
      </c>
      <c r="R141" s="32" t="str">
        <f t="shared" si="36"/>
        <v>-</v>
      </c>
      <c r="S141" s="1" t="str">
        <f t="shared" si="37"/>
        <v/>
      </c>
      <c r="T141" s="33" t="str">
        <f t="shared" si="38"/>
        <v/>
      </c>
    </row>
    <row r="142" spans="1:20" ht="12.75" x14ac:dyDescent="0.2">
      <c r="B142" s="25" t="str">
        <f>IF(Plan!B61="","-",Plan!B61)</f>
        <v>GESAMTEINKOMMEN</v>
      </c>
      <c r="C142" s="38" t="s">
        <v>21</v>
      </c>
      <c r="D142" s="31">
        <f>IF('[1]E-Plan'!$E61="","",'[1]E-Plan'!$E61)</f>
        <v>32146.73209413189</v>
      </c>
      <c r="E142" s="27"/>
      <c r="F142" s="32" t="str">
        <f>IF(H140="","-",SUM(H140,Plan!E59:E60))</f>
        <v>-</v>
      </c>
      <c r="H142" s="33" t="str">
        <f>IF(Plan!$E61="","",Plan!$E61)</f>
        <v/>
      </c>
      <c r="I142" s="29" t="str">
        <f>IF(B142="-","",IF(P142=T142,"Richtig!",IF(AND(P142&lt;&gt;T142,R142=T142),"Formel: OK",IF(T142="","Fehlt","Falsch"))))</f>
        <v>Fehlt</v>
      </c>
      <c r="J142" s="30">
        <f>IF(OR(B142="-",N142="",AND(P142="",T142="")),"-",IF(I142="Richtig!",1,IF(I142="Formel: OK",0.5,IF(OR(I142="Falsch",I142="Fehlt"),0,""))))</f>
        <v>0</v>
      </c>
      <c r="K142" s="23" t="str">
        <f t="shared" si="34"/>
        <v>│</v>
      </c>
      <c r="L142" s="24">
        <f t="shared" si="33"/>
        <v>1</v>
      </c>
      <c r="N142" s="882" t="str">
        <f t="shared" si="32"/>
        <v>x</v>
      </c>
      <c r="P142" s="31">
        <f t="shared" si="39"/>
        <v>32146.732090000001</v>
      </c>
      <c r="Q142" s="27" t="str">
        <f t="shared" si="35"/>
        <v/>
      </c>
      <c r="R142" s="32" t="str">
        <f t="shared" si="36"/>
        <v>-</v>
      </c>
      <c r="S142" s="1" t="str">
        <f t="shared" si="37"/>
        <v/>
      </c>
      <c r="T142" s="33" t="str">
        <f t="shared" si="38"/>
        <v/>
      </c>
    </row>
    <row r="143" spans="1:20" ht="12.75" customHeight="1" x14ac:dyDescent="0.2">
      <c r="A143" s="18"/>
      <c r="C143" s="38"/>
      <c r="D143" s="34"/>
      <c r="E143" s="27"/>
      <c r="F143" s="27"/>
      <c r="H143" s="35"/>
      <c r="I143" s="29"/>
      <c r="J143" s="29"/>
      <c r="K143" s="23" t="str">
        <f t="shared" si="34"/>
        <v/>
      </c>
      <c r="L143" s="24" t="str">
        <f t="shared" si="33"/>
        <v/>
      </c>
      <c r="N143" s="883" t="str">
        <f t="shared" si="32"/>
        <v>x</v>
      </c>
      <c r="P143" s="34" t="str">
        <f t="shared" si="39"/>
        <v/>
      </c>
      <c r="Q143" s="27" t="str">
        <f t="shared" si="35"/>
        <v/>
      </c>
      <c r="R143" s="27" t="str">
        <f t="shared" si="36"/>
        <v/>
      </c>
      <c r="S143" s="1" t="str">
        <f t="shared" si="37"/>
        <v/>
      </c>
      <c r="T143" s="35" t="str">
        <f t="shared" si="38"/>
        <v/>
      </c>
    </row>
    <row r="144" spans="1:20" ht="12.75" customHeight="1" x14ac:dyDescent="0.2">
      <c r="A144" s="17" t="s">
        <v>24</v>
      </c>
      <c r="B144" s="37" t="str">
        <f>Plan!F43</f>
        <v>Kapitaldienstgrenze</v>
      </c>
      <c r="C144" s="38"/>
      <c r="D144" s="19"/>
      <c r="H144" s="20"/>
      <c r="I144" s="21"/>
      <c r="J144" s="21"/>
      <c r="K144" s="23" t="str">
        <f t="shared" si="34"/>
        <v/>
      </c>
      <c r="L144" s="24" t="str">
        <f t="shared" si="33"/>
        <v/>
      </c>
      <c r="N144" s="880" t="str">
        <f t="shared" si="32"/>
        <v>x</v>
      </c>
      <c r="P144" s="19" t="str">
        <f t="shared" si="39"/>
        <v/>
      </c>
      <c r="Q144" s="1" t="str">
        <f t="shared" si="35"/>
        <v/>
      </c>
      <c r="R144" s="1" t="str">
        <f t="shared" si="36"/>
        <v/>
      </c>
      <c r="S144" s="1" t="str">
        <f t="shared" si="37"/>
        <v/>
      </c>
      <c r="T144" s="20" t="str">
        <f t="shared" si="38"/>
        <v/>
      </c>
    </row>
    <row r="145" spans="1:20" ht="12.75" x14ac:dyDescent="0.2">
      <c r="B145" s="25" t="str">
        <f>IF(Plan!F46="","-",Plan!F46)</f>
        <v>Kapitaldienstgrenze bei PLAN-Variante</v>
      </c>
      <c r="C145" s="38" t="s">
        <v>21</v>
      </c>
      <c r="D145" s="31">
        <f>IF('[1]E-Plan'!$I46="","",'[1]E-Plan'!$I46)</f>
        <v>6560.7320941318922</v>
      </c>
      <c r="E145" s="27"/>
      <c r="F145" s="32">
        <f>SUM(Plan!I44:I45)</f>
        <v>0</v>
      </c>
      <c r="H145" s="33" t="str">
        <f>IF(Plan!$I46="","",Plan!$I46)</f>
        <v/>
      </c>
      <c r="I145" s="29" t="str">
        <f>IF(B145="-","",IF(P145=T145,"Richtig!",IF(AND(P145&lt;&gt;T145,R145=T145),"Formel: OK",IF(T145="","Fehlt","Falsch"))))</f>
        <v>Fehlt</v>
      </c>
      <c r="J145" s="30">
        <f>IF(OR(B145="-",N145="",AND(P145="",T145="")),"-",IF(I145="Richtig!",1,IF(I145="Formel: OK",0.5,IF(OR(I145="Falsch",I145="Fehlt"),0,""))))</f>
        <v>0</v>
      </c>
      <c r="K145" s="23" t="str">
        <f t="shared" si="34"/>
        <v>│</v>
      </c>
      <c r="L145" s="24">
        <f t="shared" si="33"/>
        <v>1</v>
      </c>
      <c r="N145" s="882" t="str">
        <f t="shared" si="32"/>
        <v>x</v>
      </c>
      <c r="P145" s="31">
        <f t="shared" si="39"/>
        <v>6560.7320900000004</v>
      </c>
      <c r="Q145" s="27" t="str">
        <f t="shared" si="35"/>
        <v/>
      </c>
      <c r="R145" s="32">
        <f t="shared" si="36"/>
        <v>0</v>
      </c>
      <c r="S145" s="1" t="str">
        <f t="shared" si="37"/>
        <v/>
      </c>
      <c r="T145" s="33" t="str">
        <f t="shared" si="38"/>
        <v/>
      </c>
    </row>
    <row r="146" spans="1:20" ht="12.75" x14ac:dyDescent="0.2">
      <c r="B146" s="25" t="str">
        <f>IF(Plan!F49="","-",Plan!F49)</f>
        <v>Davon Fremdkapital</v>
      </c>
      <c r="C146" s="38" t="s">
        <v>21</v>
      </c>
      <c r="D146" s="26">
        <f>IF('[1]E-Plan'!$I49="","",'[1]E-Plan'!$I49)</f>
        <v>172984</v>
      </c>
      <c r="E146" s="27"/>
      <c r="H146" s="28" t="str">
        <f>IF(Plan!$I49="","",Plan!$I49)</f>
        <v/>
      </c>
      <c r="I146" s="29" t="str">
        <f>IF(AND(P146="",T146=""),"",IF(P146=T146,"Richtig!",IF(T146="","Fehlt","Falsch")))</f>
        <v>Fehlt</v>
      </c>
      <c r="J146" s="30">
        <f>IF(OR(B146="-",N146="",AND(P146="",T146="")),"-",IF(I146="Richtig!",1,IF(I146="Formel: OK",0.5,IF(OR(I146="Falsch",I146="Fehlt"),0,""))))</f>
        <v>0</v>
      </c>
      <c r="K146" s="23" t="str">
        <f t="shared" si="34"/>
        <v>│</v>
      </c>
      <c r="L146" s="24">
        <f t="shared" si="33"/>
        <v>1</v>
      </c>
      <c r="N146" s="882" t="str">
        <f t="shared" si="32"/>
        <v>x</v>
      </c>
      <c r="P146" s="26">
        <f t="shared" si="39"/>
        <v>172984</v>
      </c>
      <c r="Q146" s="27" t="str">
        <f t="shared" si="35"/>
        <v/>
      </c>
      <c r="R146" s="1" t="str">
        <f t="shared" si="36"/>
        <v/>
      </c>
      <c r="S146" s="1" t="str">
        <f t="shared" si="37"/>
        <v/>
      </c>
      <c r="T146" s="28" t="str">
        <f t="shared" si="38"/>
        <v/>
      </c>
    </row>
    <row r="147" spans="1:20" ht="12.75" customHeight="1" x14ac:dyDescent="0.2">
      <c r="A147" s="18"/>
      <c r="C147" s="18"/>
      <c r="D147" s="34"/>
      <c r="E147" s="27"/>
      <c r="F147" s="27"/>
      <c r="H147" s="35"/>
      <c r="I147" s="29"/>
      <c r="J147" s="29"/>
      <c r="K147" s="23" t="str">
        <f t="shared" si="34"/>
        <v/>
      </c>
      <c r="L147" s="24" t="str">
        <f t="shared" si="33"/>
        <v/>
      </c>
      <c r="N147" s="883" t="str">
        <f t="shared" si="32"/>
        <v>x</v>
      </c>
      <c r="P147" s="34" t="str">
        <f t="shared" si="39"/>
        <v/>
      </c>
      <c r="Q147" s="27" t="str">
        <f t="shared" si="35"/>
        <v/>
      </c>
      <c r="R147" s="27" t="str">
        <f t="shared" si="36"/>
        <v/>
      </c>
      <c r="S147" s="1" t="str">
        <f t="shared" si="37"/>
        <v/>
      </c>
      <c r="T147" s="35" t="str">
        <f t="shared" si="38"/>
        <v/>
      </c>
    </row>
    <row r="148" spans="1:20" ht="22.5" x14ac:dyDescent="0.2">
      <c r="A148" s="10" t="str">
        <f>Fin!B1</f>
        <v>Berechnung der Kapitalkosten</v>
      </c>
      <c r="B148" s="11"/>
      <c r="C148" s="12"/>
      <c r="D148" s="13" t="s">
        <v>4</v>
      </c>
      <c r="E148" s="13"/>
      <c r="F148" s="14" t="s">
        <v>5</v>
      </c>
      <c r="G148" s="12"/>
      <c r="H148" s="14" t="s">
        <v>6</v>
      </c>
      <c r="I148" s="15" t="str">
        <f>"Fehler"</f>
        <v>Fehler</v>
      </c>
      <c r="J148" s="16" t="s">
        <v>7</v>
      </c>
      <c r="K148" s="16"/>
      <c r="L148" s="16"/>
      <c r="N148" s="881" t="str">
        <f t="shared" si="32"/>
        <v>x</v>
      </c>
      <c r="P148" s="13" t="str">
        <f t="shared" si="39"/>
        <v>Ergebnis</v>
      </c>
      <c r="Q148" s="13" t="str">
        <f t="shared" si="35"/>
        <v/>
      </c>
      <c r="R148" s="14" t="str">
        <f t="shared" si="36"/>
        <v>Formel-
prüfung</v>
      </c>
      <c r="S148" s="12" t="str">
        <f t="shared" si="37"/>
        <v/>
      </c>
      <c r="T148" s="14" t="str">
        <f t="shared" si="38"/>
        <v>Deine Be-rechnung</v>
      </c>
    </row>
    <row r="149" spans="1:20" ht="12.75" customHeight="1" x14ac:dyDescent="0.2">
      <c r="A149" s="17" t="s">
        <v>9</v>
      </c>
      <c r="B149" s="37" t="str">
        <f>IF(Fin!G5="","-",Fin!G5)</f>
        <v>Annuität</v>
      </c>
      <c r="C149" s="18"/>
      <c r="D149" s="19"/>
      <c r="H149" s="20"/>
      <c r="I149" s="21"/>
      <c r="J149" s="21"/>
      <c r="K149" s="23" t="str">
        <f t="shared" si="34"/>
        <v/>
      </c>
      <c r="L149" s="24" t="str">
        <f t="shared" ref="L149:L165" si="40">IF(OR(B149="-",N149="",AND(P149="",T149="")),"",1)</f>
        <v/>
      </c>
      <c r="N149" s="880" t="str">
        <f t="shared" si="32"/>
        <v>x</v>
      </c>
      <c r="P149" s="19" t="str">
        <f t="shared" si="39"/>
        <v/>
      </c>
      <c r="Q149" s="1" t="str">
        <f t="shared" si="35"/>
        <v/>
      </c>
      <c r="R149" s="1" t="str">
        <f t="shared" si="36"/>
        <v/>
      </c>
      <c r="S149" s="1" t="str">
        <f t="shared" si="37"/>
        <v/>
      </c>
      <c r="T149" s="20" t="str">
        <f t="shared" si="38"/>
        <v/>
      </c>
    </row>
    <row r="150" spans="1:20" ht="12.75" x14ac:dyDescent="0.2">
      <c r="B150" s="25" t="str">
        <f>IF(Fin!B6="","-",Fin!B6)</f>
        <v>Eigenkapital</v>
      </c>
      <c r="C150" s="18"/>
      <c r="D150" s="26">
        <f>IF(OR(Fin!C6="",Fin!D6="",Fin!F6=""),"",PMT(Fin!D6,Fin!F6,Fin!C6))</f>
        <v>-2876.9481297157818</v>
      </c>
      <c r="E150" s="27"/>
      <c r="H150" s="28" t="str">
        <f>IF(Fin!$G6="","",Fin!$G6)</f>
        <v/>
      </c>
      <c r="I150" s="29" t="str">
        <f>IF(AND(P150="",T150=""),"",IF(P150=T150,"Richtig!",IF(T150="","Fehlt","Falsch")))</f>
        <v>Fehlt</v>
      </c>
      <c r="J150" s="30">
        <f t="shared" ref="J150:J155" si="41">IF(OR(B150="-",N150="",AND(P150="",T150="")),"-",IF(I150="Richtig!",1,IF(I150="Formel: OK",0.5,IF(OR(I150="Falsch",I150="Fehlt"),0,""))))</f>
        <v>0</v>
      </c>
      <c r="K150" s="23" t="str">
        <f t="shared" si="34"/>
        <v>│</v>
      </c>
      <c r="L150" s="24">
        <f t="shared" si="40"/>
        <v>1</v>
      </c>
      <c r="N150" s="882" t="str">
        <f t="shared" si="32"/>
        <v>x</v>
      </c>
      <c r="P150" s="26">
        <f t="shared" si="39"/>
        <v>-2876.9481300000002</v>
      </c>
      <c r="Q150" s="27" t="str">
        <f t="shared" si="35"/>
        <v/>
      </c>
      <c r="R150" s="1" t="str">
        <f t="shared" si="36"/>
        <v/>
      </c>
      <c r="S150" s="1" t="str">
        <f t="shared" si="37"/>
        <v/>
      </c>
      <c r="T150" s="28" t="str">
        <f t="shared" si="38"/>
        <v/>
      </c>
    </row>
    <row r="151" spans="1:20" ht="12.75" x14ac:dyDescent="0.2">
      <c r="B151" s="25" t="str">
        <f>IF(Fin!B7="","-",Fin!B7)</f>
        <v>AIK-Kredit</v>
      </c>
      <c r="C151" s="18"/>
      <c r="D151" s="26">
        <f>IF(OR(Fin!C7="",Fin!D7="",Fin!F7=""),"",PMT(Fin!D7,Fin!F7,Fin!C7))</f>
        <v>-5577.0726427457748</v>
      </c>
      <c r="E151" s="27"/>
      <c r="H151" s="28" t="str">
        <f>IF(Fin!$G7="","",Fin!$G7)</f>
        <v/>
      </c>
      <c r="I151" s="29" t="str">
        <f>IF(AND(P151="",T151=""),"",IF(P151=T151,"Richtig!",IF(T151="","Fehlt","Falsch")))</f>
        <v>Fehlt</v>
      </c>
      <c r="J151" s="30">
        <f t="shared" si="41"/>
        <v>0</v>
      </c>
      <c r="K151" s="23" t="str">
        <f t="shared" si="34"/>
        <v>│</v>
      </c>
      <c r="L151" s="24">
        <f t="shared" si="40"/>
        <v>1</v>
      </c>
      <c r="N151" s="882" t="str">
        <f t="shared" si="32"/>
        <v>x</v>
      </c>
      <c r="P151" s="26">
        <f t="shared" si="39"/>
        <v>-5577.0726400000003</v>
      </c>
      <c r="Q151" s="27" t="str">
        <f t="shared" si="35"/>
        <v/>
      </c>
      <c r="R151" s="1" t="str">
        <f t="shared" si="36"/>
        <v/>
      </c>
      <c r="S151" s="1" t="str">
        <f t="shared" si="37"/>
        <v/>
      </c>
      <c r="T151" s="28" t="str">
        <f t="shared" si="38"/>
        <v/>
      </c>
    </row>
    <row r="152" spans="1:20" ht="12.75" hidden="1" customHeight="1" x14ac:dyDescent="0.2">
      <c r="B152" s="25" t="str">
        <f>IF(Fin!B8="","-",Fin!B8)</f>
        <v>-</v>
      </c>
      <c r="C152" s="18"/>
      <c r="D152" s="26" t="str">
        <f>IF('[1]E-Fin'!$G8="","",'[1]E-Fin'!$G8)</f>
        <v/>
      </c>
      <c r="E152" s="27"/>
      <c r="H152" s="28" t="str">
        <f>IF(Fin!$G8="","",Fin!$G8)</f>
        <v/>
      </c>
      <c r="I152" s="29" t="str">
        <f>IF(AND(P152="",T152=""),"",IF(P152=T152,"Richtig!",IF(T152="","Fehlt","Falsch")))</f>
        <v/>
      </c>
      <c r="J152" s="30" t="str">
        <f t="shared" si="41"/>
        <v>-</v>
      </c>
      <c r="K152" s="23" t="str">
        <f t="shared" si="34"/>
        <v/>
      </c>
      <c r="L152" s="24" t="str">
        <f t="shared" si="40"/>
        <v/>
      </c>
      <c r="N152" s="882"/>
      <c r="P152" s="26" t="str">
        <f t="shared" si="39"/>
        <v/>
      </c>
      <c r="Q152" s="27" t="str">
        <f t="shared" si="35"/>
        <v/>
      </c>
      <c r="R152" s="1" t="str">
        <f t="shared" si="36"/>
        <v/>
      </c>
      <c r="S152" s="1" t="str">
        <f t="shared" si="37"/>
        <v/>
      </c>
      <c r="T152" s="28" t="str">
        <f t="shared" si="38"/>
        <v/>
      </c>
    </row>
    <row r="153" spans="1:20" ht="12.75" hidden="1" customHeight="1" x14ac:dyDescent="0.2">
      <c r="B153" s="25" t="str">
        <f>IF(Fin!B9="","-",Fin!B9)</f>
        <v>-</v>
      </c>
      <c r="C153" s="18"/>
      <c r="D153" s="26" t="str">
        <f>IF('[1]E-Fin'!$G9="","",'[1]E-Fin'!$G9)</f>
        <v/>
      </c>
      <c r="E153" s="27"/>
      <c r="H153" s="28" t="str">
        <f>IF(Fin!$G9="","",Fin!$G9)</f>
        <v/>
      </c>
      <c r="I153" s="29" t="str">
        <f>IF(AND(P153="",T153=""),"",IF(P153=T153,"Richtig!",IF(T153="","Fehlt","Falsch")))</f>
        <v/>
      </c>
      <c r="J153" s="30" t="str">
        <f t="shared" si="41"/>
        <v>-</v>
      </c>
      <c r="K153" s="23" t="str">
        <f t="shared" si="34"/>
        <v/>
      </c>
      <c r="L153" s="24" t="str">
        <f t="shared" si="40"/>
        <v/>
      </c>
      <c r="N153" s="882"/>
      <c r="P153" s="26" t="str">
        <f t="shared" si="39"/>
        <v/>
      </c>
      <c r="Q153" s="27" t="str">
        <f t="shared" si="35"/>
        <v/>
      </c>
      <c r="R153" s="1" t="str">
        <f t="shared" si="36"/>
        <v/>
      </c>
      <c r="S153" s="1" t="str">
        <f t="shared" si="37"/>
        <v/>
      </c>
      <c r="T153" s="28" t="str">
        <f t="shared" si="38"/>
        <v/>
      </c>
    </row>
    <row r="154" spans="1:20" ht="12.75" hidden="1" customHeight="1" x14ac:dyDescent="0.2">
      <c r="B154" s="25" t="str">
        <f>IF(Fin!B10="","-",Fin!B10)</f>
        <v>Bankdarlehen</v>
      </c>
      <c r="C154" s="18"/>
      <c r="D154" s="26">
        <f>IF('[1]E-Fin'!$G10="","",'[1]E-Fin'!$G10)</f>
        <v>-2192.1673008075609</v>
      </c>
      <c r="E154" s="27"/>
      <c r="H154" s="28" t="str">
        <f>IF(Fin!$G10="","",Fin!$G10)</f>
        <v/>
      </c>
      <c r="I154" s="29" t="str">
        <f>IF(AND(P154="",T154=""),"",IF(P154=T154,"Richtig!",IF(T154="","Fehlt","Falsch")))</f>
        <v>Fehlt</v>
      </c>
      <c r="J154" s="30" t="str">
        <f t="shared" si="41"/>
        <v>-</v>
      </c>
      <c r="K154" s="23" t="str">
        <f t="shared" si="34"/>
        <v/>
      </c>
      <c r="L154" s="24" t="str">
        <f t="shared" si="40"/>
        <v/>
      </c>
      <c r="N154" s="882"/>
      <c r="P154" s="26">
        <f t="shared" si="39"/>
        <v>-2192.1673000000001</v>
      </c>
      <c r="Q154" s="27" t="str">
        <f t="shared" si="35"/>
        <v/>
      </c>
      <c r="R154" s="1" t="str">
        <f t="shared" si="36"/>
        <v/>
      </c>
      <c r="S154" s="1" t="str">
        <f t="shared" si="37"/>
        <v/>
      </c>
      <c r="T154" s="28" t="str">
        <f t="shared" si="38"/>
        <v/>
      </c>
    </row>
    <row r="155" spans="1:20" ht="12.75" x14ac:dyDescent="0.2">
      <c r="B155" s="25" t="str">
        <f>IF(Fin!B11="","-",Fin!B11)</f>
        <v>SUMME DER ANNUITÄTEN = KAPITALKOSTEN</v>
      </c>
      <c r="C155" s="18"/>
      <c r="D155" s="31">
        <f>IF('[1]E-Fin'!$G11="","",'[1]E-Fin'!$G11)</f>
        <v>-10646.188073269119</v>
      </c>
      <c r="E155" s="27"/>
      <c r="F155" s="32" t="str">
        <f>IF(AND(H150="",H151="",H152="",H153="",H154=""),"-",SUM(H150:H154))</f>
        <v>-</v>
      </c>
      <c r="H155" s="33" t="str">
        <f>IF(Fin!$G11="","",Fin!$G11)</f>
        <v/>
      </c>
      <c r="I155" s="29" t="str">
        <f>IF(B155="-","",IF(P155=T155,"Richtig!",IF(AND(P155&lt;&gt;T155,R155=T155),"Formel: OK",IF(T155="","Fehlt","Falsch"))))</f>
        <v>Fehlt</v>
      </c>
      <c r="J155" s="30">
        <f t="shared" si="41"/>
        <v>0</v>
      </c>
      <c r="K155" s="23" t="str">
        <f t="shared" si="34"/>
        <v>│</v>
      </c>
      <c r="L155" s="24">
        <f t="shared" si="40"/>
        <v>1</v>
      </c>
      <c r="N155" s="882" t="str">
        <f>IF($L$1="","",$L$1)</f>
        <v>x</v>
      </c>
      <c r="P155" s="31">
        <f t="shared" si="39"/>
        <v>-10646.18807</v>
      </c>
      <c r="Q155" s="27" t="str">
        <f t="shared" si="35"/>
        <v/>
      </c>
      <c r="R155" s="32" t="str">
        <f t="shared" si="36"/>
        <v>-</v>
      </c>
      <c r="S155" s="1" t="str">
        <f t="shared" si="37"/>
        <v/>
      </c>
      <c r="T155" s="33" t="str">
        <f t="shared" si="38"/>
        <v/>
      </c>
    </row>
    <row r="156" spans="1:20" ht="12.75" customHeight="1" x14ac:dyDescent="0.2">
      <c r="A156" s="18"/>
      <c r="C156" s="18"/>
      <c r="D156" s="34"/>
      <c r="E156" s="27"/>
      <c r="F156" s="27"/>
      <c r="H156" s="35"/>
      <c r="I156" s="29"/>
      <c r="J156" s="29"/>
      <c r="K156" s="23" t="str">
        <f t="shared" si="34"/>
        <v/>
      </c>
      <c r="L156" s="24" t="str">
        <f t="shared" si="40"/>
        <v/>
      </c>
      <c r="N156" s="883" t="str">
        <f>IF($L$1="","",$L$1)</f>
        <v>x</v>
      </c>
      <c r="P156" s="34" t="str">
        <f t="shared" si="39"/>
        <v/>
      </c>
      <c r="Q156" s="27" t="str">
        <f t="shared" si="35"/>
        <v/>
      </c>
      <c r="R156" s="27" t="str">
        <f t="shared" si="36"/>
        <v/>
      </c>
      <c r="S156" s="1" t="str">
        <f t="shared" si="37"/>
        <v/>
      </c>
      <c r="T156" s="35" t="str">
        <f t="shared" si="38"/>
        <v/>
      </c>
    </row>
    <row r="157" spans="1:20" ht="12.75" customHeight="1" x14ac:dyDescent="0.2">
      <c r="A157" s="17" t="s">
        <v>12</v>
      </c>
      <c r="B157" s="37" t="str">
        <f>Fin!B13</f>
        <v>Berechnung der Leistung der Investition</v>
      </c>
      <c r="C157" s="18"/>
      <c r="D157" s="19"/>
      <c r="H157" s="20"/>
      <c r="I157" s="21"/>
      <c r="J157" s="21"/>
      <c r="K157" s="23" t="str">
        <f t="shared" si="34"/>
        <v/>
      </c>
      <c r="L157" s="24" t="str">
        <f t="shared" si="40"/>
        <v/>
      </c>
      <c r="N157" s="880" t="str">
        <f>IF($L$1="","",$L$1)</f>
        <v>x</v>
      </c>
      <c r="P157" s="19" t="str">
        <f t="shared" si="39"/>
        <v/>
      </c>
      <c r="Q157" s="1" t="str">
        <f t="shared" si="35"/>
        <v/>
      </c>
      <c r="R157" s="1" t="str">
        <f t="shared" si="36"/>
        <v/>
      </c>
      <c r="S157" s="1" t="str">
        <f t="shared" si="37"/>
        <v/>
      </c>
      <c r="T157" s="20" t="str">
        <f t="shared" si="38"/>
        <v/>
      </c>
    </row>
    <row r="158" spans="1:20" ht="12.75" hidden="1" customHeight="1" x14ac:dyDescent="0.2">
      <c r="B158" s="25" t="str">
        <f>IF(Fin!D13="","-",Fin!D13)</f>
        <v>-</v>
      </c>
      <c r="C158" s="18"/>
      <c r="D158" s="31">
        <f>IF('[1]E-Fin'!$D16="","",'[1]E-Fin'!$D16)</f>
        <v>22866.974199999997</v>
      </c>
      <c r="E158" s="27"/>
      <c r="F158" s="32">
        <f>IF(OR(Fin!D14="noch leer",Fin!D15="noch leer",AND(Fin!D14="",Fin!D15="",)),"-",SUM(Fin!D14,-Fin!D15))</f>
        <v>0</v>
      </c>
      <c r="H158" s="33" t="str">
        <f>IF(Fin!$D16="","",Fin!$D16)</f>
        <v/>
      </c>
      <c r="I158" s="29" t="str">
        <f>IF(B158="-","",IF(P158=T158,"Richtig!",IF(AND(P158&lt;&gt;T158,R158=T158),"Formel: OK",IF(T158="","Fehlt","Falsch"))))</f>
        <v/>
      </c>
      <c r="J158" s="30" t="str">
        <f>IF(OR(B158="-",N158="",AND(P158="",T158="")),"-",IF(I158="Richtig!",1,IF(I158="Formel: OK",0.5,IF(OR(I158="Falsch",I158="Fehlt"),0,""))))</f>
        <v>-</v>
      </c>
      <c r="K158" s="23" t="str">
        <f t="shared" si="34"/>
        <v/>
      </c>
      <c r="L158" s="24" t="str">
        <f t="shared" si="40"/>
        <v/>
      </c>
      <c r="N158" s="882"/>
      <c r="P158" s="31">
        <f t="shared" si="39"/>
        <v>22866.974200000001</v>
      </c>
      <c r="Q158" s="27" t="str">
        <f t="shared" si="35"/>
        <v/>
      </c>
      <c r="R158" s="32">
        <f t="shared" si="36"/>
        <v>0</v>
      </c>
      <c r="S158" s="1" t="str">
        <f t="shared" si="37"/>
        <v/>
      </c>
      <c r="T158" s="33" t="str">
        <f t="shared" si="38"/>
        <v/>
      </c>
    </row>
    <row r="159" spans="1:20" ht="12.75" x14ac:dyDescent="0.2">
      <c r="B159" s="1" t="str">
        <f>IF(Fin!E13="","-",Fin!E13)</f>
        <v>LW Einkommen</v>
      </c>
      <c r="D159" s="31">
        <f>IF('[1]E-Fin'!$E16="","",'[1]E-Fin'!$E16)</f>
        <v>8147.7404005835033</v>
      </c>
      <c r="E159" s="27"/>
      <c r="F159" s="32" t="str">
        <f>IF(OR(Fin!E14="noch leer",Fin!E15="noch leer",AND(Fin!E14="",Fin!E15="")),"-",SUM(Fin!E14,-Fin!E15))</f>
        <v>-</v>
      </c>
      <c r="H159" s="33" t="str">
        <f>IF(Fin!$E16="","",Fin!$E16)</f>
        <v/>
      </c>
      <c r="I159" s="29" t="str">
        <f>IF(B159="-","",IF(P159=T159,"Richtig!",IF(AND(P159&lt;&gt;T159,R159=T159),"Formel: OK",IF(T159="","Fehlt","Falsch"))))</f>
        <v>Fehlt</v>
      </c>
      <c r="J159" s="30">
        <f>IF(OR(B159="-",N159="",AND(P159="",T159="")),"-",IF(I159="Richtig!",1,IF(I159="Formel: OK",0.5,IF(OR(I159="Falsch",I159="Fehlt"),0,""))))</f>
        <v>0</v>
      </c>
      <c r="K159" s="23" t="str">
        <f t="shared" si="34"/>
        <v>│</v>
      </c>
      <c r="L159" s="24">
        <f t="shared" si="40"/>
        <v>1</v>
      </c>
      <c r="N159" s="882" t="str">
        <f t="shared" ref="N159:N168" si="42">IF($L$1="","",$L$1)</f>
        <v>x</v>
      </c>
      <c r="P159" s="31">
        <f t="shared" si="39"/>
        <v>8147.7403999999997</v>
      </c>
      <c r="Q159" s="27" t="str">
        <f t="shared" si="35"/>
        <v/>
      </c>
      <c r="R159" s="32" t="str">
        <f t="shared" si="36"/>
        <v>-</v>
      </c>
      <c r="S159" s="1" t="str">
        <f t="shared" si="37"/>
        <v/>
      </c>
      <c r="T159" s="33" t="str">
        <f t="shared" si="38"/>
        <v/>
      </c>
    </row>
    <row r="160" spans="1:20" ht="12.75" hidden="1" customHeight="1" x14ac:dyDescent="0.2">
      <c r="B160" s="1" t="str">
        <f>IF(Fin!D13="","-",Fin!D13)</f>
        <v>-</v>
      </c>
      <c r="D160" s="31">
        <f>IF('[1]E-Fin'!$D16="","",'[1]E-Fin'!$D16)</f>
        <v>22866.974199999997</v>
      </c>
      <c r="E160" s="27"/>
      <c r="F160" s="32" t="str">
        <f>IF(OR(Fin!D14="noch leer",Fin!D15="noch leer",AND(Fin!D14="",Fin!D15="")),"-",SUM(Fin!D14,-Fin!D15))</f>
        <v>-</v>
      </c>
      <c r="H160" s="33" t="str">
        <f>IF(Fin!$D16="","",Fin!$D16)</f>
        <v/>
      </c>
      <c r="I160" s="29" t="str">
        <f>IF(B160="-","",IF(P160=T160,"Richtig!",IF(AND(P160&lt;&gt;T160,R160=T160),"Formel: OK",IF(T160="","Fehlt","Falsch"))))</f>
        <v/>
      </c>
      <c r="J160" s="30" t="str">
        <f>IF(OR(B160="-",N160="",AND(P160="",T160="")),"-",IF(I160="Richtig!",1,IF(I160="Formel: OK",0.5,IF(OR(I160="Falsch",I160="Fehlt"),0,""))))</f>
        <v>-</v>
      </c>
      <c r="K160" s="23" t="str">
        <f t="shared" si="34"/>
        <v/>
      </c>
      <c r="L160" s="24" t="str">
        <f t="shared" si="40"/>
        <v/>
      </c>
      <c r="N160" s="882"/>
      <c r="P160" s="31">
        <f t="shared" si="39"/>
        <v>22866.974200000001</v>
      </c>
      <c r="Q160" s="27" t="str">
        <f t="shared" si="35"/>
        <v/>
      </c>
      <c r="R160" s="32" t="str">
        <f t="shared" si="36"/>
        <v>-</v>
      </c>
      <c r="S160" s="1" t="str">
        <f t="shared" si="37"/>
        <v/>
      </c>
      <c r="T160" s="33" t="str">
        <f t="shared" si="38"/>
        <v/>
      </c>
    </row>
    <row r="161" spans="1:20" ht="12.75" customHeight="1" x14ac:dyDescent="0.2">
      <c r="A161" s="18"/>
      <c r="C161" s="18"/>
      <c r="D161" s="34"/>
      <c r="E161" s="27"/>
      <c r="F161" s="27"/>
      <c r="H161" s="35"/>
      <c r="I161" s="29"/>
      <c r="J161" s="29"/>
      <c r="K161" s="23" t="str">
        <f t="shared" si="34"/>
        <v/>
      </c>
      <c r="L161" s="24" t="str">
        <f t="shared" si="40"/>
        <v/>
      </c>
      <c r="N161" s="883" t="str">
        <f t="shared" si="42"/>
        <v>x</v>
      </c>
      <c r="P161" s="34" t="str">
        <f t="shared" si="39"/>
        <v/>
      </c>
      <c r="Q161" s="27" t="str">
        <f t="shared" si="35"/>
        <v/>
      </c>
      <c r="R161" s="27" t="str">
        <f t="shared" si="36"/>
        <v/>
      </c>
      <c r="S161" s="1" t="str">
        <f t="shared" si="37"/>
        <v/>
      </c>
      <c r="T161" s="35" t="str">
        <f t="shared" si="38"/>
        <v/>
      </c>
    </row>
    <row r="162" spans="1:20" ht="12.75" customHeight="1" x14ac:dyDescent="0.2">
      <c r="A162" s="17" t="s">
        <v>14</v>
      </c>
      <c r="B162" s="37" t="s">
        <v>25</v>
      </c>
      <c r="C162" s="18"/>
      <c r="D162" s="19"/>
      <c r="H162" s="20"/>
      <c r="I162" s="21"/>
      <c r="J162" s="21"/>
      <c r="K162" s="23" t="str">
        <f t="shared" si="34"/>
        <v/>
      </c>
      <c r="L162" s="24" t="str">
        <f t="shared" si="40"/>
        <v/>
      </c>
      <c r="N162" s="880" t="str">
        <f t="shared" si="42"/>
        <v>x</v>
      </c>
      <c r="P162" s="19" t="str">
        <f t="shared" si="39"/>
        <v/>
      </c>
      <c r="Q162" s="1" t="str">
        <f t="shared" si="35"/>
        <v/>
      </c>
      <c r="R162" s="1" t="str">
        <f t="shared" si="36"/>
        <v/>
      </c>
      <c r="S162" s="1" t="str">
        <f t="shared" si="37"/>
        <v/>
      </c>
      <c r="T162" s="20" t="str">
        <f t="shared" si="38"/>
        <v/>
      </c>
    </row>
    <row r="163" spans="1:20" ht="12.75" x14ac:dyDescent="0.2">
      <c r="B163" s="1" t="s">
        <v>26</v>
      </c>
      <c r="D163" s="31">
        <f>IF('[1]E-Fin'!$F23="","",'[1]E-Fin'!$F23)</f>
        <v>-2498.4476726856155</v>
      </c>
      <c r="E163" s="27"/>
      <c r="F163" s="32" t="str">
        <f>IF(OR(Fin!B23="",Fin!B23="noch leer",Fin!D23="",Fin!D23="noch leer"),"-",SUM(Fin!B23,-Fin!D23))</f>
        <v>-</v>
      </c>
      <c r="H163" s="33" t="str">
        <f>IF(Fin!$F23="","",Fin!$F23)</f>
        <v/>
      </c>
      <c r="I163" s="29" t="str">
        <f>IF(B163="-","",IF(P163=T163,"Richtig!",IF(AND(P163&lt;&gt;T163,R163=T163),"Formel: OK",IF(T163="","Fehlt","Falsch"))))</f>
        <v>Fehlt</v>
      </c>
      <c r="J163" s="30">
        <f>IF(OR(B163="-",N163="",AND(P163="",T163="")),"-",IF(I163="Richtig!",1,IF(I163="Formel: OK",0.5,IF(OR(I163="Falsch",I163="Fehlt"),0,""))))</f>
        <v>0</v>
      </c>
      <c r="K163" s="23" t="str">
        <f t="shared" si="34"/>
        <v>│</v>
      </c>
      <c r="L163" s="24">
        <f t="shared" si="40"/>
        <v>1</v>
      </c>
      <c r="N163" s="882" t="str">
        <f t="shared" si="42"/>
        <v>x</v>
      </c>
      <c r="P163" s="31">
        <f t="shared" si="39"/>
        <v>-2498.44767</v>
      </c>
      <c r="Q163" s="27" t="str">
        <f t="shared" si="35"/>
        <v/>
      </c>
      <c r="R163" s="32" t="str">
        <f t="shared" si="36"/>
        <v>-</v>
      </c>
      <c r="S163" s="1" t="str">
        <f t="shared" si="37"/>
        <v/>
      </c>
      <c r="T163" s="33" t="str">
        <f t="shared" si="38"/>
        <v/>
      </c>
    </row>
    <row r="164" spans="1:20" ht="12.75" x14ac:dyDescent="0.2">
      <c r="B164" s="1" t="s">
        <v>27</v>
      </c>
      <c r="D164" s="31" t="str">
        <f>IF(AND('[1]E-Fin'!$E25="",'[1]E-Fin'!$F25&lt;&gt;""),'[1]E-Fin'!$F24,IF(AND('[1]E-Fin'!$F25="",'[1]E-Fin'!$E25&lt;&gt;""),'[1]E-Fin'!$E24,""))</f>
        <v>Nein</v>
      </c>
      <c r="E164" s="27"/>
      <c r="F164" s="32" t="str">
        <f>IF(H163="","-",IF(H163&gt;=0,"Ja","Nein"))</f>
        <v>-</v>
      </c>
      <c r="H164" s="33" t="str">
        <f>IF(AND(Fin!$E25="",Fin!$F25&lt;&gt;""),Fin!$F24,IF(AND(Fin!$F25="",Fin!$E25&lt;&gt;""),Fin!$E24,""))</f>
        <v/>
      </c>
      <c r="I164" s="29" t="str">
        <f>IF(B164="-","",IF(P164=T164,"Richtig!",IF(AND(P164&lt;&gt;T164,R164=T164),"Formel: OK",IF(T164="","Fehlt","Falsch"))))</f>
        <v>Fehlt</v>
      </c>
      <c r="J164" s="30">
        <f>IF(OR(B164="-",N164="",AND(P164="",T164="")),"-",IF(I164="Richtig!",1,IF(I164="Formel: OK",0.5,IF(OR(I164="Falsch",I164="Fehlt"),0,""))))</f>
        <v>0</v>
      </c>
      <c r="K164" s="23" t="str">
        <f t="shared" si="34"/>
        <v>│</v>
      </c>
      <c r="L164" s="24">
        <f t="shared" si="40"/>
        <v>1</v>
      </c>
      <c r="N164" s="882" t="str">
        <f t="shared" si="42"/>
        <v>x</v>
      </c>
      <c r="P164" s="31" t="str">
        <f t="shared" si="39"/>
        <v>Nein</v>
      </c>
      <c r="Q164" s="27" t="str">
        <f t="shared" si="35"/>
        <v/>
      </c>
      <c r="R164" s="32" t="str">
        <f t="shared" si="36"/>
        <v>-</v>
      </c>
      <c r="S164" s="1" t="str">
        <f t="shared" si="37"/>
        <v/>
      </c>
      <c r="T164" s="33" t="str">
        <f t="shared" si="38"/>
        <v/>
      </c>
    </row>
    <row r="165" spans="1:20" ht="12.75" customHeight="1" x14ac:dyDescent="0.2">
      <c r="A165" s="18"/>
      <c r="C165" s="18"/>
      <c r="D165" s="34"/>
      <c r="E165" s="27"/>
      <c r="F165" s="27"/>
      <c r="H165" s="35"/>
      <c r="I165" s="29"/>
      <c r="J165" s="29"/>
      <c r="K165" s="23" t="str">
        <f t="shared" si="34"/>
        <v/>
      </c>
      <c r="L165" s="24" t="str">
        <f t="shared" si="40"/>
        <v/>
      </c>
      <c r="N165" s="883" t="str">
        <f t="shared" si="42"/>
        <v>x</v>
      </c>
      <c r="P165" s="34" t="str">
        <f t="shared" si="39"/>
        <v/>
      </c>
      <c r="Q165" s="27" t="str">
        <f t="shared" si="35"/>
        <v/>
      </c>
      <c r="R165" s="27" t="str">
        <f t="shared" si="36"/>
        <v/>
      </c>
      <c r="S165" s="1" t="str">
        <f t="shared" si="37"/>
        <v/>
      </c>
      <c r="T165" s="35" t="str">
        <f t="shared" si="38"/>
        <v/>
      </c>
    </row>
    <row r="166" spans="1:20" ht="22.5" x14ac:dyDescent="0.2">
      <c r="A166" s="10" t="str">
        <f>Fin!B27</f>
        <v>Ermittlung des Kapitaldienstes</v>
      </c>
      <c r="B166" s="11"/>
      <c r="C166" s="12"/>
      <c r="D166" s="13" t="s">
        <v>4</v>
      </c>
      <c r="E166" s="13"/>
      <c r="F166" s="14" t="s">
        <v>5</v>
      </c>
      <c r="G166" s="12"/>
      <c r="H166" s="14" t="s">
        <v>6</v>
      </c>
      <c r="I166" s="15" t="str">
        <f>"Fehler"</f>
        <v>Fehler</v>
      </c>
      <c r="J166" s="16" t="s">
        <v>7</v>
      </c>
      <c r="K166" s="16"/>
      <c r="L166" s="16"/>
      <c r="N166" s="881" t="str">
        <f t="shared" si="42"/>
        <v>x</v>
      </c>
      <c r="P166" s="13" t="str">
        <f t="shared" si="39"/>
        <v>Ergebnis</v>
      </c>
      <c r="Q166" s="13" t="str">
        <f t="shared" si="35"/>
        <v/>
      </c>
      <c r="R166" s="14" t="str">
        <f t="shared" si="36"/>
        <v>Formel-
prüfung</v>
      </c>
      <c r="S166" s="12" t="str">
        <f t="shared" si="37"/>
        <v/>
      </c>
      <c r="T166" s="14" t="str">
        <f t="shared" si="38"/>
        <v>Deine Be-rechnung</v>
      </c>
    </row>
    <row r="167" spans="1:20" ht="12.75" customHeight="1" x14ac:dyDescent="0.2">
      <c r="A167" s="17" t="s">
        <v>9</v>
      </c>
      <c r="B167" s="37" t="str">
        <f>Fin!G30</f>
        <v>Annuität</v>
      </c>
      <c r="C167" s="18"/>
      <c r="D167" s="19"/>
      <c r="H167" s="20"/>
      <c r="I167" s="21"/>
      <c r="J167" s="21"/>
      <c r="K167" s="23" t="str">
        <f t="shared" si="34"/>
        <v/>
      </c>
      <c r="L167" s="24" t="str">
        <f t="shared" ref="L167:L173" si="43">IF(OR(B167="-",N167="",AND(P167="",T167="")),"",1)</f>
        <v/>
      </c>
      <c r="N167" s="880" t="str">
        <f t="shared" si="42"/>
        <v>x</v>
      </c>
      <c r="P167" s="19" t="str">
        <f t="shared" si="39"/>
        <v/>
      </c>
      <c r="Q167" s="1" t="str">
        <f t="shared" si="35"/>
        <v/>
      </c>
      <c r="R167" s="1" t="str">
        <f t="shared" si="36"/>
        <v/>
      </c>
      <c r="S167" s="1" t="str">
        <f t="shared" si="37"/>
        <v/>
      </c>
      <c r="T167" s="20" t="str">
        <f t="shared" si="38"/>
        <v/>
      </c>
    </row>
    <row r="168" spans="1:20" ht="12.75" x14ac:dyDescent="0.2">
      <c r="B168" s="25" t="str">
        <f>IF(Fin!B31="","-",Fin!B31)</f>
        <v>AIK-Kredit</v>
      </c>
      <c r="C168" s="18"/>
      <c r="D168" s="26">
        <f>IF(OR(Fin!C31="",Fin!D31="",Fin!F31=""),"",PMT(Fin!D31,Fin!F31,Fin!C31))</f>
        <v>-9346.4861181069336</v>
      </c>
      <c r="E168" s="27"/>
      <c r="H168" s="28" t="str">
        <f>IF(Fin!$G31="","",Fin!$G31)</f>
        <v/>
      </c>
      <c r="I168" s="29" t="str">
        <f>IF(AND(P168="",T168=""),"",IF(P168=T168,"Richtig!",IF(T168="","Fehlt","Falsch")))</f>
        <v>Fehlt</v>
      </c>
      <c r="J168" s="30">
        <f>IF(OR(B168="-",N168="",AND(P168="",T168="")),"-",IF(I168="Richtig!",1,IF(I168="Formel: OK",0.5,IF(OR(I168="Falsch",I168="Fehlt"),0,""))))</f>
        <v>0</v>
      </c>
      <c r="K168" s="23" t="str">
        <f t="shared" si="34"/>
        <v>│</v>
      </c>
      <c r="L168" s="24">
        <f t="shared" si="43"/>
        <v>1</v>
      </c>
      <c r="N168" s="882" t="str">
        <f t="shared" si="42"/>
        <v>x</v>
      </c>
      <c r="P168" s="26">
        <f t="shared" si="39"/>
        <v>-9346.4861199999996</v>
      </c>
      <c r="Q168" s="27" t="str">
        <f t="shared" si="35"/>
        <v/>
      </c>
      <c r="R168" s="1" t="str">
        <f t="shared" si="36"/>
        <v/>
      </c>
      <c r="S168" s="1" t="str">
        <f t="shared" si="37"/>
        <v/>
      </c>
      <c r="T168" s="28" t="str">
        <f t="shared" si="38"/>
        <v/>
      </c>
    </row>
    <row r="169" spans="1:20" ht="12.75" hidden="1" customHeight="1" x14ac:dyDescent="0.2">
      <c r="B169" s="25" t="str">
        <f>IF(Fin!B32="","-",Fin!B32)</f>
        <v>-</v>
      </c>
      <c r="C169" s="18"/>
      <c r="D169" s="26" t="str">
        <f>IF('[1]E-Fin'!$G32="","",'[1]E-Fin'!$G32)</f>
        <v/>
      </c>
      <c r="E169" s="27"/>
      <c r="H169" s="28" t="str">
        <f>IF(Fin!$G32="","",Fin!$G32)</f>
        <v/>
      </c>
      <c r="I169" s="29" t="str">
        <f>IF(AND(P169="",T169=""),"",IF(P169=T169,"Richtig!",IF(T169="","Fehlt","Falsch")))</f>
        <v/>
      </c>
      <c r="J169" s="30" t="str">
        <f>IF(OR(B169="-",N169="",AND(P169="",T169="")),"-",IF(I169="Richtig!",1,IF(I169="Formel: OK",0.5,IF(OR(I169="Falsch",I169="Fehlt"),0,""))))</f>
        <v>-</v>
      </c>
      <c r="K169" s="23" t="str">
        <f t="shared" si="34"/>
        <v/>
      </c>
      <c r="L169" s="24" t="str">
        <f t="shared" si="43"/>
        <v/>
      </c>
      <c r="N169" s="882"/>
      <c r="P169" s="26" t="str">
        <f t="shared" si="39"/>
        <v/>
      </c>
      <c r="Q169" s="27" t="str">
        <f t="shared" si="35"/>
        <v/>
      </c>
      <c r="R169" s="1" t="str">
        <f t="shared" si="36"/>
        <v/>
      </c>
      <c r="S169" s="1" t="str">
        <f t="shared" si="37"/>
        <v/>
      </c>
      <c r="T169" s="28" t="str">
        <f t="shared" si="38"/>
        <v/>
      </c>
    </row>
    <row r="170" spans="1:20" ht="12.75" hidden="1" customHeight="1" x14ac:dyDescent="0.2">
      <c r="B170" s="25" t="str">
        <f>IF(Fin!B33="","-",Fin!B33)</f>
        <v>-</v>
      </c>
      <c r="C170" s="18"/>
      <c r="D170" s="26" t="str">
        <f>IF('[1]E-Fin'!$G33="","",'[1]E-Fin'!$G33)</f>
        <v/>
      </c>
      <c r="E170" s="27"/>
      <c r="H170" s="28" t="str">
        <f>IF(Fin!$G33="","",Fin!$G33)</f>
        <v/>
      </c>
      <c r="I170" s="29" t="str">
        <f>IF(AND(P170="",T170=""),"",IF(P170=T170,"Richtig!",IF(T170="","Fehlt","Falsch")))</f>
        <v/>
      </c>
      <c r="J170" s="30" t="str">
        <f>IF(OR(B170="-",N170="",AND(P170="",T170="")),"-",IF(I170="Richtig!",1,IF(I170="Formel: OK",0.5,IF(OR(I170="Falsch",I170="Fehlt"),0,""))))</f>
        <v>-</v>
      </c>
      <c r="K170" s="23" t="str">
        <f t="shared" si="34"/>
        <v/>
      </c>
      <c r="L170" s="24" t="str">
        <f t="shared" si="43"/>
        <v/>
      </c>
      <c r="N170" s="882"/>
      <c r="P170" s="26" t="str">
        <f t="shared" si="39"/>
        <v/>
      </c>
      <c r="Q170" s="27" t="str">
        <f t="shared" si="35"/>
        <v/>
      </c>
      <c r="R170" s="1" t="str">
        <f t="shared" si="36"/>
        <v/>
      </c>
      <c r="S170" s="1" t="str">
        <f t="shared" si="37"/>
        <v/>
      </c>
      <c r="T170" s="28" t="str">
        <f t="shared" si="38"/>
        <v/>
      </c>
    </row>
    <row r="171" spans="1:20" ht="12.75" hidden="1" customHeight="1" x14ac:dyDescent="0.2">
      <c r="B171" s="25" t="str">
        <f>IF(Fin!B34="","-",Fin!B34)</f>
        <v>Bankdarlehen</v>
      </c>
      <c r="C171" s="18"/>
      <c r="D171" s="26">
        <f>IF('[1]E-Fin'!$G34="","",'[1]E-Fin'!$G34)</f>
        <v>-4481.4687339411403</v>
      </c>
      <c r="E171" s="27"/>
      <c r="H171" s="28" t="str">
        <f>IF(Fin!$G34="","",Fin!$G34)</f>
        <v/>
      </c>
      <c r="I171" s="29" t="str">
        <f>IF(AND(P171="",T171=""),"",IF(P171=T171,"Richtig!",IF(T171="","Fehlt","Falsch")))</f>
        <v>Fehlt</v>
      </c>
      <c r="J171" s="30" t="str">
        <f>IF(OR(B171="-",N171="",AND(P171="",T171="")),"-",IF(I171="Richtig!",1,IF(I171="Formel: OK",0.5,IF(OR(I171="Falsch",I171="Fehlt"),0,""))))</f>
        <v>-</v>
      </c>
      <c r="K171" s="23" t="str">
        <f t="shared" si="34"/>
        <v/>
      </c>
      <c r="L171" s="24" t="str">
        <f t="shared" si="43"/>
        <v/>
      </c>
      <c r="N171" s="882"/>
      <c r="P171" s="26">
        <f t="shared" si="39"/>
        <v>-4481.4687299999996</v>
      </c>
      <c r="Q171" s="27" t="str">
        <f t="shared" si="35"/>
        <v/>
      </c>
      <c r="R171" s="1" t="str">
        <f t="shared" si="36"/>
        <v/>
      </c>
      <c r="S171" s="1" t="str">
        <f t="shared" si="37"/>
        <v/>
      </c>
      <c r="T171" s="28" t="str">
        <f t="shared" si="38"/>
        <v/>
      </c>
    </row>
    <row r="172" spans="1:20" ht="12.75" x14ac:dyDescent="0.2">
      <c r="B172" s="25" t="str">
        <f>IF(Fin!B35="","-",Fin!B35)</f>
        <v>Summe Annuität = Kapitaldienst</v>
      </c>
      <c r="C172" s="18"/>
      <c r="D172" s="31">
        <f>IF('[1]E-Fin'!$G35="","",'[1]E-Fin'!$G35)</f>
        <v>-13827.954852048075</v>
      </c>
      <c r="E172" s="27"/>
      <c r="F172" s="32" t="str">
        <f>IF(AND(H168="",H169="",H170="",H171=""),"-",SUM(H168:H171))</f>
        <v>-</v>
      </c>
      <c r="H172" s="33" t="str">
        <f>IF(Fin!$G35="","",Fin!$G35)</f>
        <v/>
      </c>
      <c r="I172" s="29" t="str">
        <f>IF(B172="-","",IF(P172=T172,"Richtig!",IF(AND(P172&lt;&gt;T172,R172=T172),"Formel: OK",IF(T172="","Fehlt","Falsch"))))</f>
        <v>Fehlt</v>
      </c>
      <c r="J172" s="30">
        <f>IF(OR(B172="-",N172="",AND(P172="",T172="")),"-",IF(I172="Richtig!",1,IF(I172="Formel: OK",0.5,IF(OR(I172="Falsch",I172="Fehlt"),0,""))))</f>
        <v>0</v>
      </c>
      <c r="K172" s="23" t="str">
        <f t="shared" si="34"/>
        <v>│</v>
      </c>
      <c r="L172" s="24">
        <f t="shared" si="43"/>
        <v>1</v>
      </c>
      <c r="N172" s="882" t="str">
        <f>IF($L$1="","",$L$1)</f>
        <v>x</v>
      </c>
      <c r="P172" s="31">
        <f t="shared" si="39"/>
        <v>-13827.95485</v>
      </c>
      <c r="Q172" s="27" t="str">
        <f t="shared" si="35"/>
        <v/>
      </c>
      <c r="R172" s="32" t="str">
        <f t="shared" si="36"/>
        <v>-</v>
      </c>
      <c r="S172" s="1" t="str">
        <f t="shared" si="37"/>
        <v/>
      </c>
      <c r="T172" s="33" t="str">
        <f t="shared" si="38"/>
        <v/>
      </c>
    </row>
    <row r="173" spans="1:20" ht="12.75" customHeight="1" x14ac:dyDescent="0.2">
      <c r="A173" s="18"/>
      <c r="C173" s="18"/>
      <c r="D173" s="34"/>
      <c r="E173" s="27"/>
      <c r="F173" s="27"/>
      <c r="H173" s="35"/>
      <c r="I173" s="29"/>
      <c r="J173" s="29"/>
      <c r="K173" s="23" t="str">
        <f t="shared" si="34"/>
        <v/>
      </c>
      <c r="L173" s="24" t="str">
        <f t="shared" si="43"/>
        <v/>
      </c>
      <c r="N173" s="883" t="str">
        <f>IF($L$1="","",$L$1)</f>
        <v>x</v>
      </c>
      <c r="P173" s="34" t="str">
        <f t="shared" si="39"/>
        <v/>
      </c>
      <c r="Q173" s="27" t="str">
        <f t="shared" si="35"/>
        <v/>
      </c>
      <c r="R173" s="27" t="str">
        <f t="shared" si="36"/>
        <v/>
      </c>
      <c r="S173" s="1" t="str">
        <f t="shared" si="37"/>
        <v/>
      </c>
      <c r="T173" s="35" t="str">
        <f t="shared" si="38"/>
        <v/>
      </c>
    </row>
    <row r="174" spans="1:20" ht="22.5" x14ac:dyDescent="0.2">
      <c r="A174" s="10" t="str">
        <f>Fin!B37</f>
        <v>Ermittlung der jährlichen Schuldzinsen</v>
      </c>
      <c r="B174" s="11"/>
      <c r="C174" s="12"/>
      <c r="D174" s="13" t="s">
        <v>4</v>
      </c>
      <c r="E174" s="13"/>
      <c r="F174" s="14" t="s">
        <v>5</v>
      </c>
      <c r="G174" s="12"/>
      <c r="H174" s="14" t="s">
        <v>6</v>
      </c>
      <c r="I174" s="15" t="str">
        <f>"Fehler"</f>
        <v>Fehler</v>
      </c>
      <c r="J174" s="16" t="s">
        <v>7</v>
      </c>
      <c r="K174" s="16"/>
      <c r="L174" s="16"/>
      <c r="N174" s="881" t="str">
        <f>IF($L$1="","",$L$1)</f>
        <v>x</v>
      </c>
      <c r="P174" s="13" t="str">
        <f t="shared" si="39"/>
        <v>Ergebnis</v>
      </c>
      <c r="Q174" s="13" t="str">
        <f t="shared" si="35"/>
        <v/>
      </c>
      <c r="R174" s="14" t="str">
        <f t="shared" si="36"/>
        <v>Formel-
prüfung</v>
      </c>
      <c r="S174" s="12" t="str">
        <f t="shared" si="37"/>
        <v/>
      </c>
      <c r="T174" s="14" t="str">
        <f t="shared" si="38"/>
        <v>Deine Be-rechnung</v>
      </c>
    </row>
    <row r="175" spans="1:20" ht="12.75" customHeight="1" x14ac:dyDescent="0.2">
      <c r="A175" s="17" t="s">
        <v>9</v>
      </c>
      <c r="B175" s="37" t="s">
        <v>28</v>
      </c>
      <c r="C175" s="18"/>
      <c r="D175" s="19"/>
      <c r="H175" s="20"/>
      <c r="I175" s="21"/>
      <c r="J175" s="21"/>
      <c r="K175" s="23" t="str">
        <f t="shared" si="34"/>
        <v/>
      </c>
      <c r="L175" s="24" t="str">
        <f t="shared" ref="L175:L188" si="44">IF(OR(B175="-",N175="",AND(P175="",T175="")),"",1)</f>
        <v/>
      </c>
      <c r="N175" s="880" t="str">
        <f>IF($L$1="","",$L$1)</f>
        <v>x</v>
      </c>
      <c r="P175" s="19" t="str">
        <f t="shared" si="39"/>
        <v/>
      </c>
      <c r="Q175" s="1" t="str">
        <f t="shared" si="35"/>
        <v/>
      </c>
      <c r="R175" s="1" t="str">
        <f t="shared" si="36"/>
        <v/>
      </c>
      <c r="S175" s="1" t="str">
        <f t="shared" si="37"/>
        <v/>
      </c>
      <c r="T175" s="20" t="str">
        <f t="shared" si="38"/>
        <v/>
      </c>
    </row>
    <row r="176" spans="1:20" ht="12.75" x14ac:dyDescent="0.2">
      <c r="B176" s="25" t="str">
        <f>IF(Fin!B40="","-",Fin!B40)</f>
        <v>AIK-Kredit</v>
      </c>
      <c r="C176" s="18"/>
      <c r="D176" s="26">
        <f>IF('[1]E-Fin'!$F40="","",'[1]E-Fin'!$F40)</f>
        <v>7368.4210526315792</v>
      </c>
      <c r="E176" s="27"/>
      <c r="H176" s="28" t="str">
        <f>IF(Fin!$F40="","",Fin!$F40)</f>
        <v/>
      </c>
      <c r="I176" s="29" t="str">
        <f>IF(AND(P176="",T176=""),"",IF(P176=T176,"Richtig!",IF(T176="","Fehlt","Falsch")))</f>
        <v>Fehlt</v>
      </c>
      <c r="J176" s="30">
        <f>IF(OR(B176="-",N176="",AND(P176="",T176="")),"-",IF(I176="Richtig!",1,IF(I176="Formel: OK",0.5,IF(OR(I176="Falsch",I176="Fehlt"),0,""))))</f>
        <v>0</v>
      </c>
      <c r="K176" s="23" t="str">
        <f t="shared" si="34"/>
        <v>│</v>
      </c>
      <c r="L176" s="24">
        <f t="shared" si="44"/>
        <v>1</v>
      </c>
      <c r="N176" s="882" t="str">
        <f>IF($L$1="","",$L$1)</f>
        <v>x</v>
      </c>
      <c r="P176" s="26">
        <f t="shared" si="39"/>
        <v>7368.4210499999999</v>
      </c>
      <c r="Q176" s="27" t="str">
        <f t="shared" si="35"/>
        <v/>
      </c>
      <c r="R176" s="1" t="str">
        <f t="shared" si="36"/>
        <v/>
      </c>
      <c r="S176" s="1" t="str">
        <f t="shared" si="37"/>
        <v/>
      </c>
      <c r="T176" s="28" t="str">
        <f t="shared" si="38"/>
        <v/>
      </c>
    </row>
    <row r="177" spans="1:20" ht="12.75" hidden="1" customHeight="1" x14ac:dyDescent="0.2">
      <c r="B177" s="25" t="str">
        <f>IF(Fin!B41="","-",Fin!B41)</f>
        <v>-</v>
      </c>
      <c r="C177" s="18"/>
      <c r="D177" s="26" t="str">
        <f>IF('[1]E-Fin'!$F41="","",'[1]E-Fin'!$F41)</f>
        <v/>
      </c>
      <c r="E177" s="27"/>
      <c r="H177" s="28" t="str">
        <f>IF(Fin!$F41="","",Fin!$F41)</f>
        <v/>
      </c>
      <c r="I177" s="29" t="str">
        <f>IF(AND(P177="",T177=""),"",IF(P177=T177,"Richtig!",IF(T177="","Fehlt","Falsch")))</f>
        <v/>
      </c>
      <c r="J177" s="30" t="str">
        <f>IF(OR(B177="-",N177="",AND(P177="",T177="")),"-",IF(I177="Richtig!",1,IF(I177="Formel: OK",0.5,IF(OR(I177="Falsch",I177="Fehlt"),0,""))))</f>
        <v>-</v>
      </c>
      <c r="K177" s="23" t="str">
        <f t="shared" si="34"/>
        <v/>
      </c>
      <c r="L177" s="24" t="str">
        <f t="shared" si="44"/>
        <v/>
      </c>
      <c r="N177" s="882"/>
      <c r="P177" s="26" t="str">
        <f t="shared" si="39"/>
        <v/>
      </c>
      <c r="Q177" s="27" t="str">
        <f t="shared" si="35"/>
        <v/>
      </c>
      <c r="R177" s="1" t="str">
        <f t="shared" si="36"/>
        <v/>
      </c>
      <c r="S177" s="1" t="str">
        <f t="shared" si="37"/>
        <v/>
      </c>
      <c r="T177" s="28" t="str">
        <f t="shared" si="38"/>
        <v/>
      </c>
    </row>
    <row r="178" spans="1:20" ht="12.75" hidden="1" customHeight="1" x14ac:dyDescent="0.2">
      <c r="B178" s="25" t="str">
        <f>IF(Fin!B42="","-",Fin!B42)</f>
        <v>-</v>
      </c>
      <c r="C178" s="18"/>
      <c r="D178" s="26" t="str">
        <f>IF('[1]E-Fin'!$F42="","",'[1]E-Fin'!$F42)</f>
        <v/>
      </c>
      <c r="E178" s="27"/>
      <c r="H178" s="28" t="str">
        <f>IF(Fin!$F42="","",Fin!$F42)</f>
        <v/>
      </c>
      <c r="I178" s="29" t="str">
        <f>IF(AND(P178="",T178=""),"",IF(P178=T178,"Richtig!",IF(T178="","Fehlt","Falsch")))</f>
        <v/>
      </c>
      <c r="J178" s="30" t="str">
        <f>IF(OR(B178="-",N178="",AND(P178="",T178="")),"-",IF(I178="Richtig!",1,IF(I178="Formel: OK",0.5,IF(OR(I178="Falsch",I178="Fehlt"),0,""))))</f>
        <v>-</v>
      </c>
      <c r="K178" s="23" t="str">
        <f t="shared" si="34"/>
        <v/>
      </c>
      <c r="L178" s="24" t="str">
        <f t="shared" si="44"/>
        <v/>
      </c>
      <c r="N178" s="882"/>
      <c r="P178" s="26" t="str">
        <f t="shared" si="39"/>
        <v/>
      </c>
      <c r="Q178" s="27" t="str">
        <f t="shared" si="35"/>
        <v/>
      </c>
      <c r="R178" s="1" t="str">
        <f t="shared" si="36"/>
        <v/>
      </c>
      <c r="S178" s="1" t="str">
        <f t="shared" si="37"/>
        <v/>
      </c>
      <c r="T178" s="28" t="str">
        <f t="shared" si="38"/>
        <v/>
      </c>
    </row>
    <row r="179" spans="1:20" ht="12.75" hidden="1" customHeight="1" x14ac:dyDescent="0.2">
      <c r="B179" s="25" t="str">
        <f>IF(Fin!B43="","-",Fin!B43)</f>
        <v>Bankdarlehen</v>
      </c>
      <c r="C179" s="18"/>
      <c r="D179" s="26">
        <f>IF('[1]E-Fin'!$F43="","",'[1]E-Fin'!$F43)</f>
        <v>3298.4</v>
      </c>
      <c r="E179" s="27"/>
      <c r="H179" s="28" t="str">
        <f>IF(Fin!$F43="","",Fin!$F43)</f>
        <v/>
      </c>
      <c r="I179" s="29" t="str">
        <f>IF(AND(P179="",T179=""),"",IF(P179=T179,"Richtig!",IF(T179="","Fehlt","Falsch")))</f>
        <v>Fehlt</v>
      </c>
      <c r="J179" s="30" t="str">
        <f>IF(OR(B179="-",N179="",AND(P179="",T179="")),"-",IF(I179="Richtig!",1,IF(I179="Formel: OK",0.5,IF(OR(I179="Falsch",I179="Fehlt"),0,""))))</f>
        <v>-</v>
      </c>
      <c r="K179" s="23" t="str">
        <f t="shared" si="34"/>
        <v/>
      </c>
      <c r="L179" s="24" t="str">
        <f t="shared" si="44"/>
        <v/>
      </c>
      <c r="N179" s="882"/>
      <c r="P179" s="26">
        <f t="shared" si="39"/>
        <v>3298.4</v>
      </c>
      <c r="Q179" s="27" t="str">
        <f t="shared" si="35"/>
        <v/>
      </c>
      <c r="R179" s="1" t="str">
        <f t="shared" si="36"/>
        <v/>
      </c>
      <c r="S179" s="1" t="str">
        <f t="shared" si="37"/>
        <v/>
      </c>
      <c r="T179" s="28" t="str">
        <f t="shared" si="38"/>
        <v/>
      </c>
    </row>
    <row r="180" spans="1:20" ht="12.75" x14ac:dyDescent="0.2">
      <c r="B180" s="25" t="str">
        <f>IF(Fin!B44="","-",Fin!B44)</f>
        <v>Summe</v>
      </c>
      <c r="C180" s="18"/>
      <c r="D180" s="31">
        <f>IF('[1]E-Fin'!$F44="","",'[1]E-Fin'!$F44)</f>
        <v>10666.82105263158</v>
      </c>
      <c r="E180" s="27"/>
      <c r="F180" s="32" t="str">
        <f>IF(AND(H176="",H177="",H178="",H179=""),"-",SUM(H176:H179))</f>
        <v>-</v>
      </c>
      <c r="H180" s="33" t="str">
        <f>IF(Fin!$F44="","",Fin!$F44)</f>
        <v/>
      </c>
      <c r="I180" s="29" t="str">
        <f>IF(B180="-","",IF(P180=T180,"Richtig!",IF(AND(P180&lt;&gt;T180,R180=T180),"Formel: OK",IF(T180="","Fehlt","Falsch"))))</f>
        <v>Fehlt</v>
      </c>
      <c r="J180" s="30">
        <f>IF(OR(B180="-",N180="",AND(P180="",T180="")),"-",IF(I180="Richtig!",1,IF(I180="Formel: OK",0.5,IF(OR(I180="Falsch",I180="Fehlt"),0,""))))</f>
        <v>0</v>
      </c>
      <c r="K180" s="23" t="str">
        <f t="shared" si="34"/>
        <v>│</v>
      </c>
      <c r="L180" s="24">
        <f t="shared" si="44"/>
        <v>1</v>
      </c>
      <c r="N180" s="882" t="str">
        <f>IF($L$1="","",$L$1)</f>
        <v>x</v>
      </c>
      <c r="P180" s="31">
        <f t="shared" si="39"/>
        <v>10666.82105</v>
      </c>
      <c r="Q180" s="27" t="str">
        <f t="shared" si="35"/>
        <v/>
      </c>
      <c r="R180" s="32" t="str">
        <f t="shared" si="36"/>
        <v>-</v>
      </c>
      <c r="S180" s="1" t="str">
        <f t="shared" si="37"/>
        <v/>
      </c>
      <c r="T180" s="33" t="str">
        <f t="shared" si="38"/>
        <v/>
      </c>
    </row>
    <row r="181" spans="1:20" ht="12.75" customHeight="1" x14ac:dyDescent="0.2">
      <c r="A181" s="18"/>
      <c r="C181" s="18"/>
      <c r="D181" s="34"/>
      <c r="E181" s="27"/>
      <c r="F181" s="27"/>
      <c r="H181" s="35"/>
      <c r="I181" s="29"/>
      <c r="J181" s="29"/>
      <c r="K181" s="23" t="str">
        <f t="shared" si="34"/>
        <v/>
      </c>
      <c r="L181" s="24" t="str">
        <f t="shared" si="44"/>
        <v/>
      </c>
      <c r="N181" s="883" t="str">
        <f>IF($L$1="","",$L$1)</f>
        <v>x</v>
      </c>
      <c r="P181" s="34" t="str">
        <f t="shared" si="39"/>
        <v/>
      </c>
      <c r="Q181" s="27" t="str">
        <f t="shared" si="35"/>
        <v/>
      </c>
      <c r="R181" s="27" t="str">
        <f t="shared" si="36"/>
        <v/>
      </c>
      <c r="S181" s="1" t="str">
        <f t="shared" si="37"/>
        <v/>
      </c>
      <c r="T181" s="35" t="str">
        <f t="shared" si="38"/>
        <v/>
      </c>
    </row>
    <row r="182" spans="1:20" ht="12.75" x14ac:dyDescent="0.2">
      <c r="A182" s="17" t="s">
        <v>12</v>
      </c>
      <c r="B182" s="37" t="s">
        <v>29</v>
      </c>
      <c r="C182" s="18"/>
      <c r="D182" s="19"/>
      <c r="H182" s="20"/>
      <c r="I182" s="21"/>
      <c r="J182" s="21"/>
      <c r="K182" s="23" t="str">
        <f t="shared" si="34"/>
        <v/>
      </c>
      <c r="L182" s="24" t="str">
        <f t="shared" si="44"/>
        <v/>
      </c>
      <c r="N182" s="880" t="str">
        <f>IF($L$1="","",$L$1)</f>
        <v>x</v>
      </c>
      <c r="P182" s="19" t="str">
        <f t="shared" si="39"/>
        <v/>
      </c>
      <c r="Q182" s="1" t="str">
        <f t="shared" si="35"/>
        <v/>
      </c>
      <c r="R182" s="1" t="str">
        <f t="shared" si="36"/>
        <v/>
      </c>
      <c r="S182" s="1" t="str">
        <f t="shared" si="37"/>
        <v/>
      </c>
      <c r="T182" s="20" t="str">
        <f t="shared" si="38"/>
        <v/>
      </c>
    </row>
    <row r="183" spans="1:20" ht="12.75" x14ac:dyDescent="0.2">
      <c r="B183" s="25" t="str">
        <f>IF(Fin!B40="","-",Fin!B40)</f>
        <v>AIK-Kredit</v>
      </c>
      <c r="C183" s="18"/>
      <c r="D183" s="26">
        <f>IF('[1]E-Fin'!$G40="","",'[1]E-Fin'!$G40)</f>
        <v>-1978.0650654753545</v>
      </c>
      <c r="E183" s="27"/>
      <c r="H183" s="28" t="str">
        <f>IF(Fin!$G40="","",Fin!$G40)</f>
        <v/>
      </c>
      <c r="I183" s="29" t="str">
        <f>IF(AND(P183="",T183=""),"",IF(P183=T183,"Richtig!",IF(T183="","Fehlt","Falsch")))</f>
        <v>Fehlt</v>
      </c>
      <c r="J183" s="30">
        <f>IF(OR(B183="-",N183="",AND(P183="",T183="")),"-",IF(I183="Richtig!",1,IF(I183="Formel: OK",0.5,IF(OR(I183="Falsch",I183="Fehlt"),0,""))))</f>
        <v>0</v>
      </c>
      <c r="K183" s="23" t="str">
        <f t="shared" si="34"/>
        <v>│</v>
      </c>
      <c r="L183" s="24">
        <f t="shared" si="44"/>
        <v>1</v>
      </c>
      <c r="N183" s="882" t="str">
        <f>IF($L$1="","",$L$1)</f>
        <v>x</v>
      </c>
      <c r="P183" s="26">
        <f t="shared" si="39"/>
        <v>-1978.0650700000001</v>
      </c>
      <c r="Q183" s="27" t="str">
        <f t="shared" si="35"/>
        <v/>
      </c>
      <c r="R183" s="1" t="str">
        <f t="shared" si="36"/>
        <v/>
      </c>
      <c r="S183" s="1" t="str">
        <f t="shared" si="37"/>
        <v/>
      </c>
      <c r="T183" s="28" t="str">
        <f t="shared" si="38"/>
        <v/>
      </c>
    </row>
    <row r="184" spans="1:20" ht="12.75" hidden="1" customHeight="1" x14ac:dyDescent="0.2">
      <c r="B184" s="25" t="str">
        <f>IF(Fin!B41="","-",Fin!B41)</f>
        <v>-</v>
      </c>
      <c r="C184" s="18"/>
      <c r="D184" s="26" t="str">
        <f>IF('[1]E-Fin'!$G41="","",'[1]E-Fin'!$G41)</f>
        <v/>
      </c>
      <c r="E184" s="27"/>
      <c r="H184" s="28" t="str">
        <f>IF(Fin!$G41="","",Fin!$G41)</f>
        <v/>
      </c>
      <c r="I184" s="29" t="str">
        <f>IF(AND(P184="",T184=""),"",IF(P184=T184,"Richtig!",IF(T184="","Fehlt","Falsch")))</f>
        <v/>
      </c>
      <c r="J184" s="30" t="str">
        <f>IF(OR(B184="-",N184="",AND(P184="",T184="")),"-",IF(I184="Richtig!",1,IF(I184="Formel: OK",0.5,IF(OR(I184="Falsch",I184="Fehlt"),0,""))))</f>
        <v>-</v>
      </c>
      <c r="K184" s="23" t="str">
        <f t="shared" si="34"/>
        <v/>
      </c>
      <c r="L184" s="24" t="str">
        <f t="shared" si="44"/>
        <v/>
      </c>
      <c r="N184" s="882"/>
      <c r="P184" s="26" t="str">
        <f t="shared" si="39"/>
        <v/>
      </c>
      <c r="Q184" s="27" t="str">
        <f t="shared" si="35"/>
        <v/>
      </c>
      <c r="R184" s="1" t="str">
        <f t="shared" si="36"/>
        <v/>
      </c>
      <c r="S184" s="1" t="str">
        <f t="shared" si="37"/>
        <v/>
      </c>
      <c r="T184" s="28" t="str">
        <f t="shared" si="38"/>
        <v/>
      </c>
    </row>
    <row r="185" spans="1:20" ht="12.75" hidden="1" customHeight="1" x14ac:dyDescent="0.2">
      <c r="B185" s="25" t="str">
        <f>IF(Fin!B42="","-",Fin!B42)</f>
        <v>-</v>
      </c>
      <c r="C185" s="18"/>
      <c r="D185" s="26" t="str">
        <f>IF('[1]E-Fin'!$G42="","",'[1]E-Fin'!$G42)</f>
        <v/>
      </c>
      <c r="E185" s="27"/>
      <c r="H185" s="28" t="str">
        <f>IF(Fin!$G42="","",Fin!$G42)</f>
        <v/>
      </c>
      <c r="I185" s="29" t="str">
        <f>IF(AND(P185="",T185=""),"",IF(P185=T185,"Richtig!",IF(T185="","Fehlt","Falsch")))</f>
        <v/>
      </c>
      <c r="J185" s="30" t="str">
        <f>IF(OR(B185="-",N185="",AND(P185="",T185="")),"-",IF(I185="Richtig!",1,IF(I185="Formel: OK",0.5,IF(OR(I185="Falsch",I185="Fehlt"),0,""))))</f>
        <v>-</v>
      </c>
      <c r="K185" s="23" t="str">
        <f t="shared" si="34"/>
        <v/>
      </c>
      <c r="L185" s="24" t="str">
        <f t="shared" si="44"/>
        <v/>
      </c>
      <c r="N185" s="882"/>
      <c r="P185" s="26" t="str">
        <f t="shared" si="39"/>
        <v/>
      </c>
      <c r="Q185" s="27" t="str">
        <f t="shared" si="35"/>
        <v/>
      </c>
      <c r="R185" s="1" t="str">
        <f t="shared" si="36"/>
        <v/>
      </c>
      <c r="S185" s="1" t="str">
        <f t="shared" si="37"/>
        <v/>
      </c>
      <c r="T185" s="28" t="str">
        <f t="shared" si="38"/>
        <v/>
      </c>
    </row>
    <row r="186" spans="1:20" ht="12.75" hidden="1" customHeight="1" x14ac:dyDescent="0.2">
      <c r="B186" s="25" t="str">
        <f>IF(Fin!B43="","-",Fin!B43)</f>
        <v>Bankdarlehen</v>
      </c>
      <c r="C186" s="18"/>
      <c r="D186" s="26">
        <f>IF('[1]E-Fin'!$G43="","",'[1]E-Fin'!$G43)</f>
        <v>-1183.0687339411402</v>
      </c>
      <c r="E186" s="27"/>
      <c r="H186" s="28" t="str">
        <f>IF(Fin!$G43="","",Fin!$G43)</f>
        <v/>
      </c>
      <c r="I186" s="29" t="str">
        <f>IF(AND(P186="",T186=""),"",IF(P186=T186,"Richtig!",IF(T186="","Fehlt","Falsch")))</f>
        <v>Fehlt</v>
      </c>
      <c r="J186" s="30" t="str">
        <f>IF(OR(B186="-",N186="",AND(P186="",T186="")),"-",IF(I186="Richtig!",1,IF(I186="Formel: OK",0.5,IF(OR(I186="Falsch",I186="Fehlt"),0,""))))</f>
        <v>-</v>
      </c>
      <c r="K186" s="23" t="str">
        <f t="shared" si="34"/>
        <v/>
      </c>
      <c r="L186" s="24" t="str">
        <f t="shared" si="44"/>
        <v/>
      </c>
      <c r="N186" s="882"/>
      <c r="P186" s="26">
        <f t="shared" si="39"/>
        <v>-1183.06873</v>
      </c>
      <c r="Q186" s="27" t="str">
        <f t="shared" si="35"/>
        <v/>
      </c>
      <c r="R186" s="1" t="str">
        <f t="shared" si="36"/>
        <v/>
      </c>
      <c r="S186" s="1" t="str">
        <f t="shared" si="37"/>
        <v/>
      </c>
      <c r="T186" s="28" t="str">
        <f t="shared" si="38"/>
        <v/>
      </c>
    </row>
    <row r="187" spans="1:20" ht="12.75" x14ac:dyDescent="0.2">
      <c r="B187" s="25" t="str">
        <f>IF(Fin!B44="","-",Fin!B44)</f>
        <v>Summe</v>
      </c>
      <c r="C187" s="18"/>
      <c r="D187" s="31">
        <f>IF('[1]E-Fin'!$G44="","",'[1]E-Fin'!$G44)</f>
        <v>-3161.1337994164946</v>
      </c>
      <c r="E187" s="27"/>
      <c r="F187" s="32" t="str">
        <f>IF(AND(H183="",H184="",H185="",H186=""),"-",SUM(H183:H186))</f>
        <v>-</v>
      </c>
      <c r="H187" s="33" t="str">
        <f>IF(Fin!$G44="","",Fin!$G44)</f>
        <v/>
      </c>
      <c r="I187" s="29" t="str">
        <f>IF(B187="-","",IF(P187=T187,"Richtig!",IF(AND(P187&lt;&gt;T187,R187=T187),"Formel: OK",IF(T187="","Fehlt","Falsch"))))</f>
        <v>Fehlt</v>
      </c>
      <c r="J187" s="30">
        <f>IF(OR(B187="-",N187="",AND(P187="",T187="")),"-",IF(I187="Richtig!",1,IF(I187="Formel: OK",0.5,IF(OR(I187="Falsch",I187="Fehlt"),0,""))))</f>
        <v>0</v>
      </c>
      <c r="K187" s="23" t="str">
        <f t="shared" si="34"/>
        <v>│</v>
      </c>
      <c r="L187" s="24">
        <f t="shared" si="44"/>
        <v>1</v>
      </c>
      <c r="N187" s="882" t="str">
        <f t="shared" ref="N187:N193" si="45">IF($L$1="","",$L$1)</f>
        <v>x</v>
      </c>
      <c r="P187" s="31">
        <f t="shared" si="39"/>
        <v>-3161.1338000000001</v>
      </c>
      <c r="Q187" s="27" t="str">
        <f t="shared" si="35"/>
        <v/>
      </c>
      <c r="R187" s="32" t="str">
        <f t="shared" si="36"/>
        <v>-</v>
      </c>
      <c r="S187" s="1" t="str">
        <f t="shared" si="37"/>
        <v/>
      </c>
      <c r="T187" s="33" t="str">
        <f t="shared" si="38"/>
        <v/>
      </c>
    </row>
    <row r="188" spans="1:20" ht="12.75" customHeight="1" x14ac:dyDescent="0.2">
      <c r="A188" s="18"/>
      <c r="C188" s="18"/>
      <c r="D188" s="34"/>
      <c r="E188" s="27"/>
      <c r="F188" s="27"/>
      <c r="H188" s="35"/>
      <c r="I188" s="29"/>
      <c r="J188" s="29"/>
      <c r="K188" s="23" t="str">
        <f t="shared" si="34"/>
        <v/>
      </c>
      <c r="L188" s="24" t="str">
        <f t="shared" si="44"/>
        <v/>
      </c>
      <c r="N188" s="883" t="str">
        <f t="shared" si="45"/>
        <v>x</v>
      </c>
      <c r="P188" s="34" t="str">
        <f t="shared" si="39"/>
        <v/>
      </c>
      <c r="Q188" s="27" t="str">
        <f t="shared" si="35"/>
        <v/>
      </c>
      <c r="R188" s="27" t="str">
        <f t="shared" si="36"/>
        <v/>
      </c>
      <c r="S188" s="1" t="str">
        <f t="shared" si="37"/>
        <v/>
      </c>
      <c r="T188" s="35" t="str">
        <f t="shared" si="38"/>
        <v/>
      </c>
    </row>
    <row r="189" spans="1:20" ht="22.5" x14ac:dyDescent="0.2">
      <c r="A189" s="10" t="s">
        <v>609</v>
      </c>
      <c r="B189" s="11"/>
      <c r="C189" s="12"/>
      <c r="D189" s="13" t="s">
        <v>4</v>
      </c>
      <c r="E189" s="13"/>
      <c r="F189" s="14" t="s">
        <v>5</v>
      </c>
      <c r="G189" s="12"/>
      <c r="H189" s="14" t="s">
        <v>6</v>
      </c>
      <c r="I189" s="15" t="str">
        <f>"Fehler"</f>
        <v>Fehler</v>
      </c>
      <c r="J189" s="16" t="s">
        <v>7</v>
      </c>
      <c r="K189" s="16"/>
      <c r="L189" s="16"/>
      <c r="N189" s="881" t="str">
        <f t="shared" si="45"/>
        <v>x</v>
      </c>
      <c r="P189" s="13" t="str">
        <f t="shared" si="39"/>
        <v>Ergebnis</v>
      </c>
      <c r="Q189" s="13" t="str">
        <f t="shared" si="35"/>
        <v/>
      </c>
      <c r="R189" s="14" t="str">
        <f t="shared" si="36"/>
        <v>Formel-
prüfung</v>
      </c>
      <c r="S189" s="12" t="str">
        <f t="shared" si="37"/>
        <v/>
      </c>
      <c r="T189" s="14" t="str">
        <f t="shared" si="38"/>
        <v>Deine Be-rechnung</v>
      </c>
    </row>
    <row r="190" spans="1:20" ht="12.75" x14ac:dyDescent="0.2">
      <c r="A190" s="17" t="s">
        <v>30</v>
      </c>
      <c r="B190" s="17"/>
      <c r="C190" s="18"/>
      <c r="D190" s="19"/>
      <c r="H190" s="20"/>
      <c r="I190" s="21"/>
      <c r="J190" s="21"/>
      <c r="K190" s="23" t="str">
        <f t="shared" si="34"/>
        <v/>
      </c>
      <c r="L190" s="24" t="str">
        <f t="shared" ref="L190:L221" si="46">IF(OR(B190="-",N190="",AND(P190="",T190="")),"",1)</f>
        <v/>
      </c>
      <c r="N190" s="880" t="str">
        <f t="shared" si="45"/>
        <v>x</v>
      </c>
      <c r="P190" s="19" t="str">
        <f t="shared" si="39"/>
        <v/>
      </c>
      <c r="Q190" s="1" t="str">
        <f t="shared" si="35"/>
        <v/>
      </c>
      <c r="R190" s="1" t="str">
        <f t="shared" si="36"/>
        <v/>
      </c>
      <c r="S190" s="1" t="str">
        <f t="shared" si="37"/>
        <v/>
      </c>
      <c r="T190" s="20" t="str">
        <f t="shared" si="38"/>
        <v/>
      </c>
    </row>
    <row r="191" spans="1:20" ht="12.75" x14ac:dyDescent="0.2">
      <c r="B191" s="25" t="s">
        <v>31</v>
      </c>
      <c r="C191" s="18"/>
      <c r="D191" s="26">
        <f>IF('[1]E-Milch'!$F$12="","",'[1]E-Milch'!$F$12)</f>
        <v>3820</v>
      </c>
      <c r="E191" s="27"/>
      <c r="F191" s="32" t="str">
        <f>IF(OR('[1]E-Milch'!D5="",H192=""),"-",'[1]E-Milch'!D5-H192)</f>
        <v>-</v>
      </c>
      <c r="H191" s="28" t="str">
        <f>IF(Milch!$F$12="","",Milch!$F$12)</f>
        <v/>
      </c>
      <c r="I191" s="29" t="str">
        <f>IF(T191=P191,"Richtig!",IF(AND(P192&lt;&gt;"",T191=R191),"Formel: OK",IF(T191="","Fehlt","Falsch")))</f>
        <v>Fehlt</v>
      </c>
      <c r="J191" s="30">
        <f>IF(OR(B191="-",N191="",AND(P191="",T191="")),"-",IF(I191="Richtig!",1,IF(I191="Formel: OK",0.5,IF(OR(I191="Falsch",I191="Fehlt"),0,""))))</f>
        <v>0</v>
      </c>
      <c r="K191" s="23" t="str">
        <f t="shared" si="34"/>
        <v>│</v>
      </c>
      <c r="L191" s="24">
        <f t="shared" si="46"/>
        <v>1</v>
      </c>
      <c r="N191" s="882" t="str">
        <f t="shared" si="45"/>
        <v>x</v>
      </c>
      <c r="P191" s="26">
        <f t="shared" si="39"/>
        <v>3820</v>
      </c>
      <c r="Q191" s="27" t="str">
        <f t="shared" si="35"/>
        <v/>
      </c>
      <c r="R191" s="32" t="str">
        <f t="shared" si="36"/>
        <v>-</v>
      </c>
      <c r="S191" s="1" t="str">
        <f t="shared" si="37"/>
        <v/>
      </c>
      <c r="T191" s="28" t="str">
        <f t="shared" si="38"/>
        <v/>
      </c>
    </row>
    <row r="192" spans="1:20" ht="12.75" x14ac:dyDescent="0.2">
      <c r="B192" s="25" t="s">
        <v>32</v>
      </c>
      <c r="C192" s="18"/>
      <c r="D192" s="26">
        <f>IF('[1]E-Milch'!$H$12="","",'[1]E-Milch'!$H$12)</f>
        <v>1780</v>
      </c>
      <c r="E192" s="27"/>
      <c r="F192" s="27"/>
      <c r="H192" s="28" t="str">
        <f>IF(Milch!$H$12="","",Milch!$H$12)</f>
        <v/>
      </c>
      <c r="I192" s="29" t="str">
        <f>IF(T192=P192,"Richtig!",IF(T192="","Fehlt","Falsch"))</f>
        <v>Fehlt</v>
      </c>
      <c r="J192" s="30">
        <f>IF(OR(B192="-",N192="",AND(P192="",T192="")),"-",IF(I192="Richtig!",1,IF(I192="Formel: OK",0.5,IF(OR(I192="Falsch",I192="Fehlt"),0,""))))</f>
        <v>0</v>
      </c>
      <c r="K192" s="23" t="str">
        <f t="shared" si="34"/>
        <v>│</v>
      </c>
      <c r="L192" s="24">
        <f t="shared" si="46"/>
        <v>1</v>
      </c>
      <c r="N192" s="882" t="str">
        <f t="shared" si="45"/>
        <v>x</v>
      </c>
      <c r="P192" s="26">
        <f t="shared" si="39"/>
        <v>1780</v>
      </c>
      <c r="Q192" s="27" t="str">
        <f t="shared" si="35"/>
        <v/>
      </c>
      <c r="R192" s="27" t="str">
        <f t="shared" si="36"/>
        <v/>
      </c>
      <c r="S192" s="1" t="str">
        <f t="shared" si="37"/>
        <v/>
      </c>
      <c r="T192" s="28" t="str">
        <f t="shared" si="38"/>
        <v/>
      </c>
    </row>
    <row r="193" spans="1:20" ht="12.75" x14ac:dyDescent="0.2">
      <c r="A193" s="18"/>
      <c r="B193" s="18"/>
      <c r="C193" s="18"/>
      <c r="D193" s="34"/>
      <c r="E193" s="27"/>
      <c r="F193" s="27"/>
      <c r="H193" s="35"/>
      <c r="I193" s="29"/>
      <c r="J193" s="29"/>
      <c r="K193" s="23" t="str">
        <f t="shared" si="34"/>
        <v/>
      </c>
      <c r="L193" s="24" t="str">
        <f t="shared" si="46"/>
        <v/>
      </c>
      <c r="N193" s="883" t="str">
        <f t="shared" si="45"/>
        <v>x</v>
      </c>
      <c r="P193" s="34" t="str">
        <f t="shared" si="39"/>
        <v/>
      </c>
      <c r="Q193" s="27" t="str">
        <f t="shared" si="35"/>
        <v/>
      </c>
      <c r="R193" s="27" t="str">
        <f t="shared" si="36"/>
        <v/>
      </c>
      <c r="S193" s="1" t="str">
        <f t="shared" si="37"/>
        <v/>
      </c>
      <c r="T193" s="35" t="str">
        <f t="shared" si="38"/>
        <v/>
      </c>
    </row>
    <row r="194" spans="1:20" ht="12.75" hidden="1" customHeight="1" x14ac:dyDescent="0.2">
      <c r="A194" s="17" t="s">
        <v>33</v>
      </c>
      <c r="B194" s="17"/>
      <c r="C194" s="18"/>
      <c r="D194" s="19"/>
      <c r="H194" s="20"/>
      <c r="I194" s="21"/>
      <c r="J194" s="21"/>
      <c r="K194" s="23" t="str">
        <f t="shared" si="34"/>
        <v/>
      </c>
      <c r="L194" s="24" t="str">
        <f t="shared" si="46"/>
        <v/>
      </c>
      <c r="N194" s="880"/>
      <c r="P194" s="19" t="str">
        <f t="shared" si="39"/>
        <v/>
      </c>
      <c r="Q194" s="1" t="str">
        <f t="shared" si="35"/>
        <v/>
      </c>
      <c r="R194" s="1" t="str">
        <f t="shared" si="36"/>
        <v/>
      </c>
      <c r="S194" s="1" t="str">
        <f t="shared" si="37"/>
        <v/>
      </c>
      <c r="T194" s="20" t="str">
        <f t="shared" si="38"/>
        <v/>
      </c>
    </row>
    <row r="195" spans="1:20" ht="12.75" hidden="1" customHeight="1" x14ac:dyDescent="0.2">
      <c r="A195" s="18"/>
      <c r="B195" s="36" t="str">
        <f>IF('[1]E-Milch'!B25="","-",'[1]E-Milch'!B25)</f>
        <v>Butter</v>
      </c>
      <c r="C195" s="18"/>
      <c r="D195" s="26">
        <f>IF('[1]E-Milch'!$C25="","",'[1]E-Milch'!$C25)</f>
        <v>828</v>
      </c>
      <c r="E195" s="27"/>
      <c r="F195" s="27"/>
      <c r="H195" s="28">
        <f>IF(Milch!$C25="","",Milch!$C25)</f>
        <v>828</v>
      </c>
      <c r="I195" s="29" t="str">
        <f t="shared" ref="I195:I200" si="47">IF(OR(B195="-",AND(P195="",T195="")),"",IF(T195=P195,"Richtig!",IF(T195="","Fehlt","Falsch")))</f>
        <v>Richtig!</v>
      </c>
      <c r="J195" s="30" t="str">
        <f t="shared" ref="J195:J200" si="48">IF(OR(B195="-",N195="",AND(P195="",T195="")),"-",IF(I195="Richtig!",1,IF(I195="Formel: OK",0.5,IF(OR(I195="Falsch",I195="Fehlt"),0,""))))</f>
        <v>-</v>
      </c>
      <c r="K195" s="23" t="str">
        <f t="shared" si="34"/>
        <v/>
      </c>
      <c r="L195" s="24" t="str">
        <f t="shared" si="46"/>
        <v/>
      </c>
      <c r="N195" s="882"/>
      <c r="P195" s="26">
        <f t="shared" si="39"/>
        <v>828</v>
      </c>
      <c r="Q195" s="27" t="str">
        <f t="shared" si="35"/>
        <v/>
      </c>
      <c r="R195" s="27" t="str">
        <f t="shared" si="36"/>
        <v/>
      </c>
      <c r="S195" s="1" t="str">
        <f t="shared" si="37"/>
        <v/>
      </c>
      <c r="T195" s="28">
        <f t="shared" si="38"/>
        <v>828</v>
      </c>
    </row>
    <row r="196" spans="1:20" ht="12.75" hidden="1" customHeight="1" x14ac:dyDescent="0.2">
      <c r="A196" s="18"/>
      <c r="B196" s="36" t="str">
        <f>IF('[1]E-Milch'!B26="","-",'[1]E-Milch'!B26)</f>
        <v>Jogurt</v>
      </c>
      <c r="C196" s="18"/>
      <c r="D196" s="26">
        <f>IF('[1]E-Milch'!$C26="","",'[1]E-Milch'!$C26)</f>
        <v>768</v>
      </c>
      <c r="E196" s="27"/>
      <c r="F196" s="27"/>
      <c r="H196" s="28">
        <f>IF(Milch!$C26="","",Milch!$C26)</f>
        <v>768</v>
      </c>
      <c r="I196" s="29" t="str">
        <f t="shared" si="47"/>
        <v>Richtig!</v>
      </c>
      <c r="J196" s="30" t="str">
        <f t="shared" si="48"/>
        <v>-</v>
      </c>
      <c r="K196" s="23" t="str">
        <f t="shared" si="34"/>
        <v/>
      </c>
      <c r="L196" s="24" t="str">
        <f t="shared" si="46"/>
        <v/>
      </c>
      <c r="N196" s="882"/>
      <c r="P196" s="26">
        <f t="shared" si="39"/>
        <v>768</v>
      </c>
      <c r="Q196" s="27" t="str">
        <f t="shared" si="35"/>
        <v/>
      </c>
      <c r="R196" s="27" t="str">
        <f t="shared" si="36"/>
        <v/>
      </c>
      <c r="S196" s="1" t="str">
        <f t="shared" si="37"/>
        <v/>
      </c>
      <c r="T196" s="28">
        <f t="shared" si="38"/>
        <v>768</v>
      </c>
    </row>
    <row r="197" spans="1:20" ht="12.75" hidden="1" customHeight="1" x14ac:dyDescent="0.2">
      <c r="A197" s="18"/>
      <c r="B197" s="36" t="str">
        <f>IF('[1]E-Milch'!B27="","-",'[1]E-Milch'!B27)</f>
        <v>Topfen aus Vollmilch</v>
      </c>
      <c r="C197" s="18"/>
      <c r="D197" s="26" t="str">
        <f>IF('[1]E-Milch'!$C27="","",'[1]E-Milch'!$C27)</f>
        <v/>
      </c>
      <c r="E197" s="27"/>
      <c r="F197" s="27"/>
      <c r="H197" s="28" t="str">
        <f>IF(Milch!$C27="","",Milch!$C27)</f>
        <v/>
      </c>
      <c r="I197" s="29" t="str">
        <f t="shared" si="47"/>
        <v/>
      </c>
      <c r="J197" s="30" t="str">
        <f t="shared" si="48"/>
        <v>-</v>
      </c>
      <c r="K197" s="23" t="str">
        <f t="shared" si="34"/>
        <v/>
      </c>
      <c r="L197" s="24" t="str">
        <f t="shared" si="46"/>
        <v/>
      </c>
      <c r="N197" s="882"/>
      <c r="P197" s="26" t="str">
        <f t="shared" si="39"/>
        <v/>
      </c>
      <c r="Q197" s="27" t="str">
        <f t="shared" si="35"/>
        <v/>
      </c>
      <c r="R197" s="27" t="str">
        <f t="shared" si="36"/>
        <v/>
      </c>
      <c r="S197" s="1" t="str">
        <f t="shared" si="37"/>
        <v/>
      </c>
      <c r="T197" s="28" t="str">
        <f t="shared" si="38"/>
        <v/>
      </c>
    </row>
    <row r="198" spans="1:20" ht="12.75" hidden="1" customHeight="1" x14ac:dyDescent="0.2">
      <c r="A198" s="18"/>
      <c r="B198" s="36" t="str">
        <f>IF('[1]E-Milch'!B28="","-",'[1]E-Milch'!B28)</f>
        <v>Käse</v>
      </c>
      <c r="C198" s="18"/>
      <c r="D198" s="26">
        <f>IF('[1]E-Milch'!$C28="","",'[1]E-Milch'!$C28)</f>
        <v>238</v>
      </c>
      <c r="E198" s="27"/>
      <c r="F198" s="27"/>
      <c r="H198" s="28">
        <f>IF(Milch!$C28="","",Milch!$C28)</f>
        <v>238</v>
      </c>
      <c r="I198" s="29" t="str">
        <f t="shared" si="47"/>
        <v>Richtig!</v>
      </c>
      <c r="J198" s="30" t="str">
        <f t="shared" si="48"/>
        <v>-</v>
      </c>
      <c r="K198" s="23" t="str">
        <f t="shared" si="34"/>
        <v/>
      </c>
      <c r="L198" s="24" t="str">
        <f t="shared" si="46"/>
        <v/>
      </c>
      <c r="N198" s="882"/>
      <c r="P198" s="26">
        <f t="shared" si="39"/>
        <v>238</v>
      </c>
      <c r="Q198" s="27" t="str">
        <f t="shared" si="35"/>
        <v/>
      </c>
      <c r="R198" s="27" t="str">
        <f t="shared" si="36"/>
        <v/>
      </c>
      <c r="S198" s="1" t="str">
        <f t="shared" si="37"/>
        <v/>
      </c>
      <c r="T198" s="28">
        <f t="shared" si="38"/>
        <v>238</v>
      </c>
    </row>
    <row r="199" spans="1:20" ht="12.75" hidden="1" customHeight="1" x14ac:dyDescent="0.2">
      <c r="A199" s="18"/>
      <c r="B199" s="36" t="str">
        <f>IF('[1]E-Milch'!B29="","-",'[1]E-Milch'!B29)</f>
        <v>-</v>
      </c>
      <c r="C199" s="18"/>
      <c r="D199" s="26" t="str">
        <f>IF('[1]E-Milch'!$C29="","",'[1]E-Milch'!$C29)</f>
        <v/>
      </c>
      <c r="E199" s="27"/>
      <c r="F199" s="27"/>
      <c r="H199" s="28" t="str">
        <f>IF(Milch!$C29="","",Milch!$C29)</f>
        <v/>
      </c>
      <c r="I199" s="29" t="str">
        <f t="shared" si="47"/>
        <v/>
      </c>
      <c r="J199" s="30" t="str">
        <f t="shared" si="48"/>
        <v>-</v>
      </c>
      <c r="K199" s="23" t="str">
        <f t="shared" si="34"/>
        <v/>
      </c>
      <c r="L199" s="24" t="str">
        <f t="shared" si="46"/>
        <v/>
      </c>
      <c r="N199" s="882"/>
      <c r="P199" s="26" t="str">
        <f t="shared" si="39"/>
        <v/>
      </c>
      <c r="Q199" s="27" t="str">
        <f t="shared" si="35"/>
        <v/>
      </c>
      <c r="R199" s="27" t="str">
        <f t="shared" si="36"/>
        <v/>
      </c>
      <c r="S199" s="1" t="str">
        <f t="shared" si="37"/>
        <v/>
      </c>
      <c r="T199" s="28" t="str">
        <f t="shared" si="38"/>
        <v/>
      </c>
    </row>
    <row r="200" spans="1:20" ht="12.75" hidden="1" customHeight="1" x14ac:dyDescent="0.2">
      <c r="A200" s="18"/>
      <c r="B200" s="36" t="str">
        <f>IF('[1]E-Milch'!B30="","-",'[1]E-Milch'!B30)</f>
        <v>-</v>
      </c>
      <c r="C200" s="18"/>
      <c r="D200" s="26" t="str">
        <f>IF('[1]E-Milch'!$C30="","",'[1]E-Milch'!$C30)</f>
        <v/>
      </c>
      <c r="E200" s="27"/>
      <c r="F200" s="27"/>
      <c r="H200" s="28" t="str">
        <f>IF(Milch!$C30="","",Milch!$C30)</f>
        <v/>
      </c>
      <c r="I200" s="29" t="str">
        <f t="shared" si="47"/>
        <v/>
      </c>
      <c r="J200" s="30" t="str">
        <f t="shared" si="48"/>
        <v>-</v>
      </c>
      <c r="K200" s="23" t="str">
        <f t="shared" si="34"/>
        <v/>
      </c>
      <c r="L200" s="24" t="str">
        <f t="shared" si="46"/>
        <v/>
      </c>
      <c r="N200" s="882"/>
      <c r="P200" s="26" t="str">
        <f t="shared" si="39"/>
        <v/>
      </c>
      <c r="Q200" s="27" t="str">
        <f t="shared" si="35"/>
        <v/>
      </c>
      <c r="R200" s="27" t="str">
        <f t="shared" si="36"/>
        <v/>
      </c>
      <c r="S200" s="1" t="str">
        <f t="shared" si="37"/>
        <v/>
      </c>
      <c r="T200" s="28" t="str">
        <f t="shared" si="38"/>
        <v/>
      </c>
    </row>
    <row r="201" spans="1:20" ht="12.75" hidden="1" customHeight="1" x14ac:dyDescent="0.2">
      <c r="A201" s="18"/>
      <c r="B201" s="18"/>
      <c r="C201" s="18"/>
      <c r="D201" s="19"/>
      <c r="H201" s="20"/>
      <c r="I201" s="21"/>
      <c r="J201" s="21"/>
      <c r="K201" s="23" t="str">
        <f t="shared" si="34"/>
        <v/>
      </c>
      <c r="L201" s="24" t="str">
        <f t="shared" si="46"/>
        <v/>
      </c>
      <c r="N201" s="883"/>
      <c r="P201" s="19" t="str">
        <f t="shared" si="39"/>
        <v/>
      </c>
      <c r="Q201" s="1" t="str">
        <f t="shared" si="35"/>
        <v/>
      </c>
      <c r="R201" s="1" t="str">
        <f t="shared" si="36"/>
        <v/>
      </c>
      <c r="S201" s="1" t="str">
        <f t="shared" si="37"/>
        <v/>
      </c>
      <c r="T201" s="20" t="str">
        <f t="shared" si="38"/>
        <v/>
      </c>
    </row>
    <row r="202" spans="1:20" ht="12.75" x14ac:dyDescent="0.2">
      <c r="A202" s="17" t="s">
        <v>14</v>
      </c>
      <c r="B202" s="17" t="s">
        <v>34</v>
      </c>
      <c r="C202" s="18"/>
      <c r="D202" s="19"/>
      <c r="H202" s="20"/>
      <c r="I202" s="21"/>
      <c r="J202" s="21"/>
      <c r="K202" s="23" t="str">
        <f t="shared" ref="K202:K265" si="49">IF(L202="","","│")</f>
        <v/>
      </c>
      <c r="L202" s="24" t="str">
        <f t="shared" si="46"/>
        <v/>
      </c>
      <c r="N202" s="880" t="str">
        <f>IF($L$1="","",$L$1)</f>
        <v>x</v>
      </c>
      <c r="P202" s="19" t="str">
        <f t="shared" si="39"/>
        <v/>
      </c>
      <c r="Q202" s="1" t="str">
        <f t="shared" ref="Q202:Q265" si="50">IF(ISTEXT(E202),E202,IF(E202="","",ROUND(E202,$R$1)))</f>
        <v/>
      </c>
      <c r="R202" s="1" t="str">
        <f t="shared" ref="R202:R265" si="51">IF(ISTEXT(F202),F202,IF(F202="","",ROUND(F202,$R$1)))</f>
        <v/>
      </c>
      <c r="S202" s="1" t="str">
        <f t="shared" ref="S202:S265" si="52">IF(ISTEXT(G202),G202,IF(G202="","",ROUND(G202,$R$1)))</f>
        <v/>
      </c>
      <c r="T202" s="20" t="str">
        <f t="shared" ref="T202:T265" si="53">IF(ISTEXT(H202),H202,IF(H202="","",ROUND(H202,$R$1)))</f>
        <v/>
      </c>
    </row>
    <row r="203" spans="1:20" ht="12.75" x14ac:dyDescent="0.2">
      <c r="A203" s="18"/>
      <c r="B203" s="36" t="str">
        <f>IF('[1]E-Milch'!B42="","-",'[1]E-Milch'!B42)</f>
        <v>Molkereigeld</v>
      </c>
      <c r="C203" s="18"/>
      <c r="D203" s="26">
        <f>IF('[1]E-Milch'!$F42="","",'[1]E-Milch'!$F42)</f>
        <v>1047.876923076923</v>
      </c>
      <c r="E203" s="27"/>
      <c r="F203" s="27"/>
      <c r="H203" s="28" t="str">
        <f>IF(Milch!$F42="","",Milch!$F42)</f>
        <v/>
      </c>
      <c r="I203" s="29" t="str">
        <f t="shared" ref="I203:I212" si="54">IF(OR(B203="-",AND(P203="",T203="")),"",IF(T203=P203,"Richtig!",IF(T203="","Fehlt","Falsch")))</f>
        <v>Fehlt</v>
      </c>
      <c r="J203" s="30">
        <f t="shared" ref="J203:J216" si="55">IF(OR(B203="-",N203="",AND(P203="",T203="")),"-",IF(I203="Richtig!",1,IF(I203="Formel: OK",0.5,IF(OR(I203="Falsch",I203="Fehlt"),0,""))))</f>
        <v>0</v>
      </c>
      <c r="K203" s="23" t="str">
        <f t="shared" si="49"/>
        <v>│</v>
      </c>
      <c r="L203" s="24">
        <f t="shared" si="46"/>
        <v>1</v>
      </c>
      <c r="N203" s="882" t="str">
        <f>IF($L$1="","",$L$1)</f>
        <v>x</v>
      </c>
      <c r="P203" s="26">
        <f t="shared" ref="P203:P266" si="56">IF(ISTEXT(D203),D203,IF(D203="","",ROUND(D203,$R$1)))</f>
        <v>1047.8769199999999</v>
      </c>
      <c r="Q203" s="27" t="str">
        <f t="shared" si="50"/>
        <v/>
      </c>
      <c r="R203" s="27" t="str">
        <f t="shared" si="51"/>
        <v/>
      </c>
      <c r="S203" s="1" t="str">
        <f t="shared" si="52"/>
        <v/>
      </c>
      <c r="T203" s="28" t="str">
        <f t="shared" si="53"/>
        <v/>
      </c>
    </row>
    <row r="204" spans="1:20" ht="12.75" x14ac:dyDescent="0.2">
      <c r="A204" s="18"/>
      <c r="B204" s="36" t="str">
        <f>IF('[1]E-Milch'!B43="","-",'[1]E-Milch'!B43)</f>
        <v>Ab-Hof</v>
      </c>
      <c r="C204" s="18"/>
      <c r="D204" s="26">
        <f>IF('[1]E-Milch'!$F43="","",'[1]E-Milch'!$F43)</f>
        <v>161.28000000000003</v>
      </c>
      <c r="E204" s="27"/>
      <c r="F204" s="27"/>
      <c r="H204" s="28" t="str">
        <f>IF(Milch!$F43="","",Milch!$F43)</f>
        <v/>
      </c>
      <c r="I204" s="29" t="str">
        <f t="shared" si="54"/>
        <v>Fehlt</v>
      </c>
      <c r="J204" s="30">
        <f t="shared" si="55"/>
        <v>0</v>
      </c>
      <c r="K204" s="23" t="str">
        <f t="shared" si="49"/>
        <v>│</v>
      </c>
      <c r="L204" s="24">
        <f t="shared" si="46"/>
        <v>1</v>
      </c>
      <c r="N204" s="882" t="str">
        <f>IF($L$1="","",$L$1)</f>
        <v>x</v>
      </c>
      <c r="P204" s="26">
        <f t="shared" si="56"/>
        <v>161.28</v>
      </c>
      <c r="Q204" s="27" t="str">
        <f t="shared" si="50"/>
        <v/>
      </c>
      <c r="R204" s="27" t="str">
        <f t="shared" si="51"/>
        <v/>
      </c>
      <c r="S204" s="1" t="str">
        <f t="shared" si="52"/>
        <v/>
      </c>
      <c r="T204" s="28" t="str">
        <f t="shared" si="53"/>
        <v/>
      </c>
    </row>
    <row r="205" spans="1:20" ht="12.75" x14ac:dyDescent="0.2">
      <c r="A205" s="18"/>
      <c r="B205" s="36" t="str">
        <f>IF('[1]E-Milch'!B44="","-",'[1]E-Milch'!B44)</f>
        <v>Eigen- u. Gästeverbrauch</v>
      </c>
      <c r="C205" s="18"/>
      <c r="D205" s="26">
        <f>IF('[1]E-Milch'!$F44="","",'[1]E-Milch'!$F44)</f>
        <v>34.720000000000006</v>
      </c>
      <c r="E205" s="27"/>
      <c r="F205" s="27"/>
      <c r="H205" s="28" t="str">
        <f>IF(Milch!$F44="","",Milch!$F44)</f>
        <v/>
      </c>
      <c r="I205" s="29" t="str">
        <f t="shared" si="54"/>
        <v>Fehlt</v>
      </c>
      <c r="J205" s="30">
        <f t="shared" si="55"/>
        <v>0</v>
      </c>
      <c r="K205" s="23" t="str">
        <f t="shared" si="49"/>
        <v>│</v>
      </c>
      <c r="L205" s="24">
        <f t="shared" si="46"/>
        <v>1</v>
      </c>
      <c r="N205" s="882" t="str">
        <f>IF($L$1="","",$L$1)</f>
        <v>x</v>
      </c>
      <c r="P205" s="26">
        <f t="shared" si="56"/>
        <v>34.72</v>
      </c>
      <c r="Q205" s="27" t="str">
        <f t="shared" si="50"/>
        <v/>
      </c>
      <c r="R205" s="27" t="str">
        <f t="shared" si="51"/>
        <v/>
      </c>
      <c r="S205" s="1" t="str">
        <f t="shared" si="52"/>
        <v/>
      </c>
      <c r="T205" s="28" t="str">
        <f t="shared" si="53"/>
        <v/>
      </c>
    </row>
    <row r="206" spans="1:20" ht="12.75" hidden="1" customHeight="1" x14ac:dyDescent="0.2">
      <c r="A206" s="18"/>
      <c r="B206" s="36" t="str">
        <f>IF('[1]E-Milch'!B45="","-",'[1]E-Milch'!B45)</f>
        <v>Butter</v>
      </c>
      <c r="C206" s="18"/>
      <c r="D206" s="26">
        <f>IF('[1]E-Milch'!$F45="","",'[1]E-Milch'!$F45)</f>
        <v>200.52</v>
      </c>
      <c r="E206" s="27"/>
      <c r="F206" s="27"/>
      <c r="H206" s="28">
        <f>IF(Milch!$F45="","",Milch!$F45)</f>
        <v>200.52</v>
      </c>
      <c r="I206" s="29" t="str">
        <f t="shared" si="54"/>
        <v>Richtig!</v>
      </c>
      <c r="J206" s="30" t="str">
        <f t="shared" si="55"/>
        <v>-</v>
      </c>
      <c r="K206" s="23" t="str">
        <f t="shared" si="49"/>
        <v/>
      </c>
      <c r="L206" s="24" t="str">
        <f t="shared" si="46"/>
        <v/>
      </c>
      <c r="N206" s="882"/>
      <c r="P206" s="26">
        <f t="shared" si="56"/>
        <v>200.52</v>
      </c>
      <c r="Q206" s="27" t="str">
        <f t="shared" si="50"/>
        <v/>
      </c>
      <c r="R206" s="27" t="str">
        <f t="shared" si="51"/>
        <v/>
      </c>
      <c r="S206" s="1" t="str">
        <f t="shared" si="52"/>
        <v/>
      </c>
      <c r="T206" s="28">
        <f t="shared" si="53"/>
        <v>200.52</v>
      </c>
    </row>
    <row r="207" spans="1:20" ht="12.75" hidden="1" customHeight="1" x14ac:dyDescent="0.2">
      <c r="A207" s="18"/>
      <c r="B207" s="36" t="str">
        <f>IF('[1]E-Milch'!B46="","-",'[1]E-Milch'!B46)</f>
        <v>Jogurt</v>
      </c>
      <c r="C207" s="18"/>
      <c r="D207" s="26">
        <f>IF('[1]E-Milch'!$F46="","",'[1]E-Milch'!$F46)</f>
        <v>1359.3600000000001</v>
      </c>
      <c r="E207" s="27"/>
      <c r="F207" s="27"/>
      <c r="H207" s="28">
        <f>IF(Milch!$F46="","",Milch!$F46)</f>
        <v>1359.3600000000001</v>
      </c>
      <c r="I207" s="29" t="str">
        <f t="shared" si="54"/>
        <v>Richtig!</v>
      </c>
      <c r="J207" s="30" t="str">
        <f t="shared" si="55"/>
        <v>-</v>
      </c>
      <c r="K207" s="23" t="str">
        <f t="shared" si="49"/>
        <v/>
      </c>
      <c r="L207" s="24" t="str">
        <f t="shared" si="46"/>
        <v/>
      </c>
      <c r="N207" s="882"/>
      <c r="P207" s="26">
        <f t="shared" si="56"/>
        <v>1359.36</v>
      </c>
      <c r="Q207" s="27" t="str">
        <f t="shared" si="50"/>
        <v/>
      </c>
      <c r="R207" s="27" t="str">
        <f t="shared" si="51"/>
        <v/>
      </c>
      <c r="S207" s="1" t="str">
        <f t="shared" si="52"/>
        <v/>
      </c>
      <c r="T207" s="28">
        <f t="shared" si="53"/>
        <v>1359.36</v>
      </c>
    </row>
    <row r="208" spans="1:20" ht="12.75" hidden="1" customHeight="1" x14ac:dyDescent="0.2">
      <c r="A208" s="18"/>
      <c r="B208" s="36" t="str">
        <f>IF('[1]E-Milch'!B47="","-",'[1]E-Milch'!B47)</f>
        <v>Topfen aus Vollmilch</v>
      </c>
      <c r="C208" s="18"/>
      <c r="D208" s="26" t="str">
        <f>IF('[1]E-Milch'!$F47="","",'[1]E-Milch'!$F47)</f>
        <v/>
      </c>
      <c r="E208" s="27"/>
      <c r="F208" s="27"/>
      <c r="H208" s="28" t="str">
        <f>IF(Milch!$F47="","",Milch!$F47)</f>
        <v/>
      </c>
      <c r="I208" s="29" t="str">
        <f t="shared" si="54"/>
        <v/>
      </c>
      <c r="J208" s="30" t="str">
        <f t="shared" si="55"/>
        <v>-</v>
      </c>
      <c r="K208" s="23" t="str">
        <f t="shared" si="49"/>
        <v/>
      </c>
      <c r="L208" s="24" t="str">
        <f t="shared" si="46"/>
        <v/>
      </c>
      <c r="N208" s="882"/>
      <c r="P208" s="26" t="str">
        <f t="shared" si="56"/>
        <v/>
      </c>
      <c r="Q208" s="27" t="str">
        <f t="shared" si="50"/>
        <v/>
      </c>
      <c r="R208" s="27" t="str">
        <f t="shared" si="51"/>
        <v/>
      </c>
      <c r="S208" s="1" t="str">
        <f t="shared" si="52"/>
        <v/>
      </c>
      <c r="T208" s="28" t="str">
        <f t="shared" si="53"/>
        <v/>
      </c>
    </row>
    <row r="209" spans="1:20" ht="12.75" x14ac:dyDescent="0.2">
      <c r="A209" s="18"/>
      <c r="B209" s="36" t="str">
        <f>IF('[1]E-Milch'!B48="","-",'[1]E-Milch'!B48)</f>
        <v>Käse</v>
      </c>
      <c r="C209" s="18"/>
      <c r="D209" s="26">
        <f>IF('[1]E-Milch'!$F48="","",'[1]E-Milch'!$F48)</f>
        <v>213.64</v>
      </c>
      <c r="E209" s="27"/>
      <c r="F209" s="27"/>
      <c r="H209" s="28" t="str">
        <f>IF(Milch!$F48="","",Milch!$F48)</f>
        <v/>
      </c>
      <c r="I209" s="29" t="str">
        <f t="shared" si="54"/>
        <v>Fehlt</v>
      </c>
      <c r="J209" s="30">
        <f t="shared" si="55"/>
        <v>0</v>
      </c>
      <c r="K209" s="23" t="str">
        <f t="shared" si="49"/>
        <v>│</v>
      </c>
      <c r="L209" s="24">
        <f t="shared" si="46"/>
        <v>1</v>
      </c>
      <c r="N209" s="882" t="str">
        <f>IF($L$1="","",$L$1)</f>
        <v>x</v>
      </c>
      <c r="P209" s="26">
        <f t="shared" si="56"/>
        <v>213.64</v>
      </c>
      <c r="Q209" s="27" t="str">
        <f t="shared" si="50"/>
        <v/>
      </c>
      <c r="R209" s="27" t="str">
        <f t="shared" si="51"/>
        <v/>
      </c>
      <c r="S209" s="1" t="str">
        <f t="shared" si="52"/>
        <v/>
      </c>
      <c r="T209" s="28" t="str">
        <f t="shared" si="53"/>
        <v/>
      </c>
    </row>
    <row r="210" spans="1:20" ht="12.75" hidden="1" customHeight="1" x14ac:dyDescent="0.2">
      <c r="A210" s="18"/>
      <c r="B210" s="36" t="str">
        <f>IF('[1]E-Milch'!B49="","-",'[1]E-Milch'!B49)</f>
        <v>-</v>
      </c>
      <c r="C210" s="18"/>
      <c r="D210" s="26" t="str">
        <f>IF('[1]E-Milch'!$F49="","",'[1]E-Milch'!$F49)</f>
        <v/>
      </c>
      <c r="E210" s="27"/>
      <c r="F210" s="27"/>
      <c r="H210" s="28" t="str">
        <f>IF(Milch!$F49="","",Milch!$F49)</f>
        <v/>
      </c>
      <c r="I210" s="29" t="str">
        <f t="shared" si="54"/>
        <v/>
      </c>
      <c r="J210" s="30" t="str">
        <f t="shared" si="55"/>
        <v>-</v>
      </c>
      <c r="K210" s="23" t="str">
        <f t="shared" si="49"/>
        <v/>
      </c>
      <c r="L210" s="24" t="str">
        <f t="shared" si="46"/>
        <v/>
      </c>
      <c r="N210" s="882"/>
      <c r="P210" s="26" t="str">
        <f t="shared" si="56"/>
        <v/>
      </c>
      <c r="Q210" s="27" t="str">
        <f t="shared" si="50"/>
        <v/>
      </c>
      <c r="R210" s="27" t="str">
        <f t="shared" si="51"/>
        <v/>
      </c>
      <c r="S210" s="1" t="str">
        <f t="shared" si="52"/>
        <v/>
      </c>
      <c r="T210" s="28" t="str">
        <f t="shared" si="53"/>
        <v/>
      </c>
    </row>
    <row r="211" spans="1:20" ht="12.75" hidden="1" customHeight="1" x14ac:dyDescent="0.2">
      <c r="A211" s="18"/>
      <c r="B211" s="36" t="str">
        <f>IF('[1]E-Milch'!B50="","-",'[1]E-Milch'!B50)</f>
        <v>-</v>
      </c>
      <c r="C211" s="18"/>
      <c r="D211" s="26" t="str">
        <f>IF('[1]E-Milch'!$F50="","",'[1]E-Milch'!$F50)</f>
        <v/>
      </c>
      <c r="E211" s="27"/>
      <c r="F211" s="27"/>
      <c r="H211" s="28" t="str">
        <f>IF(Milch!$F50="","",Milch!$F50)</f>
        <v/>
      </c>
      <c r="I211" s="29" t="str">
        <f t="shared" si="54"/>
        <v/>
      </c>
      <c r="J211" s="30" t="str">
        <f t="shared" si="55"/>
        <v>-</v>
      </c>
      <c r="K211" s="23" t="str">
        <f t="shared" si="49"/>
        <v/>
      </c>
      <c r="L211" s="24" t="str">
        <f t="shared" si="46"/>
        <v/>
      </c>
      <c r="N211" s="882"/>
      <c r="P211" s="26" t="str">
        <f t="shared" si="56"/>
        <v/>
      </c>
      <c r="Q211" s="27" t="str">
        <f t="shared" si="50"/>
        <v/>
      </c>
      <c r="R211" s="27" t="str">
        <f t="shared" si="51"/>
        <v/>
      </c>
      <c r="S211" s="1" t="str">
        <f t="shared" si="52"/>
        <v/>
      </c>
      <c r="T211" s="28" t="str">
        <f t="shared" si="53"/>
        <v/>
      </c>
    </row>
    <row r="212" spans="1:20" ht="12.75" hidden="1" customHeight="1" x14ac:dyDescent="0.2">
      <c r="A212" s="18"/>
      <c r="B212" s="36" t="str">
        <f>IF('[1]E-Milch'!B51="","-",'[1]E-Milch'!B51)</f>
        <v>Magermilch</v>
      </c>
      <c r="C212" s="18"/>
      <c r="D212" s="26" t="str">
        <f>IF('[1]E-Milch'!$F51="","",'[1]E-Milch'!$F51)</f>
        <v/>
      </c>
      <c r="E212" s="27"/>
      <c r="F212" s="27"/>
      <c r="H212" s="28">
        <f>IF(Milch!$F51="","",Milch!$F51)</f>
        <v>0</v>
      </c>
      <c r="I212" s="29" t="str">
        <f t="shared" si="54"/>
        <v>Falsch</v>
      </c>
      <c r="J212" s="30" t="str">
        <f t="shared" si="55"/>
        <v>-</v>
      </c>
      <c r="K212" s="23" t="str">
        <f t="shared" si="49"/>
        <v/>
      </c>
      <c r="L212" s="24" t="str">
        <f t="shared" si="46"/>
        <v/>
      </c>
      <c r="N212" s="882"/>
      <c r="P212" s="26" t="str">
        <f t="shared" si="56"/>
        <v/>
      </c>
      <c r="Q212" s="27" t="str">
        <f t="shared" si="50"/>
        <v/>
      </c>
      <c r="R212" s="27" t="str">
        <f t="shared" si="51"/>
        <v/>
      </c>
      <c r="S212" s="1" t="str">
        <f t="shared" si="52"/>
        <v/>
      </c>
      <c r="T212" s="28">
        <f t="shared" si="53"/>
        <v>0</v>
      </c>
    </row>
    <row r="213" spans="1:20" ht="12.75" x14ac:dyDescent="0.2">
      <c r="A213" s="18"/>
      <c r="B213" s="36" t="str">
        <f>IF('[1]E-Milch'!B52="","-",'[1]E-Milch'!B52)</f>
        <v>Summe Milcherlös</v>
      </c>
      <c r="C213" s="18"/>
      <c r="D213" s="31">
        <f>IF('[1]E-Milch'!$F52="","",'[1]E-Milch'!$F52)</f>
        <v>3017.396923076923</v>
      </c>
      <c r="E213" s="27"/>
      <c r="F213" s="32">
        <f>SUM(H203:H212)</f>
        <v>1559.88</v>
      </c>
      <c r="H213" s="33" t="str">
        <f>IF(Milch!$F52="","",Milch!$F52)</f>
        <v/>
      </c>
      <c r="I213" s="29" t="str">
        <f>IF(B213="-","",IF(T213=P213,"Richtig!",IF(AND(P213&lt;&gt;T213,R213=T213),"Formel: OK",IF(T213="","Fehlt","Falsch"))))</f>
        <v>Fehlt</v>
      </c>
      <c r="J213" s="30">
        <f t="shared" si="55"/>
        <v>0</v>
      </c>
      <c r="K213" s="23" t="str">
        <f t="shared" si="49"/>
        <v>│</v>
      </c>
      <c r="L213" s="24">
        <f t="shared" si="46"/>
        <v>1</v>
      </c>
      <c r="N213" s="882" t="str">
        <f t="shared" ref="N213:N223" si="57">IF($L$1="","",$L$1)</f>
        <v>x</v>
      </c>
      <c r="P213" s="31">
        <f t="shared" si="56"/>
        <v>3017.3969200000001</v>
      </c>
      <c r="Q213" s="27" t="str">
        <f t="shared" si="50"/>
        <v/>
      </c>
      <c r="R213" s="32">
        <f t="shared" si="51"/>
        <v>1559.88</v>
      </c>
      <c r="S213" s="1" t="str">
        <f t="shared" si="52"/>
        <v/>
      </c>
      <c r="T213" s="33" t="str">
        <f t="shared" si="53"/>
        <v/>
      </c>
    </row>
    <row r="214" spans="1:20" ht="12.75" x14ac:dyDescent="0.2">
      <c r="A214" s="18"/>
      <c r="B214" s="36" t="str">
        <f>IF('[1]E-Milch'!B53="","-",'[1]E-Milch'!B53)</f>
        <v>Altkuherlös</v>
      </c>
      <c r="C214" s="18"/>
      <c r="D214" s="26">
        <f>IF('[1]E-Milch'!$F53="","",'[1]E-Milch'!$F53)</f>
        <v>57.04</v>
      </c>
      <c r="E214" s="27"/>
      <c r="F214" s="27"/>
      <c r="H214" s="28" t="str">
        <f>IF(Milch!$F53="","",Milch!$F53)</f>
        <v/>
      </c>
      <c r="I214" s="29" t="str">
        <f>IF(B214="-","",IF(T214=P214,"Richtig!",IF(T214="","Fehlt","Falsch")))</f>
        <v>Fehlt</v>
      </c>
      <c r="J214" s="30">
        <f t="shared" si="55"/>
        <v>0</v>
      </c>
      <c r="K214" s="23" t="str">
        <f t="shared" si="49"/>
        <v>│</v>
      </c>
      <c r="L214" s="24">
        <f t="shared" si="46"/>
        <v>1</v>
      </c>
      <c r="N214" s="882" t="str">
        <f t="shared" si="57"/>
        <v>x</v>
      </c>
      <c r="P214" s="26">
        <f t="shared" si="56"/>
        <v>57.04</v>
      </c>
      <c r="Q214" s="27" t="str">
        <f t="shared" si="50"/>
        <v/>
      </c>
      <c r="R214" s="27" t="str">
        <f t="shared" si="51"/>
        <v/>
      </c>
      <c r="S214" s="1" t="str">
        <f t="shared" si="52"/>
        <v/>
      </c>
      <c r="T214" s="28" t="str">
        <f t="shared" si="53"/>
        <v/>
      </c>
    </row>
    <row r="215" spans="1:20" ht="12.75" x14ac:dyDescent="0.2">
      <c r="A215" s="18"/>
      <c r="B215" s="36" t="str">
        <f>IF('[1]E-Milch'!B54="","-",'[1]E-Milch'!B54)</f>
        <v>Kälbererlös</v>
      </c>
      <c r="C215" s="18"/>
      <c r="D215" s="26">
        <f>IF('[1]E-Milch'!$F54="","",'[1]E-Milch'!$F54)</f>
        <v>219.024</v>
      </c>
      <c r="E215" s="27"/>
      <c r="F215" s="27"/>
      <c r="H215" s="28" t="str">
        <f>IF(Milch!$F54="","",Milch!$F54)</f>
        <v/>
      </c>
      <c r="I215" s="29" t="str">
        <f>IF(B215="-","",IF(T215=P215,"Richtig!",IF(T215="","Fehlt","Falsch")))</f>
        <v>Fehlt</v>
      </c>
      <c r="J215" s="30">
        <f t="shared" si="55"/>
        <v>0</v>
      </c>
      <c r="K215" s="23" t="str">
        <f t="shared" si="49"/>
        <v>│</v>
      </c>
      <c r="L215" s="24">
        <f t="shared" si="46"/>
        <v>1</v>
      </c>
      <c r="N215" s="882" t="str">
        <f t="shared" si="57"/>
        <v>x</v>
      </c>
      <c r="P215" s="26">
        <f t="shared" si="56"/>
        <v>219.024</v>
      </c>
      <c r="Q215" s="27" t="str">
        <f t="shared" si="50"/>
        <v/>
      </c>
      <c r="R215" s="27" t="str">
        <f t="shared" si="51"/>
        <v/>
      </c>
      <c r="S215" s="1" t="str">
        <f t="shared" si="52"/>
        <v/>
      </c>
      <c r="T215" s="28" t="str">
        <f t="shared" si="53"/>
        <v/>
      </c>
    </row>
    <row r="216" spans="1:20" ht="12.75" x14ac:dyDescent="0.2">
      <c r="A216" s="18"/>
      <c r="B216" s="36" t="str">
        <f>IF('[1]E-Milch'!B55="","-",'[1]E-Milch'!B55)</f>
        <v>SUMME ROHERTRAG</v>
      </c>
      <c r="C216" s="18"/>
      <c r="D216" s="31">
        <f>IF('[1]E-Milch'!$F55="","",'[1]E-Milch'!$F55)</f>
        <v>3293.4609230769229</v>
      </c>
      <c r="E216" s="27"/>
      <c r="F216" s="32">
        <f>SUM(F213,H214:H215)</f>
        <v>1559.88</v>
      </c>
      <c r="H216" s="33" t="str">
        <f>IF(Milch!$F55="","",Milch!$F55)</f>
        <v/>
      </c>
      <c r="I216" s="29" t="str">
        <f>IF(B216="-","",IF(T216=P216,"Richtig!",IF(AND(P216&lt;&gt;T216,R216=T216),"Formel: OK",IF(T216="","Fehlt","Falsch"))))</f>
        <v>Fehlt</v>
      </c>
      <c r="J216" s="30">
        <f t="shared" si="55"/>
        <v>0</v>
      </c>
      <c r="K216" s="23" t="str">
        <f t="shared" si="49"/>
        <v>│</v>
      </c>
      <c r="L216" s="24">
        <f t="shared" si="46"/>
        <v>1</v>
      </c>
      <c r="N216" s="882" t="str">
        <f t="shared" si="57"/>
        <v>x</v>
      </c>
      <c r="P216" s="31">
        <f t="shared" si="56"/>
        <v>3293.46092</v>
      </c>
      <c r="Q216" s="27" t="str">
        <f t="shared" si="50"/>
        <v/>
      </c>
      <c r="R216" s="32">
        <f t="shared" si="51"/>
        <v>1559.88</v>
      </c>
      <c r="S216" s="1" t="str">
        <f t="shared" si="52"/>
        <v/>
      </c>
      <c r="T216" s="33" t="str">
        <f t="shared" si="53"/>
        <v/>
      </c>
    </row>
    <row r="217" spans="1:20" ht="12.75" x14ac:dyDescent="0.2">
      <c r="A217" s="18"/>
      <c r="B217" s="18"/>
      <c r="C217" s="18"/>
      <c r="D217" s="19"/>
      <c r="H217" s="20"/>
      <c r="I217" s="21"/>
      <c r="J217" s="21"/>
      <c r="K217" s="23" t="str">
        <f t="shared" si="49"/>
        <v/>
      </c>
      <c r="L217" s="24" t="str">
        <f t="shared" si="46"/>
        <v/>
      </c>
      <c r="N217" s="883" t="str">
        <f t="shared" si="57"/>
        <v>x</v>
      </c>
      <c r="P217" s="19" t="str">
        <f t="shared" si="56"/>
        <v/>
      </c>
      <c r="Q217" s="1" t="str">
        <f t="shared" si="50"/>
        <v/>
      </c>
      <c r="R217" s="1" t="str">
        <f t="shared" si="51"/>
        <v/>
      </c>
      <c r="S217" s="1" t="str">
        <f t="shared" si="52"/>
        <v/>
      </c>
      <c r="T217" s="20" t="str">
        <f t="shared" si="53"/>
        <v/>
      </c>
    </row>
    <row r="218" spans="1:20" ht="12.75" x14ac:dyDescent="0.2">
      <c r="A218" s="17" t="s">
        <v>17</v>
      </c>
      <c r="B218" s="17" t="s">
        <v>35</v>
      </c>
      <c r="C218" s="18"/>
      <c r="D218" s="19"/>
      <c r="H218" s="20"/>
      <c r="I218" s="21"/>
      <c r="J218" s="21"/>
      <c r="K218" s="23" t="str">
        <f t="shared" si="49"/>
        <v/>
      </c>
      <c r="L218" s="24" t="str">
        <f t="shared" si="46"/>
        <v/>
      </c>
      <c r="N218" s="880" t="str">
        <f t="shared" si="57"/>
        <v>x</v>
      </c>
      <c r="P218" s="19" t="str">
        <f t="shared" si="56"/>
        <v/>
      </c>
      <c r="Q218" s="1" t="str">
        <f t="shared" si="50"/>
        <v/>
      </c>
      <c r="R218" s="1" t="str">
        <f t="shared" si="51"/>
        <v/>
      </c>
      <c r="S218" s="1" t="str">
        <f t="shared" si="52"/>
        <v/>
      </c>
      <c r="T218" s="20" t="str">
        <f t="shared" si="53"/>
        <v/>
      </c>
    </row>
    <row r="219" spans="1:20" ht="12.75" x14ac:dyDescent="0.2">
      <c r="A219" s="18"/>
      <c r="B219" s="36" t="str">
        <f>IF('[1]E-Milch'!B59="","-",'[1]E-Milch'!B59)</f>
        <v>Bestandesergänzung</v>
      </c>
      <c r="C219" s="18"/>
      <c r="D219" s="26">
        <f>IF('[1]E-Milch'!$F59="","",'[1]E-Milch'!$F59)</f>
        <v>156.47999999999999</v>
      </c>
      <c r="E219" s="27"/>
      <c r="F219" s="27"/>
      <c r="H219" s="28" t="str">
        <f>IF(Milch!$F59="","",Milch!$F59)</f>
        <v/>
      </c>
      <c r="I219" s="29" t="str">
        <f t="shared" ref="I219:I232" si="58">IF(OR(B219="-",AND(P219="",T219="")),"",IF(T219=P219,"Richtig!",IF(T219="","Fehlt","Falsch")))</f>
        <v>Fehlt</v>
      </c>
      <c r="J219" s="30">
        <f t="shared" ref="J219:J233" si="59">IF(OR(B219="-",N219="",AND(P219="",T219="")),"-",IF(I219="Richtig!",1,IF(I219="Formel: OK",0.5,IF(OR(I219="Falsch",I219="Fehlt"),0,""))))</f>
        <v>0</v>
      </c>
      <c r="K219" s="23" t="str">
        <f t="shared" si="49"/>
        <v>│</v>
      </c>
      <c r="L219" s="24">
        <f t="shared" si="46"/>
        <v>1</v>
      </c>
      <c r="N219" s="882" t="str">
        <f t="shared" si="57"/>
        <v>x</v>
      </c>
      <c r="P219" s="26">
        <f t="shared" si="56"/>
        <v>156.47999999999999</v>
      </c>
      <c r="Q219" s="27" t="str">
        <f t="shared" si="50"/>
        <v/>
      </c>
      <c r="R219" s="27" t="str">
        <f t="shared" si="51"/>
        <v/>
      </c>
      <c r="S219" s="1" t="str">
        <f t="shared" si="52"/>
        <v/>
      </c>
      <c r="T219" s="28" t="str">
        <f t="shared" si="53"/>
        <v/>
      </c>
    </row>
    <row r="220" spans="1:20" ht="12.75" x14ac:dyDescent="0.2">
      <c r="A220" s="18"/>
      <c r="B220" s="36" t="str">
        <f>IF('[1]E-Milch'!B60="","-",'[1]E-Milch'!B60)</f>
        <v>KF</v>
      </c>
      <c r="C220" s="18"/>
      <c r="D220" s="26">
        <f>IF('[1]E-Milch'!$F60="","",'[1]E-Milch'!$F60)</f>
        <v>342.65</v>
      </c>
      <c r="E220" s="27"/>
      <c r="F220" s="27"/>
      <c r="H220" s="28" t="str">
        <f>IF(Milch!$F60="","",Milch!$F60)</f>
        <v/>
      </c>
      <c r="I220" s="29" t="str">
        <f t="shared" si="58"/>
        <v>Fehlt</v>
      </c>
      <c r="J220" s="30">
        <f t="shared" si="59"/>
        <v>0</v>
      </c>
      <c r="K220" s="23" t="str">
        <f t="shared" si="49"/>
        <v>│</v>
      </c>
      <c r="L220" s="24">
        <f t="shared" si="46"/>
        <v>1</v>
      </c>
      <c r="N220" s="882" t="str">
        <f t="shared" si="57"/>
        <v>x</v>
      </c>
      <c r="P220" s="26">
        <f t="shared" si="56"/>
        <v>342.65</v>
      </c>
      <c r="Q220" s="27" t="str">
        <f t="shared" si="50"/>
        <v/>
      </c>
      <c r="R220" s="27" t="str">
        <f t="shared" si="51"/>
        <v/>
      </c>
      <c r="S220" s="1" t="str">
        <f t="shared" si="52"/>
        <v/>
      </c>
      <c r="T220" s="28" t="str">
        <f t="shared" si="53"/>
        <v/>
      </c>
    </row>
    <row r="221" spans="1:20" ht="12.75" x14ac:dyDescent="0.2">
      <c r="A221" s="18"/>
      <c r="B221" s="36" t="str">
        <f>IF('[1]E-Milch'!B61="","-",'[1]E-Milch'!B61)</f>
        <v>Mineralstoffmischung</v>
      </c>
      <c r="C221" s="18"/>
      <c r="D221" s="26">
        <f>IF('[1]E-Milch'!$F61="","",'[1]E-Milch'!$F61)</f>
        <v>26.320000000000004</v>
      </c>
      <c r="E221" s="27"/>
      <c r="F221" s="27"/>
      <c r="H221" s="28" t="str">
        <f>IF(Milch!$F61="","",Milch!$F61)</f>
        <v/>
      </c>
      <c r="I221" s="29" t="str">
        <f t="shared" si="58"/>
        <v>Fehlt</v>
      </c>
      <c r="J221" s="30">
        <f t="shared" si="59"/>
        <v>0</v>
      </c>
      <c r="K221" s="23" t="str">
        <f t="shared" si="49"/>
        <v>│</v>
      </c>
      <c r="L221" s="24">
        <f t="shared" si="46"/>
        <v>1</v>
      </c>
      <c r="N221" s="882" t="str">
        <f t="shared" si="57"/>
        <v>x</v>
      </c>
      <c r="P221" s="26">
        <f t="shared" si="56"/>
        <v>26.32</v>
      </c>
      <c r="Q221" s="27" t="str">
        <f t="shared" si="50"/>
        <v/>
      </c>
      <c r="R221" s="27" t="str">
        <f t="shared" si="51"/>
        <v/>
      </c>
      <c r="S221" s="1" t="str">
        <f t="shared" si="52"/>
        <v/>
      </c>
      <c r="T221" s="28" t="str">
        <f t="shared" si="53"/>
        <v/>
      </c>
    </row>
    <row r="222" spans="1:20" ht="12.75" x14ac:dyDescent="0.2">
      <c r="A222" s="18"/>
      <c r="B222" s="36" t="str">
        <f>IF('[1]E-Milch'!B62="","-",'[1]E-Milch'!B62)</f>
        <v>Tierarzt</v>
      </c>
      <c r="C222" s="18"/>
      <c r="D222" s="26">
        <f>IF('[1]E-Milch'!$F62="","",'[1]E-Milch'!$F62)</f>
        <v>55.68</v>
      </c>
      <c r="E222" s="27"/>
      <c r="F222" s="27"/>
      <c r="H222" s="28" t="str">
        <f>IF(Milch!$F62="","",Milch!$F62)</f>
        <v/>
      </c>
      <c r="I222" s="29" t="str">
        <f t="shared" si="58"/>
        <v>Fehlt</v>
      </c>
      <c r="J222" s="30">
        <f t="shared" si="59"/>
        <v>0</v>
      </c>
      <c r="K222" s="23" t="str">
        <f t="shared" si="49"/>
        <v>│</v>
      </c>
      <c r="L222" s="24">
        <f t="shared" ref="L222:L251" si="60">IF(OR(B222="-",N222="",AND(P222="",T222="")),"",1)</f>
        <v>1</v>
      </c>
      <c r="N222" s="882" t="str">
        <f t="shared" si="57"/>
        <v>x</v>
      </c>
      <c r="P222" s="26">
        <f t="shared" si="56"/>
        <v>55.68</v>
      </c>
      <c r="Q222" s="27" t="str">
        <f t="shared" si="50"/>
        <v/>
      </c>
      <c r="R222" s="27" t="str">
        <f t="shared" si="51"/>
        <v/>
      </c>
      <c r="S222" s="1" t="str">
        <f t="shared" si="52"/>
        <v/>
      </c>
      <c r="T222" s="28" t="str">
        <f t="shared" si="53"/>
        <v/>
      </c>
    </row>
    <row r="223" spans="1:20" ht="12.75" x14ac:dyDescent="0.2">
      <c r="A223" s="18"/>
      <c r="B223" s="36" t="str">
        <f>IF('[1]E-Milch'!B63="","-",'[1]E-Milch'!B63)</f>
        <v>Deckgeld</v>
      </c>
      <c r="C223" s="18"/>
      <c r="D223" s="26">
        <f>IF('[1]E-Milch'!$F63="","",'[1]E-Milch'!$F63)</f>
        <v>30.72</v>
      </c>
      <c r="E223" s="27"/>
      <c r="F223" s="27"/>
      <c r="H223" s="28" t="str">
        <f>IF(Milch!$F63="","",Milch!$F63)</f>
        <v/>
      </c>
      <c r="I223" s="29" t="str">
        <f t="shared" si="58"/>
        <v>Fehlt</v>
      </c>
      <c r="J223" s="30">
        <f t="shared" si="59"/>
        <v>0</v>
      </c>
      <c r="K223" s="23" t="str">
        <f t="shared" si="49"/>
        <v>│</v>
      </c>
      <c r="L223" s="24">
        <f t="shared" si="60"/>
        <v>1</v>
      </c>
      <c r="N223" s="882" t="str">
        <f t="shared" si="57"/>
        <v>x</v>
      </c>
      <c r="P223" s="26">
        <f t="shared" si="56"/>
        <v>30.72</v>
      </c>
      <c r="Q223" s="27" t="str">
        <f t="shared" si="50"/>
        <v/>
      </c>
      <c r="R223" s="27" t="str">
        <f t="shared" si="51"/>
        <v/>
      </c>
      <c r="S223" s="1" t="str">
        <f t="shared" si="52"/>
        <v/>
      </c>
      <c r="T223" s="28" t="str">
        <f t="shared" si="53"/>
        <v/>
      </c>
    </row>
    <row r="224" spans="1:20" ht="12.75" hidden="1" customHeight="1" x14ac:dyDescent="0.2">
      <c r="A224" s="18"/>
      <c r="B224" s="36" t="str">
        <f>IF('[1]E-Milch'!B64="","-",'[1]E-Milch'!B64)</f>
        <v>Kontrollgebühren</v>
      </c>
      <c r="C224" s="18"/>
      <c r="D224" s="26">
        <f>IF('[1]E-Milch'!$F64="","",'[1]E-Milch'!$F64)</f>
        <v>9.6</v>
      </c>
      <c r="E224" s="27"/>
      <c r="F224" s="27"/>
      <c r="H224" s="28">
        <f>IF(Milch!$F64="","",Milch!$F64)</f>
        <v>9.6</v>
      </c>
      <c r="I224" s="29" t="str">
        <f t="shared" si="58"/>
        <v>Richtig!</v>
      </c>
      <c r="J224" s="30" t="str">
        <f t="shared" si="59"/>
        <v>-</v>
      </c>
      <c r="K224" s="23" t="str">
        <f t="shared" si="49"/>
        <v/>
      </c>
      <c r="L224" s="24" t="str">
        <f t="shared" si="60"/>
        <v/>
      </c>
      <c r="N224" s="882"/>
      <c r="P224" s="26">
        <f t="shared" si="56"/>
        <v>9.6</v>
      </c>
      <c r="Q224" s="27" t="str">
        <f t="shared" si="50"/>
        <v/>
      </c>
      <c r="R224" s="27" t="str">
        <f t="shared" si="51"/>
        <v/>
      </c>
      <c r="S224" s="1" t="str">
        <f t="shared" si="52"/>
        <v/>
      </c>
      <c r="T224" s="28">
        <f t="shared" si="53"/>
        <v>9.6</v>
      </c>
    </row>
    <row r="225" spans="1:20" ht="12.75" hidden="1" customHeight="1" x14ac:dyDescent="0.2">
      <c r="A225" s="18"/>
      <c r="B225" s="36" t="str">
        <f>IF('[1]E-Milch'!B65="","-",'[1]E-Milch'!B65)</f>
        <v>Versicherung</v>
      </c>
      <c r="C225" s="18"/>
      <c r="D225" s="26">
        <f>IF('[1]E-Milch'!$F65="","",'[1]E-Milch'!$F65)</f>
        <v>21.12</v>
      </c>
      <c r="E225" s="27"/>
      <c r="F225" s="27"/>
      <c r="H225" s="28">
        <f>IF(Milch!$F65="","",Milch!$F65)</f>
        <v>21.12</v>
      </c>
      <c r="I225" s="29" t="str">
        <f t="shared" si="58"/>
        <v>Richtig!</v>
      </c>
      <c r="J225" s="30" t="str">
        <f t="shared" si="59"/>
        <v>-</v>
      </c>
      <c r="K225" s="23" t="str">
        <f t="shared" si="49"/>
        <v/>
      </c>
      <c r="L225" s="24" t="str">
        <f t="shared" si="60"/>
        <v/>
      </c>
      <c r="N225" s="882"/>
      <c r="P225" s="26">
        <f t="shared" si="56"/>
        <v>21.12</v>
      </c>
      <c r="Q225" s="27" t="str">
        <f t="shared" si="50"/>
        <v/>
      </c>
      <c r="R225" s="27" t="str">
        <f t="shared" si="51"/>
        <v/>
      </c>
      <c r="S225" s="1" t="str">
        <f t="shared" si="52"/>
        <v/>
      </c>
      <c r="T225" s="28">
        <f t="shared" si="53"/>
        <v>21.12</v>
      </c>
    </row>
    <row r="226" spans="1:20" ht="12.75" x14ac:dyDescent="0.2">
      <c r="A226" s="18"/>
      <c r="B226" s="36" t="str">
        <f>IF('[1]E-Milch'!B66="","-",'[1]E-Milch'!B66)</f>
        <v>Alpung</v>
      </c>
      <c r="C226" s="18"/>
      <c r="D226" s="26">
        <f>IF('[1]E-Milch'!$F66="","",'[1]E-Milch'!$F66)</f>
        <v>81.599999999999994</v>
      </c>
      <c r="E226" s="27"/>
      <c r="F226" s="27"/>
      <c r="H226" s="28" t="str">
        <f>IF(Milch!$F66="","",Milch!$F66)</f>
        <v/>
      </c>
      <c r="I226" s="29" t="str">
        <f t="shared" si="58"/>
        <v>Fehlt</v>
      </c>
      <c r="J226" s="30">
        <f t="shared" si="59"/>
        <v>0</v>
      </c>
      <c r="K226" s="23" t="str">
        <f t="shared" si="49"/>
        <v>│</v>
      </c>
      <c r="L226" s="24">
        <f t="shared" si="60"/>
        <v>1</v>
      </c>
      <c r="N226" s="882" t="str">
        <f>IF($L$1="","",$L$1)</f>
        <v>x</v>
      </c>
      <c r="P226" s="26">
        <f t="shared" si="56"/>
        <v>81.599999999999994</v>
      </c>
      <c r="Q226" s="27" t="str">
        <f t="shared" si="50"/>
        <v/>
      </c>
      <c r="R226" s="27" t="str">
        <f t="shared" si="51"/>
        <v/>
      </c>
      <c r="S226" s="1" t="str">
        <f t="shared" si="52"/>
        <v/>
      </c>
      <c r="T226" s="28" t="str">
        <f t="shared" si="53"/>
        <v/>
      </c>
    </row>
    <row r="227" spans="1:20" ht="12.75" x14ac:dyDescent="0.2">
      <c r="A227" s="18"/>
      <c r="B227" s="36" t="str">
        <f>IF('[1]E-Milch'!B67="","-",'[1]E-Milch'!B67)</f>
        <v>Energie</v>
      </c>
      <c r="C227" s="18"/>
      <c r="D227" s="26">
        <f>IF('[1]E-Milch'!$F67="","",'[1]E-Milch'!$F67)</f>
        <v>31.68</v>
      </c>
      <c r="E227" s="27"/>
      <c r="F227" s="27"/>
      <c r="H227" s="28" t="str">
        <f>IF(Milch!$F67="","",Milch!$F67)</f>
        <v/>
      </c>
      <c r="I227" s="29" t="str">
        <f t="shared" si="58"/>
        <v>Fehlt</v>
      </c>
      <c r="J227" s="30">
        <f t="shared" si="59"/>
        <v>0</v>
      </c>
      <c r="K227" s="23" t="str">
        <f t="shared" si="49"/>
        <v>│</v>
      </c>
      <c r="L227" s="24">
        <f t="shared" si="60"/>
        <v>1</v>
      </c>
      <c r="N227" s="882" t="str">
        <f>IF($L$1="","",$L$1)</f>
        <v>x</v>
      </c>
      <c r="P227" s="26">
        <f t="shared" si="56"/>
        <v>31.68</v>
      </c>
      <c r="Q227" s="27" t="str">
        <f t="shared" si="50"/>
        <v/>
      </c>
      <c r="R227" s="27" t="str">
        <f t="shared" si="51"/>
        <v/>
      </c>
      <c r="S227" s="1" t="str">
        <f t="shared" si="52"/>
        <v/>
      </c>
      <c r="T227" s="28" t="str">
        <f t="shared" si="53"/>
        <v/>
      </c>
    </row>
    <row r="228" spans="1:20" ht="12.75" x14ac:dyDescent="0.2">
      <c r="A228" s="18"/>
      <c r="B228" s="36" t="str">
        <f>IF('[1]E-Milch'!B68="","-",'[1]E-Milch'!B68)</f>
        <v>Einstreu</v>
      </c>
      <c r="C228" s="18"/>
      <c r="D228" s="26">
        <f>IF('[1]E-Milch'!$F68="","",'[1]E-Milch'!$F68)</f>
        <v>43.34</v>
      </c>
      <c r="E228" s="27"/>
      <c r="F228" s="27"/>
      <c r="H228" s="28" t="str">
        <f>IF(Milch!$F68="","",Milch!$F68)</f>
        <v/>
      </c>
      <c r="I228" s="29" t="str">
        <f t="shared" si="58"/>
        <v>Fehlt</v>
      </c>
      <c r="J228" s="30">
        <f t="shared" si="59"/>
        <v>0</v>
      </c>
      <c r="K228" s="23" t="str">
        <f t="shared" si="49"/>
        <v>│</v>
      </c>
      <c r="L228" s="24">
        <f t="shared" si="60"/>
        <v>1</v>
      </c>
      <c r="N228" s="882" t="str">
        <f>IF($L$1="","",$L$1)</f>
        <v>x</v>
      </c>
      <c r="P228" s="26">
        <f t="shared" si="56"/>
        <v>43.34</v>
      </c>
      <c r="Q228" s="27" t="str">
        <f t="shared" si="50"/>
        <v/>
      </c>
      <c r="R228" s="27" t="str">
        <f t="shared" si="51"/>
        <v/>
      </c>
      <c r="S228" s="1" t="str">
        <f t="shared" si="52"/>
        <v/>
      </c>
      <c r="T228" s="28" t="str">
        <f t="shared" si="53"/>
        <v/>
      </c>
    </row>
    <row r="229" spans="1:20" ht="12.75" x14ac:dyDescent="0.2">
      <c r="A229" s="18"/>
      <c r="B229" s="36" t="str">
        <f>IF('[1]E-Milch'!B69="","-",'[1]E-Milch'!B69)</f>
        <v>Vermarktungs-/Verarbeitungskosten</v>
      </c>
      <c r="C229" s="18"/>
      <c r="D229" s="26">
        <f>IF('[1]E-Milch'!$F69="","",'[1]E-Milch'!$F69)</f>
        <v>111.36</v>
      </c>
      <c r="E229" s="27"/>
      <c r="F229" s="27"/>
      <c r="H229" s="28" t="str">
        <f>IF(Milch!$F69="","",Milch!$F69)</f>
        <v/>
      </c>
      <c r="I229" s="29" t="str">
        <f t="shared" si="58"/>
        <v>Fehlt</v>
      </c>
      <c r="J229" s="30">
        <f t="shared" si="59"/>
        <v>0</v>
      </c>
      <c r="K229" s="23" t="str">
        <f t="shared" si="49"/>
        <v>│</v>
      </c>
      <c r="L229" s="24">
        <f t="shared" si="60"/>
        <v>1</v>
      </c>
      <c r="N229" s="882" t="str">
        <f>IF($L$1="","",$L$1)</f>
        <v>x</v>
      </c>
      <c r="P229" s="26">
        <f t="shared" si="56"/>
        <v>111.36</v>
      </c>
      <c r="Q229" s="27" t="str">
        <f t="shared" si="50"/>
        <v/>
      </c>
      <c r="R229" s="27" t="str">
        <f t="shared" si="51"/>
        <v/>
      </c>
      <c r="S229" s="1" t="str">
        <f t="shared" si="52"/>
        <v/>
      </c>
      <c r="T229" s="28" t="str">
        <f t="shared" si="53"/>
        <v/>
      </c>
    </row>
    <row r="230" spans="1:20" ht="12.75" x14ac:dyDescent="0.2">
      <c r="A230" s="18"/>
      <c r="B230" s="36" t="str">
        <f>IF('[1]E-Milch'!B70="","-",'[1]E-Milch'!B70)</f>
        <v>Verpackung</v>
      </c>
      <c r="C230" s="18"/>
      <c r="D230" s="26">
        <f>IF('[1]E-Milch'!$F70="","",'[1]E-Milch'!$F70)</f>
        <v>499.2</v>
      </c>
      <c r="E230" s="27"/>
      <c r="F230" s="27"/>
      <c r="H230" s="28" t="str">
        <f>IF(Milch!$F70="","",Milch!$F70)</f>
        <v/>
      </c>
      <c r="I230" s="29" t="str">
        <f t="shared" si="58"/>
        <v>Fehlt</v>
      </c>
      <c r="J230" s="30">
        <f t="shared" si="59"/>
        <v>0</v>
      </c>
      <c r="K230" s="23" t="str">
        <f t="shared" si="49"/>
        <v>│</v>
      </c>
      <c r="L230" s="24">
        <f t="shared" si="60"/>
        <v>1</v>
      </c>
      <c r="N230" s="882" t="str">
        <f>IF($L$1="","",$L$1)</f>
        <v>x</v>
      </c>
      <c r="P230" s="26">
        <f t="shared" si="56"/>
        <v>499.2</v>
      </c>
      <c r="Q230" s="27" t="str">
        <f t="shared" si="50"/>
        <v/>
      </c>
      <c r="R230" s="27" t="str">
        <f t="shared" si="51"/>
        <v/>
      </c>
      <c r="S230" s="1" t="str">
        <f t="shared" si="52"/>
        <v/>
      </c>
      <c r="T230" s="28" t="str">
        <f t="shared" si="53"/>
        <v/>
      </c>
    </row>
    <row r="231" spans="1:20" ht="12.75" hidden="1" customHeight="1" x14ac:dyDescent="0.2">
      <c r="A231" s="18"/>
      <c r="B231" s="36" t="str">
        <f>IF('[1]E-Milch'!B71="","-",'[1]E-Milch'!B71)</f>
        <v xml:space="preserve">Energie und Reinigung </v>
      </c>
      <c r="C231" s="18"/>
      <c r="D231" s="26">
        <f>IF('[1]E-Milch'!$F71="","",'[1]E-Milch'!$F71)</f>
        <v>82.56</v>
      </c>
      <c r="E231" s="27"/>
      <c r="F231" s="27"/>
      <c r="H231" s="28">
        <f>IF(Milch!$F71="","",Milch!$F71)</f>
        <v>82.56</v>
      </c>
      <c r="I231" s="29" t="str">
        <f t="shared" si="58"/>
        <v>Richtig!</v>
      </c>
      <c r="J231" s="30" t="str">
        <f t="shared" si="59"/>
        <v>-</v>
      </c>
      <c r="K231" s="23" t="str">
        <f t="shared" si="49"/>
        <v/>
      </c>
      <c r="L231" s="24" t="str">
        <f t="shared" si="60"/>
        <v/>
      </c>
      <c r="N231" s="882"/>
      <c r="P231" s="26">
        <f t="shared" si="56"/>
        <v>82.56</v>
      </c>
      <c r="Q231" s="27" t="str">
        <f t="shared" si="50"/>
        <v/>
      </c>
      <c r="R231" s="27" t="str">
        <f t="shared" si="51"/>
        <v/>
      </c>
      <c r="S231" s="1" t="str">
        <f t="shared" si="52"/>
        <v/>
      </c>
      <c r="T231" s="28">
        <f t="shared" si="53"/>
        <v>82.56</v>
      </c>
    </row>
    <row r="232" spans="1:20" ht="12.75" x14ac:dyDescent="0.2">
      <c r="A232" s="18"/>
      <c r="B232" s="36" t="str">
        <f>IF('[1]E-Milch'!B72="","-",'[1]E-Milch'!B72)</f>
        <v>Zuteilbare FK Butterfass, Zentrifuge</v>
      </c>
      <c r="C232" s="18"/>
      <c r="D232" s="26">
        <f>IF('[1]E-Milch'!$F72="","",'[1]E-Milch'!$F72)</f>
        <v>209.28</v>
      </c>
      <c r="E232" s="27"/>
      <c r="F232" s="27"/>
      <c r="H232" s="28" t="str">
        <f>IF(Milch!$F72="","",Milch!$F72)</f>
        <v/>
      </c>
      <c r="I232" s="29" t="str">
        <f t="shared" si="58"/>
        <v>Fehlt</v>
      </c>
      <c r="J232" s="30">
        <f t="shared" si="59"/>
        <v>0</v>
      </c>
      <c r="K232" s="23" t="str">
        <f t="shared" si="49"/>
        <v>│</v>
      </c>
      <c r="L232" s="24">
        <f t="shared" si="60"/>
        <v>1</v>
      </c>
      <c r="N232" s="882" t="str">
        <f t="shared" ref="N232:N237" si="61">IF($L$1="","",$L$1)</f>
        <v>x</v>
      </c>
      <c r="P232" s="26">
        <f t="shared" si="56"/>
        <v>209.28</v>
      </c>
      <c r="Q232" s="27" t="str">
        <f t="shared" si="50"/>
        <v/>
      </c>
      <c r="R232" s="27" t="str">
        <f t="shared" si="51"/>
        <v/>
      </c>
      <c r="S232" s="1" t="str">
        <f t="shared" si="52"/>
        <v/>
      </c>
      <c r="T232" s="28" t="str">
        <f t="shared" si="53"/>
        <v/>
      </c>
    </row>
    <row r="233" spans="1:20" ht="12.75" x14ac:dyDescent="0.2">
      <c r="A233" s="18"/>
      <c r="B233" s="36" t="str">
        <f>IF('[1]E-Milch'!B73="","-",'[1]E-Milch'!B73)</f>
        <v>SUMME VK</v>
      </c>
      <c r="C233" s="18"/>
      <c r="D233" s="31">
        <f>IF('[1]E-Milch'!$F73="","",'[1]E-Milch'!$F73)</f>
        <v>1701.59</v>
      </c>
      <c r="E233" s="27"/>
      <c r="F233" s="32">
        <f>SUM(H219:H232)</f>
        <v>113.28</v>
      </c>
      <c r="H233" s="33" t="str">
        <f>IF(Milch!$F73="","",Milch!$F73)</f>
        <v/>
      </c>
      <c r="I233" s="29" t="str">
        <f>IF(B233="-","",IF(T233=P233,"Richtig!",IF(AND(P233&lt;&gt;T233,R233=T233),"Formel: OK",IF(T233="","Fehlt","Falsch"))))</f>
        <v>Fehlt</v>
      </c>
      <c r="J233" s="30">
        <f t="shared" si="59"/>
        <v>0</v>
      </c>
      <c r="K233" s="23" t="str">
        <f t="shared" si="49"/>
        <v>│</v>
      </c>
      <c r="L233" s="24">
        <f t="shared" si="60"/>
        <v>1</v>
      </c>
      <c r="N233" s="882" t="str">
        <f t="shared" si="61"/>
        <v>x</v>
      </c>
      <c r="P233" s="31">
        <f t="shared" si="56"/>
        <v>1701.59</v>
      </c>
      <c r="Q233" s="27" t="str">
        <f t="shared" si="50"/>
        <v/>
      </c>
      <c r="R233" s="32">
        <f t="shared" si="51"/>
        <v>113.28</v>
      </c>
      <c r="S233" s="1" t="str">
        <f t="shared" si="52"/>
        <v/>
      </c>
      <c r="T233" s="33" t="str">
        <f t="shared" si="53"/>
        <v/>
      </c>
    </row>
    <row r="234" spans="1:20" ht="12.75" x14ac:dyDescent="0.2">
      <c r="A234" s="18"/>
      <c r="B234" s="18"/>
      <c r="C234" s="18"/>
      <c r="D234" s="19"/>
      <c r="H234" s="20"/>
      <c r="I234" s="21"/>
      <c r="J234" s="21"/>
      <c r="K234" s="23" t="str">
        <f t="shared" si="49"/>
        <v/>
      </c>
      <c r="L234" s="24" t="str">
        <f t="shared" si="60"/>
        <v/>
      </c>
      <c r="N234" s="883" t="str">
        <f t="shared" si="61"/>
        <v>x</v>
      </c>
      <c r="P234" s="19" t="str">
        <f t="shared" si="56"/>
        <v/>
      </c>
      <c r="Q234" s="1" t="str">
        <f t="shared" si="50"/>
        <v/>
      </c>
      <c r="R234" s="1" t="str">
        <f t="shared" si="51"/>
        <v/>
      </c>
      <c r="S234" s="1" t="str">
        <f t="shared" si="52"/>
        <v/>
      </c>
      <c r="T234" s="20" t="str">
        <f t="shared" si="53"/>
        <v/>
      </c>
    </row>
    <row r="235" spans="1:20" ht="12.75" x14ac:dyDescent="0.2">
      <c r="A235" s="17" t="s">
        <v>19</v>
      </c>
      <c r="B235" s="17" t="s">
        <v>36</v>
      </c>
      <c r="C235" s="18"/>
      <c r="D235" s="19"/>
      <c r="H235" s="20"/>
      <c r="I235" s="21"/>
      <c r="J235" s="21"/>
      <c r="K235" s="23" t="str">
        <f t="shared" si="49"/>
        <v/>
      </c>
      <c r="L235" s="24" t="str">
        <f t="shared" si="60"/>
        <v/>
      </c>
      <c r="N235" s="880" t="str">
        <f t="shared" si="61"/>
        <v>x</v>
      </c>
      <c r="P235" s="19" t="str">
        <f t="shared" si="56"/>
        <v/>
      </c>
      <c r="Q235" s="1" t="str">
        <f t="shared" si="50"/>
        <v/>
      </c>
      <c r="R235" s="1" t="str">
        <f t="shared" si="51"/>
        <v/>
      </c>
      <c r="S235" s="1" t="str">
        <f t="shared" si="52"/>
        <v/>
      </c>
      <c r="T235" s="20" t="str">
        <f t="shared" si="53"/>
        <v/>
      </c>
    </row>
    <row r="236" spans="1:20" ht="12.75" x14ac:dyDescent="0.2">
      <c r="A236" s="18"/>
      <c r="B236" s="36" t="str">
        <f>IF('[1]E-Milch'!B80="","-",'[1]E-Milch'!B80)</f>
        <v>Heu</v>
      </c>
      <c r="C236" s="18"/>
      <c r="D236" s="26">
        <f>IF('[1]E-Milch'!F80="","",'[1]E-Milch'!F80)</f>
        <v>309.72879830135429</v>
      </c>
      <c r="E236" s="27"/>
      <c r="F236" s="27"/>
      <c r="H236" s="28" t="str">
        <f>IF(Milch!F80="","",Milch!F80)</f>
        <v/>
      </c>
      <c r="I236" s="29" t="str">
        <f>IF(AND(P236="",T236=""),"",IF(T236=P236,"Richtig!",IF(T236="","Fehlt","Falsch")))</f>
        <v>Fehlt</v>
      </c>
      <c r="J236" s="30">
        <f>IF(OR(B236="-",N236="",AND(P236="",T236="")),"-",IF(I236="Richtig!",1,IF(I236="Formel: OK",0.5,IF(OR(I236="Falsch",I236="Fehlt"),0,""))))</f>
        <v>0</v>
      </c>
      <c r="K236" s="23" t="str">
        <f t="shared" si="49"/>
        <v>│</v>
      </c>
      <c r="L236" s="24">
        <f t="shared" si="60"/>
        <v>1</v>
      </c>
      <c r="N236" s="882" t="str">
        <f t="shared" si="61"/>
        <v>x</v>
      </c>
      <c r="P236" s="26">
        <f t="shared" si="56"/>
        <v>309.72879999999998</v>
      </c>
      <c r="Q236" s="27" t="str">
        <f t="shared" si="50"/>
        <v/>
      </c>
      <c r="R236" s="27" t="str">
        <f t="shared" si="51"/>
        <v/>
      </c>
      <c r="S236" s="1" t="str">
        <f t="shared" si="52"/>
        <v/>
      </c>
      <c r="T236" s="28" t="str">
        <f t="shared" si="53"/>
        <v/>
      </c>
    </row>
    <row r="237" spans="1:20" ht="12.75" x14ac:dyDescent="0.2">
      <c r="A237" s="18"/>
      <c r="B237" s="36" t="str">
        <f>IF('[1]E-Milch'!B81="","-",'[1]E-Milch'!B81)</f>
        <v>Grünfutter</v>
      </c>
      <c r="C237" s="18"/>
      <c r="D237" s="26">
        <f>IF('[1]E-Milch'!F81="","",'[1]E-Milch'!F81)</f>
        <v>39.990300540174857</v>
      </c>
      <c r="E237" s="27"/>
      <c r="F237" s="27"/>
      <c r="H237" s="28" t="str">
        <f>IF(Milch!F81="","",Milch!F81)</f>
        <v/>
      </c>
      <c r="I237" s="29" t="str">
        <f>IF(AND(P237="",T237=""),"",IF(T237=P237,"Richtig!",IF(T237="","Fehlt","Falsch")))</f>
        <v>Fehlt</v>
      </c>
      <c r="J237" s="30">
        <f>IF(OR(B237="-",N237="",AND(P237="",T237="")),"-",IF(I237="Richtig!",1,IF(I237="Formel: OK",0.5,IF(OR(I237="Falsch",I237="Fehlt"),0,""))))</f>
        <v>0</v>
      </c>
      <c r="K237" s="23" t="str">
        <f t="shared" si="49"/>
        <v>│</v>
      </c>
      <c r="L237" s="24">
        <f t="shared" si="60"/>
        <v>1</v>
      </c>
      <c r="N237" s="882" t="str">
        <f t="shared" si="61"/>
        <v>x</v>
      </c>
      <c r="P237" s="26">
        <f t="shared" si="56"/>
        <v>39.990299999999998</v>
      </c>
      <c r="Q237" s="27" t="str">
        <f t="shared" si="50"/>
        <v/>
      </c>
      <c r="R237" s="27" t="str">
        <f t="shared" si="51"/>
        <v/>
      </c>
      <c r="S237" s="1" t="str">
        <f t="shared" si="52"/>
        <v/>
      </c>
      <c r="T237" s="28" t="str">
        <f t="shared" si="53"/>
        <v/>
      </c>
    </row>
    <row r="238" spans="1:20" ht="12.75" hidden="1" customHeight="1" x14ac:dyDescent="0.2">
      <c r="A238" s="18"/>
      <c r="B238" s="36" t="str">
        <f>IF('[1]E-Milch'!B82="","-",'[1]E-Milch'!B82)</f>
        <v>-</v>
      </c>
      <c r="C238" s="18"/>
      <c r="D238" s="26" t="str">
        <f>IF('[1]E-Milch'!F82="","",'[1]E-Milch'!F82)</f>
        <v/>
      </c>
      <c r="E238" s="27"/>
      <c r="F238" s="27"/>
      <c r="H238" s="28" t="str">
        <f>IF(Milch!F82="","",Milch!F82)</f>
        <v/>
      </c>
      <c r="I238" s="29" t="str">
        <f>IF(AND(P238="",T238=""),"",IF(T238=P238,"Richtig!",IF(T238="","Fehlt","Falsch")))</f>
        <v/>
      </c>
      <c r="J238" s="30" t="str">
        <f>IF(OR(B238="-",N238="",AND(P238="",T238="")),"-",IF(I238="Richtig!",1,IF(I238="Formel: OK",0.5,IF(OR(I238="Falsch",I238="Fehlt"),0,""))))</f>
        <v>-</v>
      </c>
      <c r="K238" s="23" t="str">
        <f t="shared" si="49"/>
        <v/>
      </c>
      <c r="L238" s="24" t="str">
        <f t="shared" si="60"/>
        <v/>
      </c>
      <c r="N238" s="882"/>
      <c r="P238" s="26" t="str">
        <f t="shared" si="56"/>
        <v/>
      </c>
      <c r="Q238" s="27" t="str">
        <f t="shared" si="50"/>
        <v/>
      </c>
      <c r="R238" s="27" t="str">
        <f t="shared" si="51"/>
        <v/>
      </c>
      <c r="S238" s="1" t="str">
        <f t="shared" si="52"/>
        <v/>
      </c>
      <c r="T238" s="28" t="str">
        <f t="shared" si="53"/>
        <v/>
      </c>
    </row>
    <row r="239" spans="1:20" ht="12.75" x14ac:dyDescent="0.2">
      <c r="A239" s="18"/>
      <c r="B239" s="36" t="str">
        <f>IF('[1]E-Milch'!G80="","-",'[1]E-Milch'!G80)</f>
        <v>∑ Grundfutterkosten</v>
      </c>
      <c r="C239" s="18"/>
      <c r="D239" s="31">
        <f>IF('[1]E-Milch'!G81="","",'[1]E-Milch'!G81)</f>
        <v>349.71909884152916</v>
      </c>
      <c r="E239" s="27"/>
      <c r="F239" s="32">
        <f>SUM(H236:H238)</f>
        <v>0</v>
      </c>
      <c r="H239" s="33" t="str">
        <f>IF(Milch!G81="","",Milch!G81)</f>
        <v/>
      </c>
      <c r="I239" s="29" t="str">
        <f>IF(B239="-","",IF(T239=P239,"Richtig!",IF(AND(P239&lt;&gt;T239,R239=T239),"Formel: OK",IF(T239="","Fehlt","Falsch"))))</f>
        <v>Fehlt</v>
      </c>
      <c r="J239" s="30">
        <f>IF(OR(B239="-",N239="",AND(P239="",T239="")),"-",IF(I239="Richtig!",1,IF(I239="Formel: OK",0.5,IF(OR(I239="Falsch",I239="Fehlt"),0,""))))</f>
        <v>0</v>
      </c>
      <c r="K239" s="23" t="str">
        <f t="shared" si="49"/>
        <v>│</v>
      </c>
      <c r="L239" s="24">
        <f t="shared" si="60"/>
        <v>1</v>
      </c>
      <c r="N239" s="882" t="str">
        <f>IF($L$1="","",$L$1)</f>
        <v>x</v>
      </c>
      <c r="P239" s="31">
        <f t="shared" si="56"/>
        <v>349.71910000000003</v>
      </c>
      <c r="Q239" s="27" t="str">
        <f t="shared" si="50"/>
        <v/>
      </c>
      <c r="R239" s="32">
        <f t="shared" si="51"/>
        <v>0</v>
      </c>
      <c r="S239" s="1" t="str">
        <f t="shared" si="52"/>
        <v/>
      </c>
      <c r="T239" s="33" t="str">
        <f t="shared" si="53"/>
        <v/>
      </c>
    </row>
    <row r="240" spans="1:20" ht="12.75" x14ac:dyDescent="0.2">
      <c r="A240" s="18"/>
      <c r="B240" s="18"/>
      <c r="C240" s="18"/>
      <c r="D240" s="19"/>
      <c r="H240" s="20"/>
      <c r="I240" s="21"/>
      <c r="J240" s="21"/>
      <c r="K240" s="23" t="str">
        <f t="shared" si="49"/>
        <v/>
      </c>
      <c r="L240" s="24" t="str">
        <f t="shared" si="60"/>
        <v/>
      </c>
      <c r="N240" s="883" t="str">
        <f>IF($L$1="","",$L$1)</f>
        <v>x</v>
      </c>
      <c r="P240" s="19" t="str">
        <f t="shared" si="56"/>
        <v/>
      </c>
      <c r="Q240" s="1" t="str">
        <f t="shared" si="50"/>
        <v/>
      </c>
      <c r="R240" s="1" t="str">
        <f t="shared" si="51"/>
        <v/>
      </c>
      <c r="S240" s="1" t="str">
        <f t="shared" si="52"/>
        <v/>
      </c>
      <c r="T240" s="20" t="str">
        <f t="shared" si="53"/>
        <v/>
      </c>
    </row>
    <row r="241" spans="1:20" ht="12.75" x14ac:dyDescent="0.2">
      <c r="A241" s="17" t="s">
        <v>23</v>
      </c>
      <c r="B241" s="17" t="s">
        <v>37</v>
      </c>
      <c r="C241" s="18"/>
      <c r="D241" s="19"/>
      <c r="H241" s="20"/>
      <c r="I241" s="21"/>
      <c r="J241" s="21"/>
      <c r="K241" s="23" t="str">
        <f t="shared" si="49"/>
        <v/>
      </c>
      <c r="L241" s="24" t="str">
        <f t="shared" si="60"/>
        <v/>
      </c>
      <c r="N241" s="880" t="str">
        <f>IF($L$1="","",$L$1)</f>
        <v>x</v>
      </c>
      <c r="P241" s="19" t="str">
        <f t="shared" si="56"/>
        <v/>
      </c>
      <c r="Q241" s="1" t="str">
        <f t="shared" si="50"/>
        <v/>
      </c>
      <c r="R241" s="1" t="str">
        <f t="shared" si="51"/>
        <v/>
      </c>
      <c r="S241" s="1" t="str">
        <f t="shared" si="52"/>
        <v/>
      </c>
      <c r="T241" s="20" t="str">
        <f t="shared" si="53"/>
        <v/>
      </c>
    </row>
    <row r="242" spans="1:20" ht="12.75" x14ac:dyDescent="0.2">
      <c r="A242" s="17"/>
      <c r="B242" s="36" t="str">
        <f>IF('[1]E-Milch'!B74="","-",'[1]E-Milch'!B74)</f>
        <v>DBK  Kalkulation (vorläufiger DB)</v>
      </c>
      <c r="C242" s="18"/>
      <c r="D242" s="31">
        <f>IF('[1]E-Milch'!G74="","",'[1]E-Milch'!G74)</f>
        <v>1591.870923076923</v>
      </c>
      <c r="E242" s="27"/>
      <c r="F242" s="32">
        <f>F216-F233</f>
        <v>1446.6000000000001</v>
      </c>
      <c r="H242" s="33" t="str">
        <f>IF(Milch!G74="","",Milch!G74)</f>
        <v/>
      </c>
      <c r="I242" s="29" t="str">
        <f>IF(B242="-","",IF(T242=P242,"Richtig!",IF(AND(P242&lt;&gt;T242,R242=T242),"Formel: OK",IF(T242="","Fehlt","Falsch"))))</f>
        <v>Fehlt</v>
      </c>
      <c r="J242" s="30">
        <f>IF(OR(B242="-",N242="",AND(P242="",T242="")),"-",IF(I242="Richtig!",1,IF(I242="Formel: OK",0.5,IF(OR(I242="Falsch",I242="Fehlt"),0,""))))</f>
        <v>0</v>
      </c>
      <c r="K242" s="23" t="str">
        <f t="shared" si="49"/>
        <v>│</v>
      </c>
      <c r="L242" s="24">
        <f t="shared" si="60"/>
        <v>1</v>
      </c>
      <c r="N242" s="882" t="str">
        <f>IF($L$1="","",$L$1)</f>
        <v>x</v>
      </c>
      <c r="P242" s="31">
        <f t="shared" si="56"/>
        <v>1591.8709200000001</v>
      </c>
      <c r="Q242" s="27" t="str">
        <f t="shared" si="50"/>
        <v/>
      </c>
      <c r="R242" s="32">
        <f t="shared" si="51"/>
        <v>1446.6</v>
      </c>
      <c r="S242" s="1" t="str">
        <f t="shared" si="52"/>
        <v/>
      </c>
      <c r="T242" s="33" t="str">
        <f t="shared" si="53"/>
        <v/>
      </c>
    </row>
    <row r="243" spans="1:20" ht="12.75" x14ac:dyDescent="0.2">
      <c r="A243" s="18"/>
      <c r="B243" s="36" t="str">
        <f>IF('[1]E-Milch'!B83="","-",'[1]E-Milch'!B83)</f>
        <v>DB mit Berücksichtigung der Futterkosten</v>
      </c>
      <c r="C243" s="18"/>
      <c r="D243" s="31">
        <f>IF('[1]E-Milch'!G83="","",'[1]E-Milch'!G83)</f>
        <v>1242.1518242353939</v>
      </c>
      <c r="E243" s="27"/>
      <c r="F243" s="32">
        <f>F242-F239</f>
        <v>1446.6000000000001</v>
      </c>
      <c r="H243" s="33" t="str">
        <f>IF(Milch!G83="","",Milch!G83)</f>
        <v/>
      </c>
      <c r="I243" s="29" t="str">
        <f>IF(B243="-","",IF(T243=P243,"Richtig!",IF(AND(P243&lt;&gt;T243,R243=T243),"Formel: OK",IF(T243="","Fehlt","Falsch"))))</f>
        <v>Fehlt</v>
      </c>
      <c r="J243" s="30">
        <f>IF(OR(B243="-",N243="",AND(P243="",T243="")),"-",IF(I243="Richtig!",1,IF(I243="Formel: OK",0.5,IF(OR(I243="Falsch",I243="Fehlt"),0,""))))</f>
        <v>0</v>
      </c>
      <c r="K243" s="23" t="str">
        <f t="shared" si="49"/>
        <v>│</v>
      </c>
      <c r="L243" s="24">
        <f t="shared" si="60"/>
        <v>1</v>
      </c>
      <c r="N243" s="882" t="str">
        <f>IF($L$1="","",$L$1)</f>
        <v>x</v>
      </c>
      <c r="P243" s="31">
        <f t="shared" si="56"/>
        <v>1242.15182</v>
      </c>
      <c r="Q243" s="27" t="str">
        <f t="shared" si="50"/>
        <v/>
      </c>
      <c r="R243" s="32">
        <f t="shared" si="51"/>
        <v>1446.6</v>
      </c>
      <c r="S243" s="1" t="str">
        <f t="shared" si="52"/>
        <v/>
      </c>
      <c r="T243" s="33" t="str">
        <f t="shared" si="53"/>
        <v/>
      </c>
    </row>
    <row r="244" spans="1:20" ht="12.75" hidden="1" customHeight="1" x14ac:dyDescent="0.2">
      <c r="A244" s="18"/>
      <c r="B244" s="36" t="str">
        <f>IF('[1]E-Milch'!B88="","-",'[1]E-Milch'!B88)</f>
        <v>SUMME FÖRDERUNGEN</v>
      </c>
      <c r="C244" s="18"/>
      <c r="D244" s="26">
        <f>IF('[1]E-Milch'!G88="","",'[1]E-Milch'!G88)</f>
        <v>0</v>
      </c>
      <c r="E244" s="27"/>
      <c r="F244" s="27"/>
      <c r="H244" s="28">
        <f>IF(Milch!G88="","",Milch!G88)</f>
        <v>0</v>
      </c>
      <c r="I244" s="29" t="str">
        <f>IF(AND(P244="",T244=""),"",IF(T244=P244,"Richtig!",IF(T244="","Fehlt","Falsch")))</f>
        <v>Richtig!</v>
      </c>
      <c r="J244" s="30" t="str">
        <f>IF(OR(B244="-",N244="",AND(P244="",T244="")),"-",IF(I244="Richtig!",1,IF(I244="Formel: OK",0.5,IF(OR(I244="Falsch",I244="Fehlt"),0,""))))</f>
        <v>-</v>
      </c>
      <c r="K244" s="23" t="str">
        <f t="shared" si="49"/>
        <v/>
      </c>
      <c r="L244" s="24" t="str">
        <f t="shared" si="60"/>
        <v/>
      </c>
      <c r="N244" s="882"/>
      <c r="P244" s="26">
        <f t="shared" si="56"/>
        <v>0</v>
      </c>
      <c r="Q244" s="27" t="str">
        <f t="shared" si="50"/>
        <v/>
      </c>
      <c r="R244" s="27" t="str">
        <f t="shared" si="51"/>
        <v/>
      </c>
      <c r="S244" s="1" t="str">
        <f t="shared" si="52"/>
        <v/>
      </c>
      <c r="T244" s="28">
        <f t="shared" si="53"/>
        <v>0</v>
      </c>
    </row>
    <row r="245" spans="1:20" ht="12.75" x14ac:dyDescent="0.2">
      <c r="A245" s="18"/>
      <c r="B245" s="36" t="str">
        <f>IF('[1]E-Milch'!B89="","-",'[1]E-Milch'!B89)</f>
        <v>DB mit Berücksichtigung der Futterkosten und Förderungen</v>
      </c>
      <c r="C245" s="18"/>
      <c r="D245" s="31">
        <f>IF('[1]E-Milch'!G89="","",'[1]E-Milch'!G89)</f>
        <v>1242.1518242353939</v>
      </c>
      <c r="E245" s="27"/>
      <c r="F245" s="32">
        <f>IF(OR(F243="",H244=""),"-",F243+H244)</f>
        <v>1446.6000000000001</v>
      </c>
      <c r="H245" s="33" t="str">
        <f>IF(Milch!G89="","",Milch!G89)</f>
        <v/>
      </c>
      <c r="I245" s="29" t="str">
        <f>IF(B245="-","",IF(T245=P245,"Richtig!",IF(AND(P245&lt;&gt;T245,R245=T245),"Formel: OK",IF(T245="","Fehlt","Falsch"))))</f>
        <v>Fehlt</v>
      </c>
      <c r="J245" s="30">
        <f>IF(OR(B245="-",N245="",AND(P245="",T245="")),"-",IF(I245="Richtig!",1,IF(I245="Formel: OK",0.5,IF(OR(I245="Falsch",I245="Fehlt"),0,""))))</f>
        <v>0</v>
      </c>
      <c r="K245" s="23" t="str">
        <f t="shared" si="49"/>
        <v>│</v>
      </c>
      <c r="L245" s="24">
        <f t="shared" si="60"/>
        <v>1</v>
      </c>
      <c r="N245" s="882" t="str">
        <f>IF($L$1="","",$L$1)</f>
        <v>x</v>
      </c>
      <c r="P245" s="31">
        <f t="shared" si="56"/>
        <v>1242.15182</v>
      </c>
      <c r="Q245" s="27" t="str">
        <f t="shared" si="50"/>
        <v/>
      </c>
      <c r="R245" s="32">
        <f t="shared" si="51"/>
        <v>1446.6</v>
      </c>
      <c r="S245" s="1" t="str">
        <f t="shared" si="52"/>
        <v/>
      </c>
      <c r="T245" s="33" t="str">
        <f t="shared" si="53"/>
        <v/>
      </c>
    </row>
    <row r="246" spans="1:20" ht="12.75" x14ac:dyDescent="0.2">
      <c r="A246" s="18"/>
      <c r="B246" s="18"/>
      <c r="C246" s="18"/>
      <c r="D246" s="19"/>
      <c r="H246" s="20"/>
      <c r="I246" s="21"/>
      <c r="J246" s="21"/>
      <c r="K246" s="23" t="str">
        <f t="shared" si="49"/>
        <v/>
      </c>
      <c r="L246" s="24" t="str">
        <f t="shared" si="60"/>
        <v/>
      </c>
      <c r="N246" s="883" t="str">
        <f>IF($L$1="","",$L$1)</f>
        <v>x</v>
      </c>
      <c r="P246" s="19" t="str">
        <f t="shared" si="56"/>
        <v/>
      </c>
      <c r="Q246" s="1" t="str">
        <f t="shared" si="50"/>
        <v/>
      </c>
      <c r="R246" s="1" t="str">
        <f t="shared" si="51"/>
        <v/>
      </c>
      <c r="S246" s="1" t="str">
        <f t="shared" si="52"/>
        <v/>
      </c>
      <c r="T246" s="20" t="str">
        <f t="shared" si="53"/>
        <v/>
      </c>
    </row>
    <row r="247" spans="1:20" ht="12.75" x14ac:dyDescent="0.2">
      <c r="A247" s="17" t="s">
        <v>24</v>
      </c>
      <c r="B247" s="17" t="s">
        <v>38</v>
      </c>
      <c r="C247" s="18"/>
      <c r="D247" s="19"/>
      <c r="H247" s="20"/>
      <c r="I247" s="21"/>
      <c r="J247" s="21"/>
      <c r="K247" s="23" t="str">
        <f t="shared" si="49"/>
        <v/>
      </c>
      <c r="L247" s="24" t="str">
        <f t="shared" si="60"/>
        <v/>
      </c>
      <c r="N247" s="880" t="str">
        <f>IF($L$1="","",$L$1)</f>
        <v>x</v>
      </c>
      <c r="P247" s="19" t="str">
        <f t="shared" si="56"/>
        <v/>
      </c>
      <c r="Q247" s="1" t="str">
        <f t="shared" si="50"/>
        <v/>
      </c>
      <c r="R247" s="1" t="str">
        <f t="shared" si="51"/>
        <v/>
      </c>
      <c r="S247" s="1" t="str">
        <f t="shared" si="52"/>
        <v/>
      </c>
      <c r="T247" s="20" t="str">
        <f t="shared" si="53"/>
        <v/>
      </c>
    </row>
    <row r="248" spans="1:20" ht="12.75" hidden="1" customHeight="1" x14ac:dyDescent="0.2">
      <c r="A248" s="18"/>
      <c r="B248" s="36" t="str">
        <f>IF('[1]E-Milch'!B92="","-",'[1]E-Milch'!B92)</f>
        <v>Stallarbeitszeit</v>
      </c>
      <c r="C248" s="18"/>
      <c r="D248" s="26">
        <f>IF('[1]E-Milch'!G92="","",'[1]E-Milch'!G92)</f>
        <v>139.19999999999999</v>
      </c>
      <c r="E248" s="27"/>
      <c r="F248" s="27"/>
      <c r="H248" s="28">
        <f>IF(Milch!G92="","",Milch!G92)</f>
        <v>139.19999999999999</v>
      </c>
      <c r="I248" s="29" t="str">
        <f>IF(AND(P248="",T248=""),"",IF(T248=P248,"Richtig!",IF(T248="","Fehlt","Falsch")))</f>
        <v>Richtig!</v>
      </c>
      <c r="J248" s="30" t="str">
        <f>IF(OR(B248="-",N248="",AND(P248="",T248="")),"-",IF(I248="Richtig!",1,IF(I248="Formel: OK",0.5,IF(OR(I248="Falsch",I248="Fehlt"),0,""))))</f>
        <v>-</v>
      </c>
      <c r="K248" s="23" t="str">
        <f t="shared" si="49"/>
        <v/>
      </c>
      <c r="L248" s="24" t="str">
        <f t="shared" si="60"/>
        <v/>
      </c>
      <c r="N248" s="882"/>
      <c r="P248" s="26">
        <f t="shared" si="56"/>
        <v>139.19999999999999</v>
      </c>
      <c r="Q248" s="27" t="str">
        <f t="shared" si="50"/>
        <v/>
      </c>
      <c r="R248" s="27" t="str">
        <f t="shared" si="51"/>
        <v/>
      </c>
      <c r="S248" s="1" t="str">
        <f t="shared" si="52"/>
        <v/>
      </c>
      <c r="T248" s="28">
        <f t="shared" si="53"/>
        <v>139.19999999999999</v>
      </c>
    </row>
    <row r="249" spans="1:20" ht="12.75" x14ac:dyDescent="0.2">
      <c r="A249" s="18"/>
      <c r="B249" s="36" t="str">
        <f>IF('[1]E-Milch'!B94="","-",'[1]E-Milch'!B94)</f>
        <v>Gesamtstunden an Arbeitszeit</v>
      </c>
      <c r="C249" s="18"/>
      <c r="D249" s="31">
        <f>IF('[1]E-Milch'!G94="","",'[1]E-Milch'!G94)</f>
        <v>202.42399999999998</v>
      </c>
      <c r="E249" s="27"/>
      <c r="F249" s="32">
        <f>SUM('[1]E-Milch'!G93,H248)</f>
        <v>202.42399999999998</v>
      </c>
      <c r="H249" s="33" t="str">
        <f>IF(Milch!G94="","",Milch!G94)</f>
        <v/>
      </c>
      <c r="I249" s="29" t="str">
        <f>IF(B249="-","",IF(T249=P249,"Richtig!",IF(AND(P249&lt;&gt;T249,R249=T249),"Formel: OK",IF(T249="","Fehlt","Falsch"))))</f>
        <v>Fehlt</v>
      </c>
      <c r="J249" s="30">
        <f>IF(OR(B249="-",N249="",AND(P249="",T249="")),"-",IF(I249="Richtig!",1,IF(I249="Formel: OK",0.5,IF(OR(I249="Falsch",I249="Fehlt"),0,""))))</f>
        <v>0</v>
      </c>
      <c r="K249" s="23" t="str">
        <f t="shared" si="49"/>
        <v>│</v>
      </c>
      <c r="L249" s="24">
        <f t="shared" si="60"/>
        <v>1</v>
      </c>
      <c r="N249" s="882" t="str">
        <f>IF($L$1="","",$L$1)</f>
        <v>x</v>
      </c>
      <c r="P249" s="31">
        <f t="shared" si="56"/>
        <v>202.42400000000001</v>
      </c>
      <c r="Q249" s="27" t="str">
        <f t="shared" si="50"/>
        <v/>
      </c>
      <c r="R249" s="32">
        <f t="shared" si="51"/>
        <v>202.42400000000001</v>
      </c>
      <c r="S249" s="1" t="str">
        <f t="shared" si="52"/>
        <v/>
      </c>
      <c r="T249" s="33" t="str">
        <f t="shared" si="53"/>
        <v/>
      </c>
    </row>
    <row r="250" spans="1:20" ht="12.75" x14ac:dyDescent="0.2">
      <c r="A250" s="18"/>
      <c r="B250" s="36" t="str">
        <f>IF('[1]E-Milch'!B95="","-",'[1]E-Milch'!B95)</f>
        <v>DB je AK/Stunde</v>
      </c>
      <c r="C250" s="18"/>
      <c r="D250" s="31">
        <f>IF('[1]E-Milch'!G95="","",'[1]E-Milch'!G95)</f>
        <v>6.1363861213857742</v>
      </c>
      <c r="E250" s="27"/>
      <c r="F250" s="32">
        <f>IF(OR(F245="",F245="-",F249=""),"-",F245/F249)</f>
        <v>7.1463858040548569</v>
      </c>
      <c r="H250" s="33" t="str">
        <f>IF(Milch!G95="","",Milch!G95)</f>
        <v/>
      </c>
      <c r="I250" s="29" t="str">
        <f>IF(B250="-","",IF(T250=P250,"Richtig!",IF(AND(P250&lt;&gt;T250,R250=T250),"Formel: OK",IF(T250="","Fehlt","Falsch"))))</f>
        <v>Fehlt</v>
      </c>
      <c r="J250" s="30">
        <f>IF(OR(B250="-",N250="",AND(P250="",T250="")),"-",IF(I250="Richtig!",1,IF(I250="Formel: OK",0.5,IF(OR(I250="Falsch",I250="Fehlt"),0,""))))</f>
        <v>0</v>
      </c>
      <c r="K250" s="23" t="str">
        <f t="shared" si="49"/>
        <v>│</v>
      </c>
      <c r="L250" s="24">
        <f t="shared" si="60"/>
        <v>1</v>
      </c>
      <c r="N250" s="882" t="str">
        <f>IF($L$1="","",$L$1)</f>
        <v>x</v>
      </c>
      <c r="P250" s="31">
        <f t="shared" si="56"/>
        <v>6.1363899999999996</v>
      </c>
      <c r="Q250" s="27" t="str">
        <f t="shared" si="50"/>
        <v/>
      </c>
      <c r="R250" s="32">
        <f t="shared" si="51"/>
        <v>7.1463900000000002</v>
      </c>
      <c r="S250" s="1" t="str">
        <f t="shared" si="52"/>
        <v/>
      </c>
      <c r="T250" s="33" t="str">
        <f t="shared" si="53"/>
        <v/>
      </c>
    </row>
    <row r="251" spans="1:20" ht="12.75" x14ac:dyDescent="0.2">
      <c r="A251" s="18"/>
      <c r="C251" s="18"/>
      <c r="D251" s="19"/>
      <c r="H251" s="20"/>
      <c r="I251" s="21"/>
      <c r="J251" s="21"/>
      <c r="K251" s="23" t="str">
        <f t="shared" si="49"/>
        <v/>
      </c>
      <c r="L251" s="24" t="str">
        <f t="shared" si="60"/>
        <v/>
      </c>
      <c r="N251" s="883" t="str">
        <f>IF($L$1="","",$L$1)</f>
        <v>x</v>
      </c>
      <c r="P251" s="19" t="str">
        <f t="shared" si="56"/>
        <v/>
      </c>
      <c r="Q251" s="1" t="str">
        <f t="shared" si="50"/>
        <v/>
      </c>
      <c r="R251" s="1" t="str">
        <f t="shared" si="51"/>
        <v/>
      </c>
      <c r="S251" s="1" t="str">
        <f t="shared" si="52"/>
        <v/>
      </c>
      <c r="T251" s="20" t="str">
        <f t="shared" si="53"/>
        <v/>
      </c>
    </row>
    <row r="252" spans="1:20" ht="22.5" hidden="1" customHeight="1" x14ac:dyDescent="0.2">
      <c r="A252" s="10" t="s">
        <v>39</v>
      </c>
      <c r="B252" s="11"/>
      <c r="C252" s="12"/>
      <c r="D252" s="13" t="s">
        <v>4</v>
      </c>
      <c r="E252" s="13"/>
      <c r="F252" s="14" t="s">
        <v>5</v>
      </c>
      <c r="G252" s="12"/>
      <c r="H252" s="14" t="s">
        <v>6</v>
      </c>
      <c r="I252" s="15" t="str">
        <f>"Fehler"</f>
        <v>Fehler</v>
      </c>
      <c r="J252" s="16" t="s">
        <v>7</v>
      </c>
      <c r="K252" s="16"/>
      <c r="L252" s="16"/>
      <c r="N252" s="881"/>
      <c r="P252" s="13" t="str">
        <f t="shared" si="56"/>
        <v>Ergebnis</v>
      </c>
      <c r="Q252" s="13" t="str">
        <f t="shared" si="50"/>
        <v/>
      </c>
      <c r="R252" s="14" t="str">
        <f t="shared" si="51"/>
        <v>Formel-
prüfung</v>
      </c>
      <c r="S252" s="12" t="str">
        <f t="shared" si="52"/>
        <v/>
      </c>
      <c r="T252" s="14" t="str">
        <f t="shared" si="53"/>
        <v>Deine Be-rechnung</v>
      </c>
    </row>
    <row r="253" spans="1:20" ht="12.75" hidden="1" customHeight="1" x14ac:dyDescent="0.2">
      <c r="A253" s="17" t="s">
        <v>40</v>
      </c>
      <c r="B253" s="17"/>
      <c r="C253" s="18"/>
      <c r="D253" s="19"/>
      <c r="H253" s="17"/>
      <c r="I253" s="21"/>
      <c r="J253" s="21"/>
      <c r="K253" s="23" t="str">
        <f t="shared" si="49"/>
        <v/>
      </c>
      <c r="L253" s="24" t="str">
        <f t="shared" ref="L253:L296" si="62">IF(OR(B253="-",N253="",AND(P253="",T253="")),"",1)</f>
        <v/>
      </c>
      <c r="N253" s="880"/>
      <c r="P253" s="19" t="str">
        <f t="shared" si="56"/>
        <v/>
      </c>
      <c r="Q253" s="1" t="str">
        <f t="shared" si="50"/>
        <v/>
      </c>
      <c r="R253" s="1" t="str">
        <f t="shared" si="51"/>
        <v/>
      </c>
      <c r="S253" s="1" t="str">
        <f t="shared" si="52"/>
        <v/>
      </c>
      <c r="T253" s="17" t="str">
        <f t="shared" si="53"/>
        <v/>
      </c>
    </row>
    <row r="254" spans="1:20" ht="12.75" hidden="1" customHeight="1" x14ac:dyDescent="0.2">
      <c r="B254" s="25" t="str">
        <f>IF(MuKu!B7=""," - ",MuKu!$B$4&amp;" - "&amp;MuKu!B7)</f>
        <v>Futterbedarf - Bedarf/Tag</v>
      </c>
      <c r="C254" s="18"/>
      <c r="D254" s="26">
        <f>IF('[1]E-MuKu'!$D7="","",'[1]E-MuKu'!$D7)</f>
        <v>61.056773683326135</v>
      </c>
      <c r="E254" s="27"/>
      <c r="H254" s="39">
        <f>IF(MuKu!$D7="","",MuKu!$D7)</f>
        <v>61.056773683326135</v>
      </c>
      <c r="I254" s="29" t="str">
        <f>IF(T254=P254,"Richtig!",IF(T254="","Fehlt","Falsch"))</f>
        <v>Richtig!</v>
      </c>
      <c r="J254" s="30" t="str">
        <f>IF(OR(B254="-",N254="",AND(P254="",T254="")),"-",IF(I254="Richtig!",1,IF(I254="Formel: OK",0.5,IF(OR(I254="Falsch",I254="Fehlt"),0,""))))</f>
        <v>-</v>
      </c>
      <c r="K254" s="23" t="str">
        <f t="shared" si="49"/>
        <v/>
      </c>
      <c r="L254" s="24" t="str">
        <f t="shared" si="62"/>
        <v/>
      </c>
      <c r="N254" s="882"/>
      <c r="P254" s="26">
        <f t="shared" si="56"/>
        <v>61.05677</v>
      </c>
      <c r="Q254" s="27" t="str">
        <f t="shared" si="50"/>
        <v/>
      </c>
      <c r="R254" s="1" t="str">
        <f t="shared" si="51"/>
        <v/>
      </c>
      <c r="S254" s="1" t="str">
        <f t="shared" si="52"/>
        <v/>
      </c>
      <c r="T254" s="39">
        <f t="shared" si="53"/>
        <v>61.05677</v>
      </c>
    </row>
    <row r="255" spans="1:20" ht="12.75" hidden="1" customHeight="1" x14ac:dyDescent="0.2">
      <c r="B255" s="25" t="str">
        <f>IF(MuKu!B8=""," - ",MuKu!$B$4&amp;" - "&amp;MuKu!B8)</f>
        <v>Futterbedarf - Bedarf je Mutterkuh</v>
      </c>
      <c r="C255" s="18"/>
      <c r="D255" s="26">
        <f>IF('[1]E-MuKu'!$D8="","",'[1]E-MuKu'!$D8)</f>
        <v>17095.896631331318</v>
      </c>
      <c r="E255" s="27"/>
      <c r="F255" s="27"/>
      <c r="H255" s="39">
        <f>IF(MuKu!$D8="","",MuKu!$D8)</f>
        <v>17095.896631331318</v>
      </c>
      <c r="I255" s="29" t="str">
        <f>IF(T255=P255,"Richtig!",IF(T255="","Fehlt","Falsch"))</f>
        <v>Richtig!</v>
      </c>
      <c r="J255" s="30" t="str">
        <f>IF(OR(B255="-",N255="",AND(P255="",T255="")),"-",IF(I255="Richtig!",1,IF(I255="Formel: OK",0.5,IF(OR(I255="Falsch",I255="Fehlt"),0,""))))</f>
        <v>-</v>
      </c>
      <c r="K255" s="23" t="str">
        <f t="shared" si="49"/>
        <v/>
      </c>
      <c r="L255" s="24" t="str">
        <f t="shared" si="62"/>
        <v/>
      </c>
      <c r="N255" s="882"/>
      <c r="P255" s="26">
        <f t="shared" si="56"/>
        <v>17095.896629999999</v>
      </c>
      <c r="Q255" s="27" t="str">
        <f t="shared" si="50"/>
        <v/>
      </c>
      <c r="R255" s="27" t="str">
        <f t="shared" si="51"/>
        <v/>
      </c>
      <c r="S255" s="1" t="str">
        <f t="shared" si="52"/>
        <v/>
      </c>
      <c r="T255" s="39">
        <f t="shared" si="53"/>
        <v>17095.896629999999</v>
      </c>
    </row>
    <row r="256" spans="1:20" ht="12.75" hidden="1" customHeight="1" x14ac:dyDescent="0.2">
      <c r="B256" s="25" t="str">
        <f>IF(MuKu!B10=""," - ",MuKu!$B$4&amp;" - "&amp;MuKu!B10)</f>
        <v>Futterbedarf - Jahresbedarf ink. Nachkommen</v>
      </c>
      <c r="C256" s="18"/>
      <c r="D256" s="31">
        <f>IF('[1]E-MuKu'!$D10="","",'[1]E-MuKu'!$D10)</f>
        <v>24095.896631331318</v>
      </c>
      <c r="E256" s="27"/>
      <c r="F256" s="32">
        <f>IF(AND(H255="",MuKu!D9=""),"-",SUM(H255,MuKu!D9))</f>
        <v>24095.896631331318</v>
      </c>
      <c r="H256" s="40" t="str">
        <f>IF(MuKu!$D10="","",MuKu!$D10)</f>
        <v/>
      </c>
      <c r="I256" s="29" t="str">
        <f>IF(B256="-","",IF(T256=P256,"Richtig!",IF(AND(P256&lt;&gt;T256,R256=T256),"Formel: OK",IF(T256="","Fehlt","Falsch"))))</f>
        <v>Fehlt</v>
      </c>
      <c r="J256" s="30" t="str">
        <f>IF(OR(B256="-",N256="",AND(P256="",T256="")),"-",IF(I256="Richtig!",1,IF(I256="Formel: OK",0.5,IF(OR(I256="Falsch",I256="Fehlt"),0,""))))</f>
        <v>-</v>
      </c>
      <c r="K256" s="23" t="str">
        <f t="shared" si="49"/>
        <v/>
      </c>
      <c r="L256" s="24" t="str">
        <f t="shared" si="62"/>
        <v/>
      </c>
      <c r="N256" s="882"/>
      <c r="P256" s="31">
        <f t="shared" si="56"/>
        <v>24095.896629999999</v>
      </c>
      <c r="Q256" s="27" t="str">
        <f t="shared" si="50"/>
        <v/>
      </c>
      <c r="R256" s="32">
        <f t="shared" si="51"/>
        <v>24095.896629999999</v>
      </c>
      <c r="S256" s="1" t="str">
        <f t="shared" si="52"/>
        <v/>
      </c>
      <c r="T256" s="40" t="str">
        <f t="shared" si="53"/>
        <v/>
      </c>
    </row>
    <row r="257" spans="1:20" ht="12.75" hidden="1" customHeight="1" x14ac:dyDescent="0.2">
      <c r="A257" s="18"/>
      <c r="C257" s="18"/>
      <c r="D257" s="34"/>
      <c r="E257" s="27"/>
      <c r="F257" s="27"/>
      <c r="H257" s="41"/>
      <c r="I257" s="29"/>
      <c r="J257" s="29"/>
      <c r="K257" s="23" t="str">
        <f t="shared" si="49"/>
        <v/>
      </c>
      <c r="L257" s="24" t="str">
        <f t="shared" si="62"/>
        <v/>
      </c>
      <c r="N257" s="883"/>
      <c r="P257" s="34" t="str">
        <f t="shared" si="56"/>
        <v/>
      </c>
      <c r="Q257" s="27" t="str">
        <f t="shared" si="50"/>
        <v/>
      </c>
      <c r="R257" s="27" t="str">
        <f t="shared" si="51"/>
        <v/>
      </c>
      <c r="S257" s="1" t="str">
        <f t="shared" si="52"/>
        <v/>
      </c>
      <c r="T257" s="41" t="str">
        <f t="shared" si="53"/>
        <v/>
      </c>
    </row>
    <row r="258" spans="1:20" ht="12.75" hidden="1" customHeight="1" x14ac:dyDescent="0.2">
      <c r="A258" s="17" t="s">
        <v>41</v>
      </c>
      <c r="B258" s="17"/>
      <c r="C258" s="18"/>
      <c r="D258" s="19"/>
      <c r="H258" s="17"/>
      <c r="I258" s="21"/>
      <c r="J258" s="21"/>
      <c r="K258" s="23" t="str">
        <f t="shared" si="49"/>
        <v/>
      </c>
      <c r="L258" s="24" t="str">
        <f t="shared" si="62"/>
        <v/>
      </c>
      <c r="N258" s="880"/>
      <c r="P258" s="19" t="str">
        <f t="shared" si="56"/>
        <v/>
      </c>
      <c r="Q258" s="1" t="str">
        <f t="shared" si="50"/>
        <v/>
      </c>
      <c r="R258" s="1" t="str">
        <f t="shared" si="51"/>
        <v/>
      </c>
      <c r="S258" s="1" t="str">
        <f t="shared" si="52"/>
        <v/>
      </c>
      <c r="T258" s="17" t="str">
        <f t="shared" si="53"/>
        <v/>
      </c>
    </row>
    <row r="259" spans="1:20" ht="12.75" hidden="1" customHeight="1" x14ac:dyDescent="0.2">
      <c r="A259" s="17"/>
      <c r="B259" s="25" t="str">
        <f>IF(AND(MuKu!$E$22="",MuKu!B23=""),"-",("Verkaufsm"&amp;MID(MuKu!$E$22,2,4)&amp;" - "&amp;MuKu!B23))</f>
        <v>Verkaufsmenge - Kalbin</v>
      </c>
      <c r="C259" s="18"/>
      <c r="D259" s="26">
        <f>IF('[1]E-MuKu'!$E23="","",'[1]E-MuKu'!$E23)</f>
        <v>0.28333333333333333</v>
      </c>
      <c r="E259" s="27"/>
      <c r="H259" s="39">
        <f>IF(MuKu!$E23="","",MuKu!$E23)</f>
        <v>0.28333333333333333</v>
      </c>
      <c r="I259" s="29" t="str">
        <f>IF(T259=P259,"Richtig!",IF(T259="","Fehlt","Falsch"))</f>
        <v>Richtig!</v>
      </c>
      <c r="J259" s="30" t="str">
        <f t="shared" ref="J259:J265" si="63">IF(OR(B259="-",N259="",AND(P259="",T259="")),"-",IF(I259="Richtig!",1,IF(I259="Formel: OK",0.5,IF(OR(I259="Falsch",I259="Fehlt"),0,""))))</f>
        <v>-</v>
      </c>
      <c r="K259" s="23" t="str">
        <f t="shared" si="49"/>
        <v/>
      </c>
      <c r="L259" s="24" t="str">
        <f t="shared" si="62"/>
        <v/>
      </c>
      <c r="N259" s="882"/>
      <c r="P259" s="26">
        <f t="shared" si="56"/>
        <v>0.28333000000000003</v>
      </c>
      <c r="Q259" s="27" t="str">
        <f t="shared" si="50"/>
        <v/>
      </c>
      <c r="R259" s="1" t="str">
        <f t="shared" si="51"/>
        <v/>
      </c>
      <c r="S259" s="1" t="str">
        <f t="shared" si="52"/>
        <v/>
      </c>
      <c r="T259" s="39">
        <f t="shared" si="53"/>
        <v>0.28333000000000003</v>
      </c>
    </row>
    <row r="260" spans="1:20" ht="12.75" hidden="1" customHeight="1" x14ac:dyDescent="0.2">
      <c r="A260" s="17"/>
      <c r="B260" s="25" t="str">
        <f>IF(AND(MuKu!$E$22="",MuKu!B24=""),"-",("Verkaufsm"&amp;MID(MuKu!$E$22,2,4)&amp;" - "&amp;MuKu!B24))</f>
        <v>Verkaufsmenge - Stier</v>
      </c>
      <c r="C260" s="18"/>
      <c r="D260" s="26">
        <f>IF('[1]E-MuKu'!$E24="","",'[1]E-MuKu'!$E24)</f>
        <v>0.45</v>
      </c>
      <c r="E260" s="27"/>
      <c r="H260" s="39">
        <f>IF(MuKu!$E24="","",MuKu!$E24)</f>
        <v>0.45</v>
      </c>
      <c r="I260" s="29" t="str">
        <f>IF(T260=P260,"Richtig!",IF(T260="","Fehlt","Falsch"))</f>
        <v>Richtig!</v>
      </c>
      <c r="J260" s="30" t="str">
        <f t="shared" si="63"/>
        <v>-</v>
      </c>
      <c r="K260" s="23" t="str">
        <f t="shared" si="49"/>
        <v/>
      </c>
      <c r="L260" s="24" t="str">
        <f t="shared" si="62"/>
        <v/>
      </c>
      <c r="N260" s="882"/>
      <c r="P260" s="26">
        <f t="shared" si="56"/>
        <v>0.45</v>
      </c>
      <c r="Q260" s="27" t="str">
        <f t="shared" si="50"/>
        <v/>
      </c>
      <c r="R260" s="1" t="str">
        <f t="shared" si="51"/>
        <v/>
      </c>
      <c r="S260" s="1" t="str">
        <f t="shared" si="52"/>
        <v/>
      </c>
      <c r="T260" s="39">
        <f t="shared" si="53"/>
        <v>0.45</v>
      </c>
    </row>
    <row r="261" spans="1:20" ht="12.75" hidden="1" customHeight="1" x14ac:dyDescent="0.2">
      <c r="B261" s="25" t="str">
        <f>IF(AND(MuKu!$E$22="",MuKu!B25=""),"-",("Verkaufsm"&amp;MID(MuKu!$E$22,2,4)&amp;" - "&amp;MID(MuKu!B25,1,6)))</f>
        <v>Verkaufsmenge - Altkuh</v>
      </c>
      <c r="C261" s="18"/>
      <c r="D261" s="26">
        <f>IF('[1]E-MuKu'!$E25="","",'[1]E-MuKu'!$E25)</f>
        <v>0.16666666666666666</v>
      </c>
      <c r="E261" s="27"/>
      <c r="H261" s="39" t="str">
        <f>IF(MuKu!$E25="","",MuKu!$E25)</f>
        <v/>
      </c>
      <c r="I261" s="29" t="str">
        <f>IF(T261=P261,"Richtig!",IF(T261="","Fehlt","Falsch"))</f>
        <v>Fehlt</v>
      </c>
      <c r="J261" s="30" t="str">
        <f t="shared" si="63"/>
        <v>-</v>
      </c>
      <c r="K261" s="23" t="str">
        <f t="shared" si="49"/>
        <v/>
      </c>
      <c r="L261" s="24" t="str">
        <f t="shared" si="62"/>
        <v/>
      </c>
      <c r="N261" s="882"/>
      <c r="P261" s="26">
        <f t="shared" si="56"/>
        <v>0.16667000000000001</v>
      </c>
      <c r="Q261" s="27" t="str">
        <f t="shared" si="50"/>
        <v/>
      </c>
      <c r="R261" s="1" t="str">
        <f t="shared" si="51"/>
        <v/>
      </c>
      <c r="S261" s="1" t="str">
        <f t="shared" si="52"/>
        <v/>
      </c>
      <c r="T261" s="39" t="str">
        <f t="shared" si="53"/>
        <v/>
      </c>
    </row>
    <row r="262" spans="1:20" ht="12.75" hidden="1" customHeight="1" x14ac:dyDescent="0.2">
      <c r="B262" s="25" t="str">
        <f>IF(MuKu!B23=""," - ",MuKu!$B$21&amp;" - "&amp;MuKu!B23)</f>
        <v>Rohertrag - Kalbin</v>
      </c>
      <c r="C262" s="18"/>
      <c r="D262" s="31">
        <f>IF('[1]E-MuKu'!$H23="","",'[1]E-MuKu'!$H23)</f>
        <v>222.53</v>
      </c>
      <c r="E262" s="27"/>
      <c r="F262" s="32">
        <f>IF(OR(H259="",MuKu!C18="",MuKu!E18="",MuKu!H18=""),"-",H259*MuKu!C18*MuKu!E18*MuKu!H18)</f>
        <v>222.53</v>
      </c>
      <c r="H262" s="40">
        <f>IF(MuKu!$H23="","",MuKu!$H23)</f>
        <v>222.53</v>
      </c>
      <c r="I262" s="29" t="str">
        <f>IF(B262="-","",IF(T262=P262,"Richtig!",IF(AND(P262&lt;&gt;T262,R262=T262),"Formel: OK",IF(T262="","Fehlt","Falsch"))))</f>
        <v>Richtig!</v>
      </c>
      <c r="J262" s="30" t="str">
        <f t="shared" si="63"/>
        <v>-</v>
      </c>
      <c r="K262" s="23" t="str">
        <f t="shared" si="49"/>
        <v/>
      </c>
      <c r="L262" s="24" t="str">
        <f t="shared" si="62"/>
        <v/>
      </c>
      <c r="N262" s="882"/>
      <c r="P262" s="31">
        <f t="shared" si="56"/>
        <v>222.53</v>
      </c>
      <c r="Q262" s="27" t="str">
        <f t="shared" si="50"/>
        <v/>
      </c>
      <c r="R262" s="32">
        <f t="shared" si="51"/>
        <v>222.53</v>
      </c>
      <c r="S262" s="1" t="str">
        <f t="shared" si="52"/>
        <v/>
      </c>
      <c r="T262" s="40">
        <f t="shared" si="53"/>
        <v>222.53</v>
      </c>
    </row>
    <row r="263" spans="1:20" ht="12.75" hidden="1" customHeight="1" x14ac:dyDescent="0.2">
      <c r="B263" s="25" t="str">
        <f>IF(MuKu!B24=""," - ",MuKu!$B$21&amp;" - "&amp;MuKu!B24)</f>
        <v>Rohertrag - Stier</v>
      </c>
      <c r="C263" s="18"/>
      <c r="D263" s="31">
        <f>IF('[1]E-MuKu'!$H24="","",'[1]E-MuKu'!$H24)</f>
        <v>435.47714999999999</v>
      </c>
      <c r="E263" s="27"/>
      <c r="F263" s="32">
        <f>IF(OR(H260="",MuKu!C19="",MuKu!E19="",MuKu!H19=""),"-",H260*MuKu!C19*MuKu!E19*MuKu!H19)</f>
        <v>435.47714999999999</v>
      </c>
      <c r="H263" s="40">
        <f>IF(MuKu!$H24="","",MuKu!$H24)</f>
        <v>435.47714999999999</v>
      </c>
      <c r="I263" s="29" t="str">
        <f>IF(B263="-","",IF(T263=P263,"Richtig!",IF(AND(P263&lt;&gt;T263,R263=T263),"Formel: OK",IF(T263="","Fehlt","Falsch"))))</f>
        <v>Richtig!</v>
      </c>
      <c r="J263" s="30" t="str">
        <f t="shared" si="63"/>
        <v>-</v>
      </c>
      <c r="K263" s="23" t="str">
        <f t="shared" si="49"/>
        <v/>
      </c>
      <c r="L263" s="24" t="str">
        <f t="shared" si="62"/>
        <v/>
      </c>
      <c r="N263" s="882"/>
      <c r="P263" s="31">
        <f t="shared" si="56"/>
        <v>435.47714999999999</v>
      </c>
      <c r="Q263" s="27" t="str">
        <f t="shared" si="50"/>
        <v/>
      </c>
      <c r="R263" s="32">
        <f t="shared" si="51"/>
        <v>435.47714999999999</v>
      </c>
      <c r="S263" s="1" t="str">
        <f t="shared" si="52"/>
        <v/>
      </c>
      <c r="T263" s="40">
        <f t="shared" si="53"/>
        <v>435.47714999999999</v>
      </c>
    </row>
    <row r="264" spans="1:20" ht="12.75" hidden="1" customHeight="1" x14ac:dyDescent="0.2">
      <c r="B264" s="25" t="str">
        <f>IF(MuKu!B25=""," - ",MuKu!$B$21&amp;" - "&amp;MuKu!B25)</f>
        <v>Rohertrag - Altkuherlös</v>
      </c>
      <c r="C264" s="18"/>
      <c r="D264" s="31">
        <f>IF('[1]E-MuKu'!$H25="","",'[1]E-MuKu'!$H25)</f>
        <v>105</v>
      </c>
      <c r="E264" s="27"/>
      <c r="F264" s="32" t="str">
        <f>IF(OR(H261="",MuKu!D25="",MuKu!H15=""),"-",H261*MuKu!D25*MuKu!H15)</f>
        <v>-</v>
      </c>
      <c r="H264" s="40">
        <f>IF(MuKu!$H25="","",MuKu!$H25)</f>
        <v>0</v>
      </c>
      <c r="I264" s="29" t="str">
        <f>IF(B264="-","",IF(T264=P264,"Richtig!",IF(AND(P264&lt;&gt;T264,R264=T264),"Formel: OK",IF(T264="","Fehlt","Falsch"))))</f>
        <v>Falsch</v>
      </c>
      <c r="J264" s="30" t="str">
        <f t="shared" si="63"/>
        <v>-</v>
      </c>
      <c r="K264" s="23" t="str">
        <f t="shared" si="49"/>
        <v/>
      </c>
      <c r="L264" s="24" t="str">
        <f t="shared" si="62"/>
        <v/>
      </c>
      <c r="N264" s="882"/>
      <c r="P264" s="31">
        <f t="shared" si="56"/>
        <v>105</v>
      </c>
      <c r="Q264" s="27" t="str">
        <f t="shared" si="50"/>
        <v/>
      </c>
      <c r="R264" s="32" t="str">
        <f t="shared" si="51"/>
        <v>-</v>
      </c>
      <c r="S264" s="1" t="str">
        <f t="shared" si="52"/>
        <v/>
      </c>
      <c r="T264" s="40">
        <f t="shared" si="53"/>
        <v>0</v>
      </c>
    </row>
    <row r="265" spans="1:20" ht="12.75" hidden="1" customHeight="1" x14ac:dyDescent="0.2">
      <c r="B265" s="36" t="str">
        <f>IF(MuKu!B26=""," - ",MuKu!B26)</f>
        <v>SUMME ROHERTRAG</v>
      </c>
      <c r="C265" s="18"/>
      <c r="D265" s="31">
        <f>IF('[1]E-MuKu'!$H26="","",'[1]E-MuKu'!$H26)</f>
        <v>763.00715000000002</v>
      </c>
      <c r="E265" s="27"/>
      <c r="F265" s="32">
        <f>IF(AND(H262="",H263="",H264=""),"-",SUM(H262:H264))</f>
        <v>658.00715000000002</v>
      </c>
      <c r="H265" s="40" t="str">
        <f>IF(MuKu!$H26="","",MuKu!$H26)</f>
        <v/>
      </c>
      <c r="I265" s="29" t="str">
        <f>IF(B265="-","",IF(T265=P265,"Richtig!",IF(AND(P265&lt;&gt;T265,R265=T265),"Formel: OK",IF(T265="","Fehlt","Falsch"))))</f>
        <v>Fehlt</v>
      </c>
      <c r="J265" s="30" t="str">
        <f t="shared" si="63"/>
        <v>-</v>
      </c>
      <c r="K265" s="23" t="str">
        <f t="shared" si="49"/>
        <v/>
      </c>
      <c r="L265" s="24" t="str">
        <f t="shared" si="62"/>
        <v/>
      </c>
      <c r="N265" s="882"/>
      <c r="P265" s="31">
        <f t="shared" si="56"/>
        <v>763.00715000000002</v>
      </c>
      <c r="Q265" s="27" t="str">
        <f t="shared" si="50"/>
        <v/>
      </c>
      <c r="R265" s="32">
        <f t="shared" si="51"/>
        <v>658.00715000000002</v>
      </c>
      <c r="S265" s="1" t="str">
        <f t="shared" si="52"/>
        <v/>
      </c>
      <c r="T265" s="40" t="str">
        <f t="shared" si="53"/>
        <v/>
      </c>
    </row>
    <row r="266" spans="1:20" ht="12.75" hidden="1" customHeight="1" x14ac:dyDescent="0.2">
      <c r="A266" s="18"/>
      <c r="B266" s="18"/>
      <c r="C266" s="18"/>
      <c r="D266" s="34"/>
      <c r="E266" s="27"/>
      <c r="F266" s="27"/>
      <c r="H266" s="41"/>
      <c r="I266" s="29"/>
      <c r="J266" s="29"/>
      <c r="K266" s="23" t="str">
        <f t="shared" ref="K266:K329" si="64">IF(L266="","","│")</f>
        <v/>
      </c>
      <c r="L266" s="24" t="str">
        <f t="shared" si="62"/>
        <v/>
      </c>
      <c r="N266" s="883"/>
      <c r="P266" s="34" t="str">
        <f t="shared" si="56"/>
        <v/>
      </c>
      <c r="Q266" s="27" t="str">
        <f t="shared" ref="Q266:Q329" si="65">IF(ISTEXT(E266),E266,IF(E266="","",ROUND(E266,$R$1)))</f>
        <v/>
      </c>
      <c r="R266" s="27" t="str">
        <f t="shared" ref="R266:R329" si="66">IF(ISTEXT(F266),F266,IF(F266="","",ROUND(F266,$R$1)))</f>
        <v/>
      </c>
      <c r="S266" s="1" t="str">
        <f t="shared" ref="S266:S329" si="67">IF(ISTEXT(G266),G266,IF(G266="","",ROUND(G266,$R$1)))</f>
        <v/>
      </c>
      <c r="T266" s="41" t="str">
        <f t="shared" ref="T266:T329" si="68">IF(ISTEXT(H266),H266,IF(H266="","",ROUND(H266,$R$1)))</f>
        <v/>
      </c>
    </row>
    <row r="267" spans="1:20" ht="12.75" hidden="1" customHeight="1" x14ac:dyDescent="0.2">
      <c r="A267" s="17" t="s">
        <v>42</v>
      </c>
      <c r="B267" s="17"/>
      <c r="C267" s="18"/>
      <c r="D267" s="19"/>
      <c r="H267" s="17"/>
      <c r="I267" s="21"/>
      <c r="J267" s="21"/>
      <c r="K267" s="23" t="str">
        <f t="shared" si="64"/>
        <v/>
      </c>
      <c r="L267" s="24" t="str">
        <f t="shared" si="62"/>
        <v/>
      </c>
      <c r="N267" s="880"/>
      <c r="P267" s="19" t="str">
        <f t="shared" ref="P267:P330" si="69">IF(ISTEXT(D267),D267,IF(D267="","",ROUND(D267,$R$1)))</f>
        <v/>
      </c>
      <c r="Q267" s="1" t="str">
        <f t="shared" si="65"/>
        <v/>
      </c>
      <c r="R267" s="1" t="str">
        <f t="shared" si="66"/>
        <v/>
      </c>
      <c r="S267" s="1" t="str">
        <f t="shared" si="67"/>
        <v/>
      </c>
      <c r="T267" s="17" t="str">
        <f t="shared" si="68"/>
        <v/>
      </c>
    </row>
    <row r="268" spans="1:20" ht="12.75" hidden="1" customHeight="1" x14ac:dyDescent="0.2">
      <c r="A268" s="18"/>
      <c r="B268" s="36" t="str">
        <f>IF(MuKu!B29=""," - ",MuKu!B29&amp;" - "&amp;MuKu!D28)</f>
        <v>Bestandsergänzung - Menge</v>
      </c>
      <c r="C268" s="18"/>
      <c r="D268" s="26">
        <f>IF('[1]E-MuKu'!$D29="","",'[1]E-MuKu'!$D29)</f>
        <v>0.16666666666666666</v>
      </c>
      <c r="E268" s="27"/>
      <c r="F268" s="27"/>
      <c r="H268" s="39">
        <f>IF(MuKu!$D29="","",MuKu!$D29)</f>
        <v>0.16666666666666666</v>
      </c>
      <c r="I268" s="29" t="str">
        <f>IF(B268="-","",IF(T268=P268,"Richtig!",IF(T268="","Fehlt","Falsch")))</f>
        <v>Richtig!</v>
      </c>
      <c r="J268" s="30" t="str">
        <f t="shared" ref="J268:J281" si="70">IF(OR(B268="-",N268="",AND(P268="",T268="")),"-",IF(I268="Richtig!",1,IF(I268="Formel: OK",0.5,IF(OR(I268="Falsch",I268="Fehlt"),0,""))))</f>
        <v>-</v>
      </c>
      <c r="K268" s="23" t="str">
        <f t="shared" si="64"/>
        <v/>
      </c>
      <c r="L268" s="24" t="str">
        <f t="shared" si="62"/>
        <v/>
      </c>
      <c r="N268" s="882"/>
      <c r="P268" s="26">
        <f t="shared" si="69"/>
        <v>0.16667000000000001</v>
      </c>
      <c r="Q268" s="27" t="str">
        <f t="shared" si="65"/>
        <v/>
      </c>
      <c r="R268" s="27" t="str">
        <f t="shared" si="66"/>
        <v/>
      </c>
      <c r="S268" s="1" t="str">
        <f t="shared" si="67"/>
        <v/>
      </c>
      <c r="T268" s="39">
        <f t="shared" si="68"/>
        <v>0.16667000000000001</v>
      </c>
    </row>
    <row r="269" spans="1:20" ht="12.75" hidden="1" customHeight="1" x14ac:dyDescent="0.2">
      <c r="A269" s="18"/>
      <c r="B269" s="36" t="str">
        <f>IF(MuKu!B29=""," - ",MID(MuKu!$B$28,1,1)&amp;MID(MuKu!$B$28,10,1)&amp;" - "&amp;MuKu!B29)</f>
        <v>VK - Bestandsergänzung</v>
      </c>
      <c r="C269" s="18"/>
      <c r="D269" s="31">
        <f>IF('[1]E-MuKu'!$H29="","",'[1]E-MuKu'!$H29)</f>
        <v>130.89999999999998</v>
      </c>
      <c r="E269" s="27"/>
      <c r="F269" s="32">
        <f>IF(OR(H262="",H259="",H268=""),"-",H262/H259*H268)</f>
        <v>130.89999999999998</v>
      </c>
      <c r="H269" s="40">
        <f>IF(MuKu!$H29="","",MuKu!$H29)</f>
        <v>130.9</v>
      </c>
      <c r="I269" s="29" t="str">
        <f>IF(B269="-","",IF(T269=P269,"Richtig!",IF(AND(P269&lt;&gt;T269,R269=T269),"Formel: OK",IF(T269="","Fehlt","Falsch"))))</f>
        <v>Richtig!</v>
      </c>
      <c r="J269" s="30" t="str">
        <f t="shared" si="70"/>
        <v>-</v>
      </c>
      <c r="K269" s="23" t="str">
        <f t="shared" si="64"/>
        <v/>
      </c>
      <c r="L269" s="24" t="str">
        <f t="shared" si="62"/>
        <v/>
      </c>
      <c r="N269" s="882"/>
      <c r="P269" s="31">
        <f t="shared" si="69"/>
        <v>130.9</v>
      </c>
      <c r="Q269" s="27" t="str">
        <f t="shared" si="65"/>
        <v/>
      </c>
      <c r="R269" s="32">
        <f t="shared" si="66"/>
        <v>130.9</v>
      </c>
      <c r="S269" s="1" t="str">
        <f t="shared" si="67"/>
        <v/>
      </c>
      <c r="T269" s="40">
        <f t="shared" si="68"/>
        <v>130.9</v>
      </c>
    </row>
    <row r="270" spans="1:20" ht="12.75" hidden="1" customHeight="1" x14ac:dyDescent="0.2">
      <c r="A270" s="18"/>
      <c r="B270" s="36" t="str">
        <f>IF(MuKu!B30=""," - ",MID(MuKu!$B$28,1,1)&amp;MID(MuKu!$B$28,10,1)&amp;" - "&amp;MuKu!B30)</f>
        <v xml:space="preserve">VK - KF-Gaben </v>
      </c>
      <c r="C270" s="18"/>
      <c r="D270" s="26">
        <f>IF('[1]E-MuKu'!$H30="","",'[1]E-MuKu'!$H30)</f>
        <v>8.4</v>
      </c>
      <c r="E270" s="27"/>
      <c r="F270" s="27"/>
      <c r="H270" s="39" t="str">
        <f>IF(MuKu!$H30="","",MuKu!$H30)</f>
        <v/>
      </c>
      <c r="I270" s="29" t="str">
        <f>IF(B270="-","",IF(T270=P270,"Richtig!",IF(T270="","Fehlt","Falsch")))</f>
        <v>Fehlt</v>
      </c>
      <c r="J270" s="30" t="str">
        <f t="shared" si="70"/>
        <v>-</v>
      </c>
      <c r="K270" s="23" t="str">
        <f t="shared" si="64"/>
        <v/>
      </c>
      <c r="L270" s="24" t="str">
        <f t="shared" si="62"/>
        <v/>
      </c>
      <c r="N270" s="882"/>
      <c r="P270" s="26">
        <f t="shared" si="69"/>
        <v>8.4</v>
      </c>
      <c r="Q270" s="27" t="str">
        <f t="shared" si="65"/>
        <v/>
      </c>
      <c r="R270" s="27" t="str">
        <f t="shared" si="66"/>
        <v/>
      </c>
      <c r="S270" s="1" t="str">
        <f t="shared" si="67"/>
        <v/>
      </c>
      <c r="T270" s="39" t="str">
        <f t="shared" si="68"/>
        <v/>
      </c>
    </row>
    <row r="271" spans="1:20" ht="12.75" hidden="1" customHeight="1" x14ac:dyDescent="0.2">
      <c r="A271" s="18"/>
      <c r="B271" s="36" t="str">
        <f>IF(MuKu!B31=""," - ",MID(MuKu!$B$28,1,1)&amp;MID(MuKu!$B$28,10,1)&amp;" - "&amp;MuKu!B31)</f>
        <v>VK - Mineralstoffe</v>
      </c>
      <c r="C271" s="18"/>
      <c r="D271" s="26">
        <f>IF('[1]E-MuKu'!$H31="","",'[1]E-MuKu'!$H31)</f>
        <v>8.6</v>
      </c>
      <c r="E271" s="27"/>
      <c r="F271" s="27"/>
      <c r="H271" s="39" t="str">
        <f>IF(MuKu!$H31="","",MuKu!$H31)</f>
        <v/>
      </c>
      <c r="I271" s="29" t="str">
        <f>IF(B271="-","",IF(T271=P271,"Richtig!",IF(T271="","Fehlt","Falsch")))</f>
        <v>Fehlt</v>
      </c>
      <c r="J271" s="30" t="str">
        <f t="shared" si="70"/>
        <v>-</v>
      </c>
      <c r="K271" s="23" t="str">
        <f t="shared" si="64"/>
        <v/>
      </c>
      <c r="L271" s="24" t="str">
        <f t="shared" si="62"/>
        <v/>
      </c>
      <c r="N271" s="882"/>
      <c r="P271" s="26">
        <f t="shared" si="69"/>
        <v>8.6</v>
      </c>
      <c r="Q271" s="27" t="str">
        <f t="shared" si="65"/>
        <v/>
      </c>
      <c r="R271" s="27" t="str">
        <f t="shared" si="66"/>
        <v/>
      </c>
      <c r="S271" s="1" t="str">
        <f t="shared" si="67"/>
        <v/>
      </c>
      <c r="T271" s="39" t="str">
        <f t="shared" si="68"/>
        <v/>
      </c>
    </row>
    <row r="272" spans="1:20" ht="12.75" hidden="1" customHeight="1" x14ac:dyDescent="0.2">
      <c r="A272" s="18"/>
      <c r="B272" s="36" t="str">
        <f>IF(MuKu!B32=""," - ",MID(MuKu!$B$28,1,1)&amp;MID(MuKu!$B$28,10,1)&amp;" - "&amp;MuKu!B32)</f>
        <v>VK - Tierarzt Med.</v>
      </c>
      <c r="C272" s="18"/>
      <c r="D272" s="26">
        <f>IF('[1]E-MuKu'!$H32="","",'[1]E-MuKu'!$H32)</f>
        <v>16.149999999999999</v>
      </c>
      <c r="E272" s="27"/>
      <c r="F272" s="27"/>
      <c r="H272" s="39">
        <f>IF(MuKu!$H32="","",MuKu!$H32)</f>
        <v>16.149999999999999</v>
      </c>
      <c r="I272" s="29" t="str">
        <f>IF(B272="-","",IF(T272=P272,"Richtig!",IF(T272="","Fehlt","Falsch")))</f>
        <v>Richtig!</v>
      </c>
      <c r="J272" s="30" t="str">
        <f t="shared" si="70"/>
        <v>-</v>
      </c>
      <c r="K272" s="23" t="str">
        <f t="shared" si="64"/>
        <v/>
      </c>
      <c r="L272" s="24" t="str">
        <f t="shared" si="62"/>
        <v/>
      </c>
      <c r="N272" s="882"/>
      <c r="P272" s="26">
        <f t="shared" si="69"/>
        <v>16.149999999999999</v>
      </c>
      <c r="Q272" s="27" t="str">
        <f t="shared" si="65"/>
        <v/>
      </c>
      <c r="R272" s="27" t="str">
        <f t="shared" si="66"/>
        <v/>
      </c>
      <c r="S272" s="1" t="str">
        <f t="shared" si="67"/>
        <v/>
      </c>
      <c r="T272" s="39">
        <f t="shared" si="68"/>
        <v>16.149999999999999</v>
      </c>
    </row>
    <row r="273" spans="1:20" ht="12.75" hidden="1" customHeight="1" x14ac:dyDescent="0.2">
      <c r="A273" s="18"/>
      <c r="B273" s="36" t="str">
        <f>IF(MuKu!B33=""," - ",MID(MuKu!$B$28,1,1)&amp;MID(MuKu!$B$28,10,1)&amp;" - "&amp;MuKu!B33)</f>
        <v>VK - Deckgeld</v>
      </c>
      <c r="C273" s="18"/>
      <c r="D273" s="26">
        <f>IF('[1]E-MuKu'!$H33="","",'[1]E-MuKu'!$H33)</f>
        <v>28.5</v>
      </c>
      <c r="E273" s="27"/>
      <c r="F273" s="27"/>
      <c r="H273" s="39">
        <f>IF(MuKu!$H33="","",MuKu!$H33)</f>
        <v>28.5</v>
      </c>
      <c r="I273" s="29" t="str">
        <f>IF(B273="-","",IF(T273=P273,"Richtig!",IF(T273="","Fehlt","Falsch")))</f>
        <v>Richtig!</v>
      </c>
      <c r="J273" s="30" t="str">
        <f t="shared" si="70"/>
        <v>-</v>
      </c>
      <c r="K273" s="23" t="str">
        <f t="shared" si="64"/>
        <v/>
      </c>
      <c r="L273" s="24" t="str">
        <f t="shared" si="62"/>
        <v/>
      </c>
      <c r="N273" s="882"/>
      <c r="P273" s="26">
        <f t="shared" si="69"/>
        <v>28.5</v>
      </c>
      <c r="Q273" s="27" t="str">
        <f t="shared" si="65"/>
        <v/>
      </c>
      <c r="R273" s="27" t="str">
        <f t="shared" si="66"/>
        <v/>
      </c>
      <c r="S273" s="1" t="str">
        <f t="shared" si="67"/>
        <v/>
      </c>
      <c r="T273" s="39">
        <f t="shared" si="68"/>
        <v>28.5</v>
      </c>
    </row>
    <row r="274" spans="1:20" ht="12.75" hidden="1" customHeight="1" x14ac:dyDescent="0.2">
      <c r="A274" s="18"/>
      <c r="B274" s="36" t="str">
        <f>IF(MuKu!B34=""," - ",MID(MuKu!$B$28,1,1)&amp;MID(MuKu!$B$28,10,1)&amp;" - "&amp;MuKu!B34)</f>
        <v>VK - Versicherung</v>
      </c>
      <c r="C274" s="18"/>
      <c r="D274" s="31">
        <f>IF('[1]E-MuKu'!$H34="","",'[1]E-MuKu'!$H34)</f>
        <v>22.890214499999999</v>
      </c>
      <c r="E274" s="27"/>
      <c r="F274" s="32" t="str">
        <f>IF(OR(H265="",MuKu!D34=""),"-",H265*MuKu!D34)</f>
        <v>-</v>
      </c>
      <c r="H274" s="40">
        <f>IF(MuKu!$H34="","",MuKu!$H34)</f>
        <v>0</v>
      </c>
      <c r="I274" s="29" t="str">
        <f>IF(B274="-","",IF(T274=P274,"Richtig!",IF(AND(P274&lt;&gt;T274,R274=T274),"Formel: OK",IF(T274="","Fehlt","Falsch"))))</f>
        <v>Falsch</v>
      </c>
      <c r="J274" s="30" t="str">
        <f t="shared" si="70"/>
        <v>-</v>
      </c>
      <c r="K274" s="23" t="str">
        <f t="shared" si="64"/>
        <v/>
      </c>
      <c r="L274" s="24" t="str">
        <f t="shared" si="62"/>
        <v/>
      </c>
      <c r="N274" s="882"/>
      <c r="P274" s="31">
        <f t="shared" si="69"/>
        <v>22.89021</v>
      </c>
      <c r="Q274" s="27" t="str">
        <f t="shared" si="65"/>
        <v/>
      </c>
      <c r="R274" s="32" t="str">
        <f t="shared" si="66"/>
        <v>-</v>
      </c>
      <c r="S274" s="1" t="str">
        <f t="shared" si="67"/>
        <v/>
      </c>
      <c r="T274" s="40">
        <f t="shared" si="68"/>
        <v>0</v>
      </c>
    </row>
    <row r="275" spans="1:20" ht="12.75" hidden="1" customHeight="1" x14ac:dyDescent="0.2">
      <c r="A275" s="18"/>
      <c r="B275" s="36" t="str">
        <f>IF(MuKu!B35=""," - ",MID(MuKu!$B$28,1,1)&amp;MID(MuKu!$B$28,10,1)&amp;" - "&amp;MuKu!B35)</f>
        <v>VK - Beiträge</v>
      </c>
      <c r="C275" s="18"/>
      <c r="D275" s="26">
        <f>IF('[1]E-MuKu'!$H35="","",'[1]E-MuKu'!$H35)</f>
        <v>13.3</v>
      </c>
      <c r="E275" s="27"/>
      <c r="F275" s="27"/>
      <c r="H275" s="39">
        <f>IF(MuKu!$H35="","",MuKu!$H35)</f>
        <v>13.3</v>
      </c>
      <c r="I275" s="29" t="str">
        <f>IF(B275="-","",IF(T275=P275,"Richtig!",IF(T275="","Fehlt","Falsch")))</f>
        <v>Richtig!</v>
      </c>
      <c r="J275" s="30" t="str">
        <f t="shared" si="70"/>
        <v>-</v>
      </c>
      <c r="K275" s="23" t="str">
        <f t="shared" si="64"/>
        <v/>
      </c>
      <c r="L275" s="24" t="str">
        <f t="shared" si="62"/>
        <v/>
      </c>
      <c r="N275" s="882"/>
      <c r="P275" s="26">
        <f t="shared" si="69"/>
        <v>13.3</v>
      </c>
      <c r="Q275" s="27" t="str">
        <f t="shared" si="65"/>
        <v/>
      </c>
      <c r="R275" s="27" t="str">
        <f t="shared" si="66"/>
        <v/>
      </c>
      <c r="S275" s="1" t="str">
        <f t="shared" si="67"/>
        <v/>
      </c>
      <c r="T275" s="39">
        <f t="shared" si="68"/>
        <v>13.3</v>
      </c>
    </row>
    <row r="276" spans="1:20" ht="12.75" hidden="1" customHeight="1" x14ac:dyDescent="0.2">
      <c r="A276" s="18"/>
      <c r="B276" s="36" t="str">
        <f>IF(MuKu!B36=""," - ",MID(MuKu!$B$28,1,1)&amp;MID(MuKu!$B$28,10,1)&amp;" - "&amp;MuKu!B36)</f>
        <v>VK - Sonstige Kosten</v>
      </c>
      <c r="C276" s="18"/>
      <c r="D276" s="26">
        <f>IF('[1]E-MuKu'!$H36="","",'[1]E-MuKu'!$H36)</f>
        <v>45.6</v>
      </c>
      <c r="E276" s="27"/>
      <c r="F276" s="27"/>
      <c r="H276" s="39">
        <f>IF(MuKu!$H36="","",MuKu!$H36)</f>
        <v>45.6</v>
      </c>
      <c r="I276" s="29" t="str">
        <f>IF(B276="-","",IF(T276=P276,"Richtig!",IF(T276="","Fehlt","Falsch")))</f>
        <v>Richtig!</v>
      </c>
      <c r="J276" s="30" t="str">
        <f t="shared" si="70"/>
        <v>-</v>
      </c>
      <c r="K276" s="23" t="str">
        <f t="shared" si="64"/>
        <v/>
      </c>
      <c r="L276" s="24" t="str">
        <f t="shared" si="62"/>
        <v/>
      </c>
      <c r="N276" s="882"/>
      <c r="P276" s="26">
        <f t="shared" si="69"/>
        <v>45.6</v>
      </c>
      <c r="Q276" s="27" t="str">
        <f t="shared" si="65"/>
        <v/>
      </c>
      <c r="R276" s="27" t="str">
        <f t="shared" si="66"/>
        <v/>
      </c>
      <c r="S276" s="1" t="str">
        <f t="shared" si="67"/>
        <v/>
      </c>
      <c r="T276" s="39">
        <f t="shared" si="68"/>
        <v>45.6</v>
      </c>
    </row>
    <row r="277" spans="1:20" ht="12.75" hidden="1" customHeight="1" x14ac:dyDescent="0.2">
      <c r="A277" s="18"/>
      <c r="B277" s="36" t="str">
        <f>IF(MuKu!B37=""," - ",MID(MuKu!$B$28,1,1)&amp;MID(MuKu!$B$28,10,1)&amp;" - "&amp;MuKu!B37)</f>
        <v>VK - Alpung, Transportkosten....</v>
      </c>
      <c r="C277" s="18"/>
      <c r="D277" s="26">
        <f>IF('[1]E-MuKu'!$H37="","",'[1]E-MuKu'!$H37)</f>
        <v>30.4</v>
      </c>
      <c r="E277" s="27"/>
      <c r="F277" s="27"/>
      <c r="H277" s="39">
        <f>IF(MuKu!$H37="","",MuKu!$H37)</f>
        <v>30.4</v>
      </c>
      <c r="I277" s="29" t="str">
        <f>IF(B277="-","",IF(T277=P277,"Richtig!",IF(T277="","Fehlt","Falsch")))</f>
        <v>Richtig!</v>
      </c>
      <c r="J277" s="30" t="str">
        <f t="shared" si="70"/>
        <v>-</v>
      </c>
      <c r="K277" s="23" t="str">
        <f t="shared" si="64"/>
        <v/>
      </c>
      <c r="L277" s="24" t="str">
        <f t="shared" si="62"/>
        <v/>
      </c>
      <c r="N277" s="882"/>
      <c r="P277" s="26">
        <f t="shared" si="69"/>
        <v>30.4</v>
      </c>
      <c r="Q277" s="27" t="str">
        <f t="shared" si="65"/>
        <v/>
      </c>
      <c r="R277" s="27" t="str">
        <f t="shared" si="66"/>
        <v/>
      </c>
      <c r="S277" s="1" t="str">
        <f t="shared" si="67"/>
        <v/>
      </c>
      <c r="T277" s="39">
        <f t="shared" si="68"/>
        <v>30.4</v>
      </c>
    </row>
    <row r="278" spans="1:20" ht="12.75" hidden="1" customHeight="1" x14ac:dyDescent="0.2">
      <c r="A278" s="18"/>
      <c r="B278" s="36" t="str">
        <f>IF(MuKu!B38=""," - ",MID(MuKu!$B$28,1,1)&amp;MID(MuKu!$B$28,10,1)&amp;" - "&amp;MuKu!B38)</f>
        <v>VK - Schlachtung</v>
      </c>
      <c r="C278" s="18"/>
      <c r="D278" s="26">
        <f>IF('[1]E-MuKu'!$H38="","",'[1]E-MuKu'!$H38)</f>
        <v>38.950000000000003</v>
      </c>
      <c r="E278" s="27"/>
      <c r="F278" s="27"/>
      <c r="H278" s="39">
        <f>IF(MuKu!$H38="","",MuKu!$H38)</f>
        <v>38.950000000000003</v>
      </c>
      <c r="I278" s="29" t="str">
        <f>IF(B278="-","",IF(T278=P278,"Richtig!",IF(T278="","Fehlt","Falsch")))</f>
        <v>Richtig!</v>
      </c>
      <c r="J278" s="30" t="str">
        <f t="shared" si="70"/>
        <v>-</v>
      </c>
      <c r="K278" s="23" t="str">
        <f t="shared" si="64"/>
        <v/>
      </c>
      <c r="L278" s="24" t="str">
        <f t="shared" si="62"/>
        <v/>
      </c>
      <c r="N278" s="882"/>
      <c r="P278" s="26">
        <f t="shared" si="69"/>
        <v>38.950000000000003</v>
      </c>
      <c r="Q278" s="27" t="str">
        <f t="shared" si="65"/>
        <v/>
      </c>
      <c r="R278" s="27" t="str">
        <f t="shared" si="66"/>
        <v/>
      </c>
      <c r="S278" s="1" t="str">
        <f t="shared" si="67"/>
        <v/>
      </c>
      <c r="T278" s="39">
        <f t="shared" si="68"/>
        <v>38.950000000000003</v>
      </c>
    </row>
    <row r="279" spans="1:20" ht="12.75" hidden="1" customHeight="1" x14ac:dyDescent="0.2">
      <c r="A279" s="18"/>
      <c r="B279" s="36" t="str">
        <f>IF(MuKu!B39=""," - ",MID(MuKu!$B$28,1,1)&amp;MID(MuKu!$B$28,10,1)&amp;" - "&amp;MuKu!B39)</f>
        <v xml:space="preserve">VK - Mischpakete </v>
      </c>
      <c r="C279" s="18"/>
      <c r="D279" s="26">
        <f>IF('[1]E-MuKu'!$H39="","",'[1]E-MuKu'!$H39)</f>
        <v>31.35</v>
      </c>
      <c r="E279" s="27"/>
      <c r="F279" s="27"/>
      <c r="H279" s="39">
        <f>IF(MuKu!$H39="","",MuKu!$H39)</f>
        <v>31.35</v>
      </c>
      <c r="I279" s="29" t="str">
        <f>IF(B279="-","",IF(T279=P279,"Richtig!",IF(T279="","Fehlt","Falsch")))</f>
        <v>Richtig!</v>
      </c>
      <c r="J279" s="30" t="str">
        <f t="shared" si="70"/>
        <v>-</v>
      </c>
      <c r="K279" s="23" t="str">
        <f t="shared" si="64"/>
        <v/>
      </c>
      <c r="L279" s="24" t="str">
        <f t="shared" si="62"/>
        <v/>
      </c>
      <c r="N279" s="882"/>
      <c r="P279" s="26">
        <f t="shared" si="69"/>
        <v>31.35</v>
      </c>
      <c r="Q279" s="27" t="str">
        <f t="shared" si="65"/>
        <v/>
      </c>
      <c r="R279" s="27" t="str">
        <f t="shared" si="66"/>
        <v/>
      </c>
      <c r="S279" s="1" t="str">
        <f t="shared" si="67"/>
        <v/>
      </c>
      <c r="T279" s="39">
        <f t="shared" si="68"/>
        <v>31.35</v>
      </c>
    </row>
    <row r="280" spans="1:20" ht="12.75" hidden="1" customHeight="1" x14ac:dyDescent="0.2">
      <c r="A280" s="18"/>
      <c r="B280" s="36" t="str">
        <f>IF(MuKu!B40=""," - ",MuKu!B40)</f>
        <v>SUMME VK</v>
      </c>
      <c r="C280" s="18"/>
      <c r="D280" s="31">
        <f>IF('[1]E-MuKu'!$H40="","",'[1]E-MuKu'!$H40)</f>
        <v>375.04021449999999</v>
      </c>
      <c r="E280" s="27"/>
      <c r="F280" s="32">
        <f>IF(AND(H269="",H270="",H271="",H272="",H273="",H274="",H275="",H276="",H277="",H278="",H279=""),"-",SUM(H269:H279))</f>
        <v>335.15000000000003</v>
      </c>
      <c r="H280" s="40" t="str">
        <f>IF(MuKu!$H40="","",MuKu!$H40)</f>
        <v/>
      </c>
      <c r="I280" s="29" t="str">
        <f>IF(B280="-","",IF(T280=P280,"Richtig!",IF(AND(P280&lt;&gt;T280,R280=T280),"Formel: OK",IF(T280="","Fehlt","Falsch"))))</f>
        <v>Fehlt</v>
      </c>
      <c r="J280" s="30" t="str">
        <f t="shared" si="70"/>
        <v>-</v>
      </c>
      <c r="K280" s="23" t="str">
        <f t="shared" si="64"/>
        <v/>
      </c>
      <c r="L280" s="24" t="str">
        <f t="shared" si="62"/>
        <v/>
      </c>
      <c r="N280" s="882"/>
      <c r="P280" s="31">
        <f t="shared" si="69"/>
        <v>375.04021</v>
      </c>
      <c r="Q280" s="27" t="str">
        <f t="shared" si="65"/>
        <v/>
      </c>
      <c r="R280" s="32">
        <f t="shared" si="66"/>
        <v>335.15</v>
      </c>
      <c r="S280" s="1" t="str">
        <f t="shared" si="67"/>
        <v/>
      </c>
      <c r="T280" s="40" t="str">
        <f t="shared" si="68"/>
        <v/>
      </c>
    </row>
    <row r="281" spans="1:20" ht="12.75" hidden="1" customHeight="1" x14ac:dyDescent="0.2">
      <c r="A281" s="18"/>
      <c r="B281" s="36" t="str">
        <f>IF(MuKu!B41=""," - ",MuKu!B41)</f>
        <v>DB ohne Grundfutterkosten und Förderungen</v>
      </c>
      <c r="C281" s="18"/>
      <c r="D281" s="31">
        <f>IF('[1]E-MuKu'!$H41="","",'[1]E-MuKu'!$H41)</f>
        <v>387.96693550000003</v>
      </c>
      <c r="E281" s="27"/>
      <c r="F281" s="32" t="str">
        <f>IF(OR(H265="",H280=""),"-",H265-H280)</f>
        <v>-</v>
      </c>
      <c r="H281" s="40" t="str">
        <f>IF(MuKu!$H41="","",MuKu!$H41)</f>
        <v/>
      </c>
      <c r="I281" s="29" t="str">
        <f>IF(B281="-","",IF(T281=P281,"Richtig!",IF(AND(P281&lt;&gt;T281,R281=T281),"Formel: OK",IF(T281="","Fehlt","Falsch"))))</f>
        <v>Fehlt</v>
      </c>
      <c r="J281" s="30" t="str">
        <f t="shared" si="70"/>
        <v>-</v>
      </c>
      <c r="K281" s="23" t="str">
        <f t="shared" si="64"/>
        <v/>
      </c>
      <c r="L281" s="24" t="str">
        <f t="shared" si="62"/>
        <v/>
      </c>
      <c r="N281" s="882"/>
      <c r="P281" s="31">
        <f t="shared" si="69"/>
        <v>387.96694000000002</v>
      </c>
      <c r="Q281" s="27" t="str">
        <f t="shared" si="65"/>
        <v/>
      </c>
      <c r="R281" s="32" t="str">
        <f t="shared" si="66"/>
        <v>-</v>
      </c>
      <c r="S281" s="1" t="str">
        <f t="shared" si="67"/>
        <v/>
      </c>
      <c r="T281" s="40" t="str">
        <f t="shared" si="68"/>
        <v/>
      </c>
    </row>
    <row r="282" spans="1:20" ht="12.75" hidden="1" customHeight="1" x14ac:dyDescent="0.2">
      <c r="A282" s="18"/>
      <c r="B282" s="36"/>
      <c r="C282" s="18"/>
      <c r="D282" s="34"/>
      <c r="E282" s="27"/>
      <c r="F282" s="27"/>
      <c r="H282" s="41"/>
      <c r="I282" s="29"/>
      <c r="J282" s="29"/>
      <c r="K282" s="23" t="str">
        <f t="shared" si="64"/>
        <v/>
      </c>
      <c r="L282" s="24" t="str">
        <f t="shared" si="62"/>
        <v/>
      </c>
      <c r="N282" s="883"/>
      <c r="P282" s="34" t="str">
        <f t="shared" si="69"/>
        <v/>
      </c>
      <c r="Q282" s="27" t="str">
        <f t="shared" si="65"/>
        <v/>
      </c>
      <c r="R282" s="27" t="str">
        <f t="shared" si="66"/>
        <v/>
      </c>
      <c r="S282" s="1" t="str">
        <f t="shared" si="67"/>
        <v/>
      </c>
      <c r="T282" s="41" t="str">
        <f t="shared" si="68"/>
        <v/>
      </c>
    </row>
    <row r="283" spans="1:20" ht="12.75" hidden="1" customHeight="1" x14ac:dyDescent="0.2">
      <c r="A283" s="17" t="s">
        <v>43</v>
      </c>
      <c r="B283" s="17"/>
      <c r="C283" s="18"/>
      <c r="D283" s="19"/>
      <c r="H283" s="17"/>
      <c r="I283" s="21"/>
      <c r="J283" s="21"/>
      <c r="K283" s="23" t="str">
        <f t="shared" si="64"/>
        <v/>
      </c>
      <c r="L283" s="24" t="str">
        <f t="shared" si="62"/>
        <v/>
      </c>
      <c r="N283" s="880"/>
      <c r="P283" s="19" t="str">
        <f t="shared" si="69"/>
        <v/>
      </c>
      <c r="Q283" s="1" t="str">
        <f t="shared" si="65"/>
        <v/>
      </c>
      <c r="R283" s="1" t="str">
        <f t="shared" si="66"/>
        <v/>
      </c>
      <c r="S283" s="1" t="str">
        <f t="shared" si="67"/>
        <v/>
      </c>
      <c r="T283" s="17" t="str">
        <f t="shared" si="68"/>
        <v/>
      </c>
    </row>
    <row r="284" spans="1:20" ht="12.75" hidden="1" customHeight="1" x14ac:dyDescent="0.2">
      <c r="A284" s="18"/>
      <c r="B284" s="36" t="str">
        <f>IF(MuKu!B43=""," - ",MuKu!B43)</f>
        <v>Variable Grundfutterkosten</v>
      </c>
      <c r="C284" s="18"/>
      <c r="D284" s="31">
        <f>IF('[1]E-MuKu'!$H44="","",'[1]E-MuKu'!$H44)</f>
        <v>337.34255283863843</v>
      </c>
      <c r="E284" s="27"/>
      <c r="F284" s="32" t="str">
        <f>IF(OR(H256="",MuKu!E44=""),"-",H256*MuKu!E44)</f>
        <v>-</v>
      </c>
      <c r="H284" s="40" t="str">
        <f>IF(MuKu!$H44="","",MuKu!$H44)</f>
        <v>noch leer</v>
      </c>
      <c r="I284" s="29" t="str">
        <f>IF(B284="-","",IF(T284=P284,"Richtig!",IF(AND(P284&lt;&gt;T284,R284=T284),"Formel: OK",IF(T284="","Fehlt","Falsch"))))</f>
        <v>Falsch</v>
      </c>
      <c r="J284" s="30" t="str">
        <f>IF(OR(B284="-",N284="",AND(P284="",T284="")),"-",IF(I284="Richtig!",1,IF(I284="Formel: OK",0.5,IF(OR(I284="Falsch",I284="Fehlt"),0,""))))</f>
        <v>-</v>
      </c>
      <c r="K284" s="23" t="str">
        <f t="shared" si="64"/>
        <v/>
      </c>
      <c r="L284" s="24" t="str">
        <f t="shared" si="62"/>
        <v/>
      </c>
      <c r="N284" s="882"/>
      <c r="P284" s="31">
        <f t="shared" si="69"/>
        <v>337.34255000000002</v>
      </c>
      <c r="Q284" s="27" t="str">
        <f t="shared" si="65"/>
        <v/>
      </c>
      <c r="R284" s="32" t="str">
        <f t="shared" si="66"/>
        <v>-</v>
      </c>
      <c r="S284" s="1" t="str">
        <f t="shared" si="67"/>
        <v/>
      </c>
      <c r="T284" s="40" t="str">
        <f t="shared" si="68"/>
        <v>noch leer</v>
      </c>
    </row>
    <row r="285" spans="1:20" ht="12.75" hidden="1" customHeight="1" x14ac:dyDescent="0.2">
      <c r="A285" s="18"/>
      <c r="B285" s="36" t="str">
        <f>IF(MuKu!B45=""," - ",MuKu!B45)</f>
        <v>DB mit Grundfutterkosten</v>
      </c>
      <c r="C285" s="18"/>
      <c r="D285" s="31">
        <f>IF('[1]E-MuKu'!$H45="","",'[1]E-MuKu'!$H45)</f>
        <v>50.624382661361608</v>
      </c>
      <c r="E285" s="27"/>
      <c r="F285" s="32" t="str">
        <f>IF(OR(H281="",H284=""),"-",H281-H284)</f>
        <v>-</v>
      </c>
      <c r="H285" s="40" t="str">
        <f>IF(MuKu!$H45="","",MuKu!$H45)</f>
        <v/>
      </c>
      <c r="I285" s="29" t="str">
        <f>IF(B285="-","",IF(T285=P285,"Richtig!",IF(AND(P285&lt;&gt;T285,R285=T285),"Formel: OK",IF(T285="","Fehlt","Falsch"))))</f>
        <v>Fehlt</v>
      </c>
      <c r="J285" s="30" t="str">
        <f>IF(OR(B285="-",N285="",AND(P285="",T285="")),"-",IF(I285="Richtig!",1,IF(I285="Formel: OK",0.5,IF(OR(I285="Falsch",I285="Fehlt"),0,""))))</f>
        <v>-</v>
      </c>
      <c r="K285" s="23" t="str">
        <f t="shared" si="64"/>
        <v/>
      </c>
      <c r="L285" s="24" t="str">
        <f t="shared" si="62"/>
        <v/>
      </c>
      <c r="N285" s="882"/>
      <c r="P285" s="31">
        <f t="shared" si="69"/>
        <v>50.624380000000002</v>
      </c>
      <c r="Q285" s="27" t="str">
        <f t="shared" si="65"/>
        <v/>
      </c>
      <c r="R285" s="32" t="str">
        <f t="shared" si="66"/>
        <v>-</v>
      </c>
      <c r="S285" s="1" t="str">
        <f t="shared" si="67"/>
        <v/>
      </c>
      <c r="T285" s="40" t="str">
        <f t="shared" si="68"/>
        <v/>
      </c>
    </row>
    <row r="286" spans="1:20" ht="12.75" hidden="1" customHeight="1" x14ac:dyDescent="0.2">
      <c r="A286" s="18"/>
      <c r="B286" s="18"/>
      <c r="C286" s="18"/>
      <c r="D286" s="19"/>
      <c r="H286" s="17"/>
      <c r="I286" s="21"/>
      <c r="J286" s="21"/>
      <c r="K286" s="23" t="str">
        <f t="shared" si="64"/>
        <v/>
      </c>
      <c r="L286" s="24" t="str">
        <f t="shared" si="62"/>
        <v/>
      </c>
      <c r="N286" s="883"/>
      <c r="P286" s="19" t="str">
        <f t="shared" si="69"/>
        <v/>
      </c>
      <c r="Q286" s="1" t="str">
        <f t="shared" si="65"/>
        <v/>
      </c>
      <c r="R286" s="1" t="str">
        <f t="shared" si="66"/>
        <v/>
      </c>
      <c r="S286" s="1" t="str">
        <f t="shared" si="67"/>
        <v/>
      </c>
      <c r="T286" s="17" t="str">
        <f t="shared" si="68"/>
        <v/>
      </c>
    </row>
    <row r="287" spans="1:20" ht="12.75" hidden="1" customHeight="1" x14ac:dyDescent="0.2">
      <c r="A287" s="17" t="s">
        <v>44</v>
      </c>
      <c r="B287" s="17"/>
      <c r="C287" s="18"/>
      <c r="D287" s="19"/>
      <c r="H287" s="17"/>
      <c r="I287" s="21"/>
      <c r="J287" s="21"/>
      <c r="K287" s="23" t="str">
        <f t="shared" si="64"/>
        <v/>
      </c>
      <c r="L287" s="24" t="str">
        <f t="shared" si="62"/>
        <v/>
      </c>
      <c r="N287" s="880"/>
      <c r="P287" s="19" t="str">
        <f t="shared" si="69"/>
        <v/>
      </c>
      <c r="Q287" s="1" t="str">
        <f t="shared" si="65"/>
        <v/>
      </c>
      <c r="R287" s="1" t="str">
        <f t="shared" si="66"/>
        <v/>
      </c>
      <c r="S287" s="1" t="str">
        <f t="shared" si="67"/>
        <v/>
      </c>
      <c r="T287" s="17" t="str">
        <f t="shared" si="68"/>
        <v/>
      </c>
    </row>
    <row r="288" spans="1:20" ht="12.75" hidden="1" customHeight="1" x14ac:dyDescent="0.2">
      <c r="A288" s="18"/>
      <c r="B288" s="36" t="str">
        <f>IF(MuKu!B48=""," - ",MuKu!B48)</f>
        <v>Mutterkuhprämie</v>
      </c>
      <c r="C288" s="18"/>
      <c r="D288" s="26">
        <f>IF('[1]E-MuKu'!$H48="","",'[1]E-MuKu'!$H48)</f>
        <v>230</v>
      </c>
      <c r="E288" s="27"/>
      <c r="F288" s="27"/>
      <c r="H288" s="39">
        <f>IF(MuKu!$H48="","",MuKu!$H48)</f>
        <v>230</v>
      </c>
      <c r="I288" s="29" t="str">
        <f>IF(AND(P288="",T288=""),"",IF(T288=P288,"Richtig!",IF(T288="","Fehlt","Falsch")))</f>
        <v>Richtig!</v>
      </c>
      <c r="J288" s="30" t="str">
        <f>IF(OR(B288="-",N288="",AND(P288="",T288="")),"-",IF(I288="Richtig!",1,IF(I288="Formel: OK",0.5,IF(OR(I288="Falsch",I288="Fehlt"),0,""))))</f>
        <v>-</v>
      </c>
      <c r="K288" s="23" t="str">
        <f t="shared" si="64"/>
        <v/>
      </c>
      <c r="L288" s="24" t="str">
        <f t="shared" si="62"/>
        <v/>
      </c>
      <c r="N288" s="882"/>
      <c r="P288" s="26">
        <f t="shared" si="69"/>
        <v>230</v>
      </c>
      <c r="Q288" s="27" t="str">
        <f t="shared" si="65"/>
        <v/>
      </c>
      <c r="R288" s="27" t="str">
        <f t="shared" si="66"/>
        <v/>
      </c>
      <c r="S288" s="1" t="str">
        <f t="shared" si="67"/>
        <v/>
      </c>
      <c r="T288" s="39">
        <f t="shared" si="68"/>
        <v>230</v>
      </c>
    </row>
    <row r="289" spans="1:20" ht="12.75" hidden="1" customHeight="1" x14ac:dyDescent="0.2">
      <c r="A289" s="18"/>
      <c r="B289" s="36" t="str">
        <f>IF(MuKu!B49=""," - ",MuKu!B49)</f>
        <v>Schlachtprämie</v>
      </c>
      <c r="C289" s="18"/>
      <c r="D289" s="26">
        <f>IF('[1]E-MuKu'!$H49="","",'[1]E-MuKu'!$H49)</f>
        <v>50</v>
      </c>
      <c r="E289" s="27"/>
      <c r="F289" s="27"/>
      <c r="H289" s="39">
        <f>IF(MuKu!$H49="","",MuKu!$H49)</f>
        <v>50</v>
      </c>
      <c r="I289" s="29" t="str">
        <f>IF(AND(P289="",T289=""),"",IF(T289=P289,"Richtig!",IF(T289="","Fehlt","Falsch")))</f>
        <v>Richtig!</v>
      </c>
      <c r="J289" s="30" t="str">
        <f>IF(OR(B289="-",N289="",AND(P289="",T289="")),"-",IF(I289="Richtig!",1,IF(I289="Formel: OK",0.5,IF(OR(I289="Falsch",I289="Fehlt"),0,""))))</f>
        <v>-</v>
      </c>
      <c r="K289" s="23" t="str">
        <f t="shared" si="64"/>
        <v/>
      </c>
      <c r="L289" s="24" t="str">
        <f t="shared" si="62"/>
        <v/>
      </c>
      <c r="N289" s="882"/>
      <c r="P289" s="26">
        <f t="shared" si="69"/>
        <v>50</v>
      </c>
      <c r="Q289" s="27" t="str">
        <f t="shared" si="65"/>
        <v/>
      </c>
      <c r="R289" s="27" t="str">
        <f t="shared" si="66"/>
        <v/>
      </c>
      <c r="S289" s="1" t="str">
        <f t="shared" si="67"/>
        <v/>
      </c>
      <c r="T289" s="39">
        <f t="shared" si="68"/>
        <v>50</v>
      </c>
    </row>
    <row r="290" spans="1:20" ht="12.75" hidden="1" customHeight="1" x14ac:dyDescent="0.2">
      <c r="A290" s="18"/>
      <c r="B290" s="36" t="str">
        <f>IF(MuKu!B50=""," - ",MuKu!B50)</f>
        <v>Gefährdete Tierrassen</v>
      </c>
      <c r="C290" s="18"/>
      <c r="D290" s="26">
        <f>IF('[1]E-MuKu'!$H50="","",'[1]E-MuKu'!$H50)</f>
        <v>20</v>
      </c>
      <c r="E290" s="27"/>
      <c r="F290" s="27"/>
      <c r="H290" s="39">
        <f>IF(MuKu!$H50="","",MuKu!$H50)</f>
        <v>20</v>
      </c>
      <c r="I290" s="29" t="str">
        <f>IF(AND(P290="",T290=""),"",IF(T290=P290,"Richtig!",IF(T290="","Fehlt","Falsch")))</f>
        <v>Richtig!</v>
      </c>
      <c r="J290" s="30" t="str">
        <f>IF(OR(B290="-",N290="",AND(P290="",T290="")),"-",IF(I290="Richtig!",1,IF(I290="Formel: OK",0.5,IF(OR(I290="Falsch",I290="Fehlt"),0,""))))</f>
        <v>-</v>
      </c>
      <c r="K290" s="23" t="str">
        <f t="shared" si="64"/>
        <v/>
      </c>
      <c r="L290" s="24" t="str">
        <f t="shared" si="62"/>
        <v/>
      </c>
      <c r="N290" s="882"/>
      <c r="P290" s="26">
        <f t="shared" si="69"/>
        <v>20</v>
      </c>
      <c r="Q290" s="27" t="str">
        <f t="shared" si="65"/>
        <v/>
      </c>
      <c r="R290" s="27" t="str">
        <f t="shared" si="66"/>
        <v/>
      </c>
      <c r="S290" s="1" t="str">
        <f t="shared" si="67"/>
        <v/>
      </c>
      <c r="T290" s="39">
        <f t="shared" si="68"/>
        <v>20</v>
      </c>
    </row>
    <row r="291" spans="1:20" ht="12.75" hidden="1" customHeight="1" x14ac:dyDescent="0.2">
      <c r="A291" s="18"/>
      <c r="B291" s="36" t="str">
        <f>IF(MuKu!B51=""," - ",MuKu!B51)</f>
        <v>DB inkl Förderungen für MUKUH</v>
      </c>
      <c r="C291" s="18"/>
      <c r="D291" s="31">
        <f>IF('[1]E-MuKu'!$H51="","",'[1]E-MuKu'!$H51)</f>
        <v>350.62438266136161</v>
      </c>
      <c r="E291" s="27"/>
      <c r="F291" s="32" t="str">
        <f>IF(OR(H285="",AND(H288="",H289="",H290="")),"-",H285+SUM(H288:H290))</f>
        <v>-</v>
      </c>
      <c r="H291" s="40" t="str">
        <f>IF(MuKu!$H51="","",MuKu!$H51)</f>
        <v/>
      </c>
      <c r="I291" s="29" t="str">
        <f>IF(B291="-","",IF(T291=P291,"Richtig!",IF(AND(P291&lt;&gt;T291,R291=T291),"Formel: OK",IF(T291="","Fehlt","Falsch"))))</f>
        <v>Fehlt</v>
      </c>
      <c r="J291" s="30" t="str">
        <f>IF(OR(B291="-",N291="",AND(P291="",T291="")),"-",IF(I291="Richtig!",1,IF(I291="Formel: OK",0.5,IF(OR(I291="Falsch",I291="Fehlt"),0,""))))</f>
        <v>-</v>
      </c>
      <c r="K291" s="23" t="str">
        <f t="shared" si="64"/>
        <v/>
      </c>
      <c r="L291" s="24" t="str">
        <f t="shared" si="62"/>
        <v/>
      </c>
      <c r="N291" s="882"/>
      <c r="P291" s="31">
        <f t="shared" si="69"/>
        <v>350.62437999999997</v>
      </c>
      <c r="Q291" s="27" t="str">
        <f t="shared" si="65"/>
        <v/>
      </c>
      <c r="R291" s="32" t="str">
        <f t="shared" si="66"/>
        <v>-</v>
      </c>
      <c r="S291" s="1" t="str">
        <f t="shared" si="67"/>
        <v/>
      </c>
      <c r="T291" s="40" t="str">
        <f t="shared" si="68"/>
        <v/>
      </c>
    </row>
    <row r="292" spans="1:20" ht="12.75" hidden="1" customHeight="1" x14ac:dyDescent="0.2">
      <c r="A292" s="18"/>
      <c r="B292" s="18"/>
      <c r="C292" s="18"/>
      <c r="D292" s="19"/>
      <c r="H292" s="17"/>
      <c r="I292" s="21"/>
      <c r="J292" s="21"/>
      <c r="K292" s="23" t="str">
        <f t="shared" si="64"/>
        <v/>
      </c>
      <c r="L292" s="24" t="str">
        <f t="shared" si="62"/>
        <v/>
      </c>
      <c r="N292" s="883"/>
      <c r="P292" s="19" t="str">
        <f t="shared" si="69"/>
        <v/>
      </c>
      <c r="Q292" s="1" t="str">
        <f t="shared" si="65"/>
        <v/>
      </c>
      <c r="R292" s="1" t="str">
        <f t="shared" si="66"/>
        <v/>
      </c>
      <c r="S292" s="1" t="str">
        <f t="shared" si="67"/>
        <v/>
      </c>
      <c r="T292" s="17" t="str">
        <f t="shared" si="68"/>
        <v/>
      </c>
    </row>
    <row r="293" spans="1:20" ht="12.75" hidden="1" customHeight="1" x14ac:dyDescent="0.2">
      <c r="A293" s="17" t="s">
        <v>45</v>
      </c>
      <c r="B293" s="17"/>
      <c r="C293" s="18"/>
      <c r="D293" s="19"/>
      <c r="H293" s="17"/>
      <c r="I293" s="21"/>
      <c r="J293" s="21"/>
      <c r="K293" s="23" t="str">
        <f t="shared" si="64"/>
        <v/>
      </c>
      <c r="L293" s="24" t="str">
        <f t="shared" si="62"/>
        <v/>
      </c>
      <c r="N293" s="880"/>
      <c r="P293" s="19" t="str">
        <f t="shared" si="69"/>
        <v/>
      </c>
      <c r="Q293" s="1" t="str">
        <f t="shared" si="65"/>
        <v/>
      </c>
      <c r="R293" s="1" t="str">
        <f t="shared" si="66"/>
        <v/>
      </c>
      <c r="S293" s="1" t="str">
        <f t="shared" si="67"/>
        <v/>
      </c>
      <c r="T293" s="17" t="str">
        <f t="shared" si="68"/>
        <v/>
      </c>
    </row>
    <row r="294" spans="1:20" ht="12.75" hidden="1" customHeight="1" x14ac:dyDescent="0.2">
      <c r="A294" s="18"/>
      <c r="B294" s="36" t="str">
        <f>IF(MuKu!D57=""," - ",MuKu!D57)</f>
        <v>Arbeitszeit - gesamt</v>
      </c>
      <c r="C294" s="18"/>
      <c r="D294" s="26">
        <f>IF('[1]E-MuKu'!$E57="","",'[1]E-MuKu'!$E57)</f>
        <v>46</v>
      </c>
      <c r="E294" s="27"/>
      <c r="F294" s="27"/>
      <c r="H294" s="39" t="str">
        <f>IF(MuKu!$E57="","",MuKu!$E57)</f>
        <v/>
      </c>
      <c r="I294" s="29" t="str">
        <f>IF(AND(P294="",T294=""),"",IF(T294=P294,"Richtig!",IF(T294="","Fehlt","Falsch")))</f>
        <v>Fehlt</v>
      </c>
      <c r="J294" s="30" t="str">
        <f>IF(OR(B294="-",N294="",AND(P294="",T294="")),"-",IF(I294="Richtig!",1,IF(I294="Formel: OK",0.5,IF(OR(I294="Falsch",I294="Fehlt"),0,""))))</f>
        <v>-</v>
      </c>
      <c r="K294" s="23" t="str">
        <f t="shared" si="64"/>
        <v/>
      </c>
      <c r="L294" s="24" t="str">
        <f t="shared" si="62"/>
        <v/>
      </c>
      <c r="N294" s="882"/>
      <c r="P294" s="26">
        <f t="shared" si="69"/>
        <v>46</v>
      </c>
      <c r="Q294" s="27" t="str">
        <f t="shared" si="65"/>
        <v/>
      </c>
      <c r="R294" s="27" t="str">
        <f t="shared" si="66"/>
        <v/>
      </c>
      <c r="S294" s="1" t="str">
        <f t="shared" si="67"/>
        <v/>
      </c>
      <c r="T294" s="39" t="str">
        <f t="shared" si="68"/>
        <v/>
      </c>
    </row>
    <row r="295" spans="1:20" ht="12.75" hidden="1" customHeight="1" x14ac:dyDescent="0.2">
      <c r="A295" s="18"/>
      <c r="B295" s="36" t="s">
        <v>46</v>
      </c>
      <c r="C295" s="18"/>
      <c r="D295" s="31">
        <f>IF('[1]E-MuKu'!$H58="","",'[1]E-MuKu'!$H58)</f>
        <v>7.6222691882904696</v>
      </c>
      <c r="E295" s="27"/>
      <c r="F295" s="32" t="str">
        <f>IF(OR(H291="",H294=""),"-",H291/H294)</f>
        <v>-</v>
      </c>
      <c r="H295" s="40" t="str">
        <f>IF(MuKu!$H58="","",MuKu!$H58)</f>
        <v/>
      </c>
      <c r="I295" s="29" t="str">
        <f>IF(B295="-","",IF(T295=P295,"Richtig!",IF(AND(P295&lt;&gt;T295,R295=T295),"Formel: OK",IF(T295="","Fehlt","Falsch"))))</f>
        <v>Fehlt</v>
      </c>
      <c r="J295" s="30" t="str">
        <f>IF(OR(B295="-",N295="",AND(P295="",T295="")),"-",IF(I295="Richtig!",1,IF(I295="Formel: OK",0.5,IF(OR(I295="Falsch",I295="Fehlt"),0,""))))</f>
        <v>-</v>
      </c>
      <c r="K295" s="23" t="str">
        <f t="shared" si="64"/>
        <v/>
      </c>
      <c r="L295" s="24" t="str">
        <f t="shared" si="62"/>
        <v/>
      </c>
      <c r="N295" s="882"/>
      <c r="P295" s="31">
        <f t="shared" si="69"/>
        <v>7.6222700000000003</v>
      </c>
      <c r="Q295" s="27" t="str">
        <f t="shared" si="65"/>
        <v/>
      </c>
      <c r="R295" s="32" t="str">
        <f t="shared" si="66"/>
        <v>-</v>
      </c>
      <c r="S295" s="1" t="str">
        <f t="shared" si="67"/>
        <v/>
      </c>
      <c r="T295" s="40" t="str">
        <f t="shared" si="68"/>
        <v/>
      </c>
    </row>
    <row r="296" spans="1:20" ht="12.75" hidden="1" customHeight="1" x14ac:dyDescent="0.2">
      <c r="A296" s="18"/>
      <c r="C296" s="18"/>
      <c r="D296" s="19"/>
      <c r="H296" s="17"/>
      <c r="I296" s="21"/>
      <c r="J296" s="21"/>
      <c r="K296" s="23" t="str">
        <f t="shared" si="64"/>
        <v/>
      </c>
      <c r="L296" s="24" t="str">
        <f t="shared" si="62"/>
        <v/>
      </c>
      <c r="N296" s="883"/>
      <c r="P296" s="19" t="str">
        <f t="shared" si="69"/>
        <v/>
      </c>
      <c r="Q296" s="1" t="str">
        <f t="shared" si="65"/>
        <v/>
      </c>
      <c r="R296" s="1" t="str">
        <f t="shared" si="66"/>
        <v/>
      </c>
      <c r="S296" s="1" t="str">
        <f t="shared" si="67"/>
        <v/>
      </c>
      <c r="T296" s="17" t="str">
        <f t="shared" si="68"/>
        <v/>
      </c>
    </row>
    <row r="297" spans="1:20" ht="22.5" x14ac:dyDescent="0.2">
      <c r="A297" s="10" t="str">
        <f>"WD "&amp;IF(WD.1Dgl!B2="","",WD.1Dgl!B2)</f>
        <v>WD Dauergrünland 3-schnittig</v>
      </c>
      <c r="B297" s="11"/>
      <c r="C297" s="12"/>
      <c r="D297" s="13" t="s">
        <v>4</v>
      </c>
      <c r="E297" s="13"/>
      <c r="F297" s="14" t="s">
        <v>5</v>
      </c>
      <c r="G297" s="12"/>
      <c r="H297" s="14" t="s">
        <v>6</v>
      </c>
      <c r="I297" s="15" t="str">
        <f>"Fehler"</f>
        <v>Fehler</v>
      </c>
      <c r="J297" s="16" t="s">
        <v>7</v>
      </c>
      <c r="K297" s="16"/>
      <c r="L297" s="16"/>
      <c r="N297" s="881" t="str">
        <f>IF($L$1="","",$L$1)</f>
        <v>x</v>
      </c>
      <c r="P297" s="13" t="str">
        <f t="shared" si="69"/>
        <v>Ergebnis</v>
      </c>
      <c r="Q297" s="13" t="str">
        <f t="shared" si="65"/>
        <v/>
      </c>
      <c r="R297" s="14" t="str">
        <f t="shared" si="66"/>
        <v>Formel-
prüfung</v>
      </c>
      <c r="S297" s="12" t="str">
        <f t="shared" si="67"/>
        <v/>
      </c>
      <c r="T297" s="14" t="str">
        <f t="shared" si="68"/>
        <v>Deine Be-rechnung</v>
      </c>
    </row>
    <row r="298" spans="1:20" ht="12.75" x14ac:dyDescent="0.2">
      <c r="A298" s="17" t="s">
        <v>40</v>
      </c>
      <c r="B298" s="17" t="s">
        <v>47</v>
      </c>
      <c r="C298" s="42"/>
      <c r="D298" s="19"/>
      <c r="H298" s="20"/>
      <c r="I298" s="21"/>
      <c r="J298" s="21"/>
      <c r="K298" s="23" t="str">
        <f t="shared" si="64"/>
        <v/>
      </c>
      <c r="L298" s="24" t="str">
        <f t="shared" ref="L298:L329" si="71">IF(OR(B298="-",N298="",AND(P298="",T298="")),"",1)</f>
        <v/>
      </c>
      <c r="N298" s="880" t="str">
        <f>IF($L$1="","",$L$1)</f>
        <v>x</v>
      </c>
      <c r="P298" s="19" t="str">
        <f t="shared" si="69"/>
        <v/>
      </c>
      <c r="Q298" s="1" t="str">
        <f t="shared" si="65"/>
        <v/>
      </c>
      <c r="R298" s="1" t="str">
        <f t="shared" si="66"/>
        <v/>
      </c>
      <c r="S298" s="1" t="str">
        <f t="shared" si="67"/>
        <v/>
      </c>
      <c r="T298" s="20" t="str">
        <f t="shared" si="68"/>
        <v/>
      </c>
    </row>
    <row r="299" spans="1:20" ht="12.75" hidden="1" customHeight="1" x14ac:dyDescent="0.2">
      <c r="B299" s="25" t="str">
        <f>IF(WD.1Dgl!C10="","-",WD.1Dgl!$B$9&amp;" - "&amp;WD.1Dgl!C10)</f>
        <v>Laden - Standardtraktor</v>
      </c>
      <c r="C299" s="42" t="str">
        <f>IF(WD.1Dgl!$C$5="","",WD.1Dgl!$C$5)</f>
        <v>Festmist</v>
      </c>
      <c r="D299" s="26">
        <f>IF('[1]E-WD.ILeist'!$F10="","",'[1]E-WD.ILeist'!$F10)</f>
        <v>0.13333333333333333</v>
      </c>
      <c r="E299" s="27"/>
      <c r="F299" s="27"/>
      <c r="H299" s="28">
        <f>IF(WD.1Dgl!$F10="","",WD.1Dgl!$F10)</f>
        <v>0.13333333333333333</v>
      </c>
      <c r="I299" s="29" t="str">
        <f t="shared" ref="I299:I304" si="72">IF(AND(P299="",T299=""),"",IF(T299=P299,"Richtig!",IF(T299="","Fehlt","Falsch")))</f>
        <v>Richtig!</v>
      </c>
      <c r="J299" s="30" t="str">
        <f t="shared" ref="J299:J304" si="73">IF(OR(B299="-",N299="",AND(P299="",T299="")),"-",IF(I299="Richtig!",1,IF(I299="Formel: OK",0.5,IF(OR(I299="Falsch",I299="Fehlt"),0,""))))</f>
        <v>-</v>
      </c>
      <c r="K299" s="23" t="str">
        <f t="shared" si="64"/>
        <v/>
      </c>
      <c r="L299" s="24" t="str">
        <f t="shared" si="71"/>
        <v/>
      </c>
      <c r="N299" s="882"/>
      <c r="P299" s="26">
        <f t="shared" si="69"/>
        <v>0.13333</v>
      </c>
      <c r="Q299" s="27" t="str">
        <f t="shared" si="65"/>
        <v/>
      </c>
      <c r="R299" s="27" t="str">
        <f t="shared" si="66"/>
        <v/>
      </c>
      <c r="S299" s="1" t="str">
        <f t="shared" si="67"/>
        <v/>
      </c>
      <c r="T299" s="28">
        <f t="shared" si="68"/>
        <v>0.13333</v>
      </c>
    </row>
    <row r="300" spans="1:20" ht="12.75" hidden="1" customHeight="1" x14ac:dyDescent="0.2">
      <c r="B300" s="25" t="str">
        <f>IF(WD.1Dgl!C11="","-",WD.1Dgl!$B$9&amp;" - "&amp;WD.1Dgl!C11)</f>
        <v>Laden - Frontlader</v>
      </c>
      <c r="C300" s="42" t="str">
        <f>IF(WD.1Dgl!$C$5="","",WD.1Dgl!$C$5)</f>
        <v>Festmist</v>
      </c>
      <c r="D300" s="26">
        <f>IF('[1]E-WD.ILeist'!$F11="","",'[1]E-WD.ILeist'!$F11)</f>
        <v>0.13333333333333333</v>
      </c>
      <c r="E300" s="27"/>
      <c r="F300" s="27"/>
      <c r="H300" s="28">
        <f>IF(WD.1Dgl!$F11="","",WD.1Dgl!$F11)</f>
        <v>0.13333333333333333</v>
      </c>
      <c r="I300" s="29" t="str">
        <f t="shared" si="72"/>
        <v>Richtig!</v>
      </c>
      <c r="J300" s="30" t="str">
        <f t="shared" si="73"/>
        <v>-</v>
      </c>
      <c r="K300" s="23" t="str">
        <f t="shared" si="64"/>
        <v/>
      </c>
      <c r="L300" s="24" t="str">
        <f t="shared" si="71"/>
        <v/>
      </c>
      <c r="N300" s="882"/>
      <c r="P300" s="26">
        <f t="shared" si="69"/>
        <v>0.13333</v>
      </c>
      <c r="Q300" s="27" t="str">
        <f t="shared" si="65"/>
        <v/>
      </c>
      <c r="R300" s="27" t="str">
        <f t="shared" si="66"/>
        <v/>
      </c>
      <c r="S300" s="1" t="str">
        <f t="shared" si="67"/>
        <v/>
      </c>
      <c r="T300" s="28">
        <f t="shared" si="68"/>
        <v>0.13333</v>
      </c>
    </row>
    <row r="301" spans="1:20" ht="12.75" x14ac:dyDescent="0.2">
      <c r="B301" s="25" t="str">
        <f>IF(WD.1Dgl!C13="","-",WD.1Dgl!$B$12&amp;" - "&amp;WD.1Dgl!C13)</f>
        <v>Transport - Allradtraktor</v>
      </c>
      <c r="C301" s="42" t="str">
        <f>IF(WD.1Dgl!$C$5="","",WD.1Dgl!$C$5)</f>
        <v>Festmist</v>
      </c>
      <c r="D301" s="26">
        <f>IF('[1]E-WD.ILeist'!$F13="","",'[1]E-WD.ILeist'!$F13)</f>
        <v>0.6</v>
      </c>
      <c r="E301" s="27"/>
      <c r="F301" s="27"/>
      <c r="H301" s="28" t="str">
        <f>IF(WD.1Dgl!$F13="","",WD.1Dgl!$F13)</f>
        <v/>
      </c>
      <c r="I301" s="29" t="str">
        <f t="shared" si="72"/>
        <v>Fehlt</v>
      </c>
      <c r="J301" s="30">
        <f t="shared" si="73"/>
        <v>0</v>
      </c>
      <c r="K301" s="23" t="str">
        <f t="shared" si="64"/>
        <v>│</v>
      </c>
      <c r="L301" s="24">
        <f t="shared" si="71"/>
        <v>1</v>
      </c>
      <c r="N301" s="882" t="str">
        <f>IF($L$1="","",$L$1)</f>
        <v>x</v>
      </c>
      <c r="P301" s="26">
        <f t="shared" si="69"/>
        <v>0.6</v>
      </c>
      <c r="Q301" s="27" t="str">
        <f t="shared" si="65"/>
        <v/>
      </c>
      <c r="R301" s="27" t="str">
        <f t="shared" si="66"/>
        <v/>
      </c>
      <c r="S301" s="1" t="str">
        <f t="shared" si="67"/>
        <v/>
      </c>
      <c r="T301" s="28" t="str">
        <f t="shared" si="68"/>
        <v/>
      </c>
    </row>
    <row r="302" spans="1:20" ht="12.75" x14ac:dyDescent="0.2">
      <c r="B302" s="25" t="str">
        <f>IF(WD.1Dgl!C14="","-",WD.1Dgl!$B$12&amp;" - "&amp;WD.1Dgl!C14)</f>
        <v>Transport - Miststreuer</v>
      </c>
      <c r="C302" s="42" t="str">
        <f>IF(WD.1Dgl!$C$5="","",WD.1Dgl!$C$5)</f>
        <v>Festmist</v>
      </c>
      <c r="D302" s="26">
        <f>IF('[1]E-WD.ILeist'!$F14="","",'[1]E-WD.ILeist'!$F14)</f>
        <v>0.6</v>
      </c>
      <c r="E302" s="27"/>
      <c r="F302" s="27"/>
      <c r="H302" s="28" t="str">
        <f>IF(WD.1Dgl!$F14="","",WD.1Dgl!$F14)</f>
        <v/>
      </c>
      <c r="I302" s="29" t="str">
        <f t="shared" si="72"/>
        <v>Fehlt</v>
      </c>
      <c r="J302" s="30">
        <f t="shared" si="73"/>
        <v>0</v>
      </c>
      <c r="K302" s="23" t="str">
        <f t="shared" si="64"/>
        <v>│</v>
      </c>
      <c r="L302" s="24">
        <f t="shared" si="71"/>
        <v>1</v>
      </c>
      <c r="N302" s="882" t="str">
        <f>IF($L$1="","",$L$1)</f>
        <v>x</v>
      </c>
      <c r="P302" s="26">
        <f t="shared" si="69"/>
        <v>0.6</v>
      </c>
      <c r="Q302" s="27" t="str">
        <f t="shared" si="65"/>
        <v/>
      </c>
      <c r="R302" s="27" t="str">
        <f t="shared" si="66"/>
        <v/>
      </c>
      <c r="S302" s="1" t="str">
        <f t="shared" si="67"/>
        <v/>
      </c>
      <c r="T302" s="28" t="str">
        <f t="shared" si="68"/>
        <v/>
      </c>
    </row>
    <row r="303" spans="1:20" ht="12.75" hidden="1" customHeight="1" x14ac:dyDescent="0.2">
      <c r="B303" s="25" t="str">
        <f>IF(WD.1Dgl!C16="","-",WD.1Dgl!$B$15&amp;" - "&amp;WD.1Dgl!C16)</f>
        <v>Ausbringung - Allradtraktor</v>
      </c>
      <c r="C303" s="42" t="str">
        <f>IF(WD.1Dgl!$C$5="","",WD.1Dgl!$C$5)</f>
        <v>Festmist</v>
      </c>
      <c r="D303" s="26">
        <f>IF('[1]E-WD.ILeist'!$F16="","",'[1]E-WD.ILeist'!$F16)</f>
        <v>0.31666666666666665</v>
      </c>
      <c r="E303" s="27"/>
      <c r="F303" s="27"/>
      <c r="H303" s="28">
        <f>IF(WD.1Dgl!$F16="","",WD.1Dgl!$F16)</f>
        <v>0.31666666666666665</v>
      </c>
      <c r="I303" s="29" t="str">
        <f t="shared" si="72"/>
        <v>Richtig!</v>
      </c>
      <c r="J303" s="30" t="str">
        <f t="shared" si="73"/>
        <v>-</v>
      </c>
      <c r="K303" s="23" t="str">
        <f t="shared" si="64"/>
        <v/>
      </c>
      <c r="L303" s="24" t="str">
        <f t="shared" si="71"/>
        <v/>
      </c>
      <c r="N303" s="882"/>
      <c r="P303" s="26">
        <f t="shared" si="69"/>
        <v>0.31667000000000001</v>
      </c>
      <c r="Q303" s="27" t="str">
        <f t="shared" si="65"/>
        <v/>
      </c>
      <c r="R303" s="27" t="str">
        <f t="shared" si="66"/>
        <v/>
      </c>
      <c r="S303" s="1" t="str">
        <f t="shared" si="67"/>
        <v/>
      </c>
      <c r="T303" s="28">
        <f t="shared" si="68"/>
        <v>0.31667000000000001</v>
      </c>
    </row>
    <row r="304" spans="1:20" ht="12.75" hidden="1" customHeight="1" x14ac:dyDescent="0.2">
      <c r="B304" s="25" t="str">
        <f>IF(WD.1Dgl!C17="","-",WD.1Dgl!$B$15&amp;" - "&amp;WD.1Dgl!C17)</f>
        <v>Ausbringung - Miststreuer</v>
      </c>
      <c r="C304" s="42" t="str">
        <f>IF(WD.1Dgl!$C$5="","",WD.1Dgl!$C$5)</f>
        <v>Festmist</v>
      </c>
      <c r="D304" s="26">
        <f>IF('[1]E-WD.ILeist'!$F17="","",'[1]E-WD.ILeist'!$F17)</f>
        <v>0.31666666666666665</v>
      </c>
      <c r="E304" s="27"/>
      <c r="F304" s="27"/>
      <c r="H304" s="28">
        <f>IF(WD.1Dgl!$F17="","",WD.1Dgl!$F17)</f>
        <v>0.31666666666666665</v>
      </c>
      <c r="I304" s="29" t="str">
        <f t="shared" si="72"/>
        <v>Richtig!</v>
      </c>
      <c r="J304" s="30" t="str">
        <f t="shared" si="73"/>
        <v>-</v>
      </c>
      <c r="K304" s="23" t="str">
        <f t="shared" si="64"/>
        <v/>
      </c>
      <c r="L304" s="24" t="str">
        <f t="shared" si="71"/>
        <v/>
      </c>
      <c r="N304" s="882"/>
      <c r="P304" s="26">
        <f t="shared" si="69"/>
        <v>0.31667000000000001</v>
      </c>
      <c r="Q304" s="27" t="str">
        <f t="shared" si="65"/>
        <v/>
      </c>
      <c r="R304" s="27" t="str">
        <f t="shared" si="66"/>
        <v/>
      </c>
      <c r="S304" s="1" t="str">
        <f t="shared" si="67"/>
        <v/>
      </c>
      <c r="T304" s="28">
        <f t="shared" si="68"/>
        <v>0.31667000000000001</v>
      </c>
    </row>
    <row r="305" spans="1:20" ht="12.75" x14ac:dyDescent="0.2">
      <c r="A305" s="18"/>
      <c r="B305" s="18"/>
      <c r="C305" s="18"/>
      <c r="D305" s="19"/>
      <c r="H305" s="17"/>
      <c r="I305" s="21"/>
      <c r="J305" s="21"/>
      <c r="K305" s="23" t="str">
        <f t="shared" si="64"/>
        <v/>
      </c>
      <c r="L305" s="24" t="str">
        <f t="shared" si="71"/>
        <v/>
      </c>
      <c r="N305" s="883" t="str">
        <f>IF($L$1="","",$L$1)</f>
        <v>x</v>
      </c>
      <c r="P305" s="19" t="str">
        <f t="shared" si="69"/>
        <v/>
      </c>
      <c r="Q305" s="1" t="str">
        <f t="shared" si="65"/>
        <v/>
      </c>
      <c r="R305" s="1" t="str">
        <f t="shared" si="66"/>
        <v/>
      </c>
      <c r="S305" s="1" t="str">
        <f t="shared" si="67"/>
        <v/>
      </c>
      <c r="T305" s="17" t="str">
        <f t="shared" si="68"/>
        <v/>
      </c>
    </row>
    <row r="306" spans="1:20" ht="12.75" x14ac:dyDescent="0.2">
      <c r="A306" s="17">
        <v>2</v>
      </c>
      <c r="B306" s="17" t="s">
        <v>48</v>
      </c>
      <c r="C306" s="18"/>
      <c r="D306" s="19"/>
      <c r="H306" s="17"/>
      <c r="I306" s="21"/>
      <c r="J306" s="21"/>
      <c r="K306" s="23" t="str">
        <f t="shared" si="64"/>
        <v/>
      </c>
      <c r="L306" s="24" t="str">
        <f t="shared" si="71"/>
        <v/>
      </c>
      <c r="N306" s="880" t="str">
        <f>IF($L$1="","",$L$1)</f>
        <v>x</v>
      </c>
      <c r="P306" s="19" t="str">
        <f t="shared" si="69"/>
        <v/>
      </c>
      <c r="Q306" s="1" t="str">
        <f t="shared" si="65"/>
        <v/>
      </c>
      <c r="R306" s="1" t="str">
        <f t="shared" si="66"/>
        <v/>
      </c>
      <c r="S306" s="1" t="str">
        <f t="shared" si="67"/>
        <v/>
      </c>
      <c r="T306" s="17" t="str">
        <f t="shared" si="68"/>
        <v/>
      </c>
    </row>
    <row r="307" spans="1:20" ht="12.75" hidden="1" customHeight="1" x14ac:dyDescent="0.2">
      <c r="B307" s="25" t="str">
        <f>IF(WD.1Dgl!C10="","-",WD.1Dgl!$B$9&amp;" - "&amp;WD.1Dgl!C10)</f>
        <v>Laden - Standardtraktor</v>
      </c>
      <c r="C307" s="42" t="str">
        <f>IF(WD.1Dgl!$C$5="","",WD.1Dgl!$C$5)</f>
        <v>Festmist</v>
      </c>
      <c r="D307" s="31">
        <f>IF('[1]E-WD.ILeist'!$G10="","",'[1]E-WD.ILeist'!$G10)</f>
        <v>0.38095238095238099</v>
      </c>
      <c r="E307" s="27"/>
      <c r="F307" s="32">
        <f>IF(OR(H299="",WD.1Dgl!$H$5=""),"-",H299*100/WD.1Dgl!$H$5)</f>
        <v>0.38095238095238099</v>
      </c>
      <c r="H307" s="33">
        <f>IF(WD.1Dgl!$G10="","",WD.1Dgl!$G10)</f>
        <v>0.38095238095238093</v>
      </c>
      <c r="I307" s="29" t="str">
        <f t="shared" ref="I307:I312" si="74">IF(OR(B307="-",AND(P307="",T307="")),"",IF(T307=P307,"Richtig!",IF(AND(P307&lt;&gt;T307,R307=T307),"Formel: OK",IF(T307="","Fehlt","Falsch"))))</f>
        <v>Richtig!</v>
      </c>
      <c r="J307" s="30" t="str">
        <f t="shared" ref="J307:J312" si="75">IF(OR(B307="-",N307="",AND(P307="",T307="")),"-",IF(I307="Richtig!",1,IF(I307="Formel: OK",0.5,IF(OR(I307="Falsch",I307="Fehlt"),0,""))))</f>
        <v>-</v>
      </c>
      <c r="K307" s="23" t="str">
        <f t="shared" si="64"/>
        <v/>
      </c>
      <c r="L307" s="24" t="str">
        <f t="shared" si="71"/>
        <v/>
      </c>
      <c r="N307" s="882"/>
      <c r="P307" s="31">
        <f t="shared" si="69"/>
        <v>0.38095000000000001</v>
      </c>
      <c r="Q307" s="27" t="str">
        <f t="shared" si="65"/>
        <v/>
      </c>
      <c r="R307" s="32">
        <f t="shared" si="66"/>
        <v>0.38095000000000001</v>
      </c>
      <c r="S307" s="1" t="str">
        <f t="shared" si="67"/>
        <v/>
      </c>
      <c r="T307" s="33">
        <f t="shared" si="68"/>
        <v>0.38095000000000001</v>
      </c>
    </row>
    <row r="308" spans="1:20" ht="12.75" hidden="1" customHeight="1" x14ac:dyDescent="0.2">
      <c r="B308" s="25" t="str">
        <f>IF(WD.1Dgl!C11="","-",WD.1Dgl!$B$9&amp;" - "&amp;WD.1Dgl!C11)</f>
        <v>Laden - Frontlader</v>
      </c>
      <c r="C308" s="42" t="str">
        <f>IF(WD.1Dgl!$C$5="","",WD.1Dgl!$C$5)</f>
        <v>Festmist</v>
      </c>
      <c r="D308" s="31">
        <f>IF('[1]E-WD.ILeist'!$G11="","",'[1]E-WD.ILeist'!$G11)</f>
        <v>0.38095238095238099</v>
      </c>
      <c r="E308" s="27"/>
      <c r="F308" s="32">
        <f>IF(OR(H300="",WD.1Dgl!$H$5=""),"-",H300*100/WD.1Dgl!$H$5)</f>
        <v>0.38095238095238099</v>
      </c>
      <c r="H308" s="33">
        <f>IF(WD.1Dgl!$G11="","",WD.1Dgl!$G11)</f>
        <v>0.38095238095238093</v>
      </c>
      <c r="I308" s="29" t="str">
        <f t="shared" si="74"/>
        <v>Richtig!</v>
      </c>
      <c r="J308" s="30" t="str">
        <f t="shared" si="75"/>
        <v>-</v>
      </c>
      <c r="K308" s="23" t="str">
        <f t="shared" si="64"/>
        <v/>
      </c>
      <c r="L308" s="24" t="str">
        <f t="shared" si="71"/>
        <v/>
      </c>
      <c r="N308" s="882"/>
      <c r="P308" s="31">
        <f t="shared" si="69"/>
        <v>0.38095000000000001</v>
      </c>
      <c r="Q308" s="27" t="str">
        <f t="shared" si="65"/>
        <v/>
      </c>
      <c r="R308" s="32">
        <f t="shared" si="66"/>
        <v>0.38095000000000001</v>
      </c>
      <c r="S308" s="1" t="str">
        <f t="shared" si="67"/>
        <v/>
      </c>
      <c r="T308" s="33">
        <f t="shared" si="68"/>
        <v>0.38095000000000001</v>
      </c>
    </row>
    <row r="309" spans="1:20" ht="12.75" x14ac:dyDescent="0.2">
      <c r="B309" s="25" t="str">
        <f>IF(WD.1Dgl!C13="","-",WD.1Dgl!$B$12&amp;" - "&amp;WD.1Dgl!C13)</f>
        <v>Transport - Allradtraktor</v>
      </c>
      <c r="C309" s="42" t="str">
        <f>IF(WD.1Dgl!$C$5="","",WD.1Dgl!$C$5)</f>
        <v>Festmist</v>
      </c>
      <c r="D309" s="31">
        <f>IF('[1]E-WD.ILeist'!$G13="","",'[1]E-WD.ILeist'!$G13)</f>
        <v>1.7142857142857142</v>
      </c>
      <c r="E309" s="27"/>
      <c r="F309" s="32" t="str">
        <f>IF(OR(H301="",WD.1Dgl!$H$5=""),"-",H301*100/WD.1Dgl!$H$5)</f>
        <v>-</v>
      </c>
      <c r="H309" s="33" t="str">
        <f>IF(WD.1Dgl!$G13="","",WD.1Dgl!$G13)</f>
        <v/>
      </c>
      <c r="I309" s="29" t="str">
        <f t="shared" si="74"/>
        <v>Fehlt</v>
      </c>
      <c r="J309" s="30">
        <f t="shared" si="75"/>
        <v>0</v>
      </c>
      <c r="K309" s="23" t="str">
        <f t="shared" si="64"/>
        <v>│</v>
      </c>
      <c r="L309" s="24">
        <f t="shared" si="71"/>
        <v>1</v>
      </c>
      <c r="N309" s="882" t="str">
        <f>IF($L$1="","",$L$1)</f>
        <v>x</v>
      </c>
      <c r="P309" s="31">
        <f t="shared" si="69"/>
        <v>1.7142900000000001</v>
      </c>
      <c r="Q309" s="27" t="str">
        <f t="shared" si="65"/>
        <v/>
      </c>
      <c r="R309" s="32" t="str">
        <f t="shared" si="66"/>
        <v>-</v>
      </c>
      <c r="S309" s="1" t="str">
        <f t="shared" si="67"/>
        <v/>
      </c>
      <c r="T309" s="33" t="str">
        <f t="shared" si="68"/>
        <v/>
      </c>
    </row>
    <row r="310" spans="1:20" ht="12.75" x14ac:dyDescent="0.2">
      <c r="B310" s="25" t="str">
        <f>IF(WD.1Dgl!C14="","-",WD.1Dgl!$B$12&amp;" - "&amp;WD.1Dgl!C14)</f>
        <v>Transport - Miststreuer</v>
      </c>
      <c r="C310" s="42" t="str">
        <f>IF(WD.1Dgl!$C$5="","",WD.1Dgl!$C$5)</f>
        <v>Festmist</v>
      </c>
      <c r="D310" s="31">
        <f>IF('[1]E-WD.ILeist'!$G14="","",'[1]E-WD.ILeist'!$G14)</f>
        <v>1.7142857142857142</v>
      </c>
      <c r="E310" s="27"/>
      <c r="F310" s="32" t="str">
        <f>IF(OR(H302="",WD.1Dgl!$H$5=""),"-",H302*100/WD.1Dgl!$H$5)</f>
        <v>-</v>
      </c>
      <c r="H310" s="33" t="str">
        <f>IF(WD.1Dgl!$G14="","",WD.1Dgl!$G14)</f>
        <v/>
      </c>
      <c r="I310" s="29" t="str">
        <f t="shared" si="74"/>
        <v>Fehlt</v>
      </c>
      <c r="J310" s="30">
        <f t="shared" si="75"/>
        <v>0</v>
      </c>
      <c r="K310" s="23" t="str">
        <f t="shared" si="64"/>
        <v>│</v>
      </c>
      <c r="L310" s="24">
        <f t="shared" si="71"/>
        <v>1</v>
      </c>
      <c r="N310" s="882" t="str">
        <f>IF($L$1="","",$L$1)</f>
        <v>x</v>
      </c>
      <c r="P310" s="31">
        <f t="shared" si="69"/>
        <v>1.7142900000000001</v>
      </c>
      <c r="Q310" s="27" t="str">
        <f t="shared" si="65"/>
        <v/>
      </c>
      <c r="R310" s="32" t="str">
        <f t="shared" si="66"/>
        <v>-</v>
      </c>
      <c r="S310" s="1" t="str">
        <f t="shared" si="67"/>
        <v/>
      </c>
      <c r="T310" s="33" t="str">
        <f t="shared" si="68"/>
        <v/>
      </c>
    </row>
    <row r="311" spans="1:20" ht="12.75" hidden="1" customHeight="1" x14ac:dyDescent="0.2">
      <c r="B311" s="25" t="str">
        <f>IF(WD.1Dgl!C16="","-",WD.1Dgl!$B$15&amp;" - "&amp;WD.1Dgl!C16)</f>
        <v>Ausbringung - Allradtraktor</v>
      </c>
      <c r="C311" s="42" t="str">
        <f>IF(WD.1Dgl!$C$5="","",WD.1Dgl!$C$5)</f>
        <v>Festmist</v>
      </c>
      <c r="D311" s="31">
        <f>IF('[1]E-WD.ILeist'!$G16="","",'[1]E-WD.ILeist'!$G16)</f>
        <v>0.90476190476190466</v>
      </c>
      <c r="E311" s="27"/>
      <c r="F311" s="32">
        <f>IF(OR(H303="",WD.1Dgl!$H$5=""),"-",H303*100/WD.1Dgl!$H$5)</f>
        <v>0.90476190476190466</v>
      </c>
      <c r="H311" s="33">
        <f>IF(WD.1Dgl!$G16="","",WD.1Dgl!$G16)</f>
        <v>0.90476190476190477</v>
      </c>
      <c r="I311" s="29" t="str">
        <f t="shared" si="74"/>
        <v>Richtig!</v>
      </c>
      <c r="J311" s="30" t="str">
        <f t="shared" si="75"/>
        <v>-</v>
      </c>
      <c r="K311" s="23" t="str">
        <f t="shared" si="64"/>
        <v/>
      </c>
      <c r="L311" s="24" t="str">
        <f t="shared" si="71"/>
        <v/>
      </c>
      <c r="N311" s="882"/>
      <c r="P311" s="31">
        <f t="shared" si="69"/>
        <v>0.90476000000000001</v>
      </c>
      <c r="Q311" s="27" t="str">
        <f t="shared" si="65"/>
        <v/>
      </c>
      <c r="R311" s="32">
        <f t="shared" si="66"/>
        <v>0.90476000000000001</v>
      </c>
      <c r="S311" s="1" t="str">
        <f t="shared" si="67"/>
        <v/>
      </c>
      <c r="T311" s="33">
        <f t="shared" si="68"/>
        <v>0.90476000000000001</v>
      </c>
    </row>
    <row r="312" spans="1:20" ht="12.75" hidden="1" customHeight="1" x14ac:dyDescent="0.2">
      <c r="B312" s="25" t="str">
        <f>IF(WD.1Dgl!C17="","-",WD.1Dgl!$B$15&amp;" - "&amp;WD.1Dgl!C17)</f>
        <v>Ausbringung - Miststreuer</v>
      </c>
      <c r="C312" s="42" t="str">
        <f>IF(WD.1Dgl!$C$5="","",WD.1Dgl!$C$5)</f>
        <v>Festmist</v>
      </c>
      <c r="D312" s="31">
        <f>IF('[1]E-WD.ILeist'!$G17="","",'[1]E-WD.ILeist'!$G17)</f>
        <v>0.90476190476190466</v>
      </c>
      <c r="E312" s="27"/>
      <c r="F312" s="32">
        <f>IF(OR(H304="",WD.1Dgl!$H$5=""),"-",H304*100/WD.1Dgl!$H$5)</f>
        <v>0.90476190476190466</v>
      </c>
      <c r="H312" s="33">
        <f>IF(WD.1Dgl!$G17="","",WD.1Dgl!$G17)</f>
        <v>0.90476190476190477</v>
      </c>
      <c r="I312" s="29" t="str">
        <f t="shared" si="74"/>
        <v>Richtig!</v>
      </c>
      <c r="J312" s="30" t="str">
        <f t="shared" si="75"/>
        <v>-</v>
      </c>
      <c r="K312" s="23" t="str">
        <f t="shared" si="64"/>
        <v/>
      </c>
      <c r="L312" s="24" t="str">
        <f t="shared" si="71"/>
        <v/>
      </c>
      <c r="N312" s="882"/>
      <c r="P312" s="31">
        <f t="shared" si="69"/>
        <v>0.90476000000000001</v>
      </c>
      <c r="Q312" s="27" t="str">
        <f t="shared" si="65"/>
        <v/>
      </c>
      <c r="R312" s="32">
        <f t="shared" si="66"/>
        <v>0.90476000000000001</v>
      </c>
      <c r="S312" s="1" t="str">
        <f t="shared" si="67"/>
        <v/>
      </c>
      <c r="T312" s="33">
        <f t="shared" si="68"/>
        <v>0.90476000000000001</v>
      </c>
    </row>
    <row r="313" spans="1:20" ht="12.75" x14ac:dyDescent="0.2">
      <c r="A313" s="18"/>
      <c r="B313" s="18"/>
      <c r="C313" s="18"/>
      <c r="D313" s="19"/>
      <c r="H313" s="17"/>
      <c r="I313" s="21"/>
      <c r="J313" s="21"/>
      <c r="K313" s="23" t="str">
        <f t="shared" si="64"/>
        <v/>
      </c>
      <c r="L313" s="24" t="str">
        <f t="shared" si="71"/>
        <v/>
      </c>
      <c r="N313" s="883" t="str">
        <f>IF($L$1="","",$L$1)</f>
        <v>x</v>
      </c>
      <c r="P313" s="19" t="str">
        <f t="shared" si="69"/>
        <v/>
      </c>
      <c r="Q313" s="1" t="str">
        <f t="shared" si="65"/>
        <v/>
      </c>
      <c r="R313" s="1" t="str">
        <f t="shared" si="66"/>
        <v/>
      </c>
      <c r="S313" s="1" t="str">
        <f t="shared" si="67"/>
        <v/>
      </c>
      <c r="T313" s="17" t="str">
        <f t="shared" si="68"/>
        <v/>
      </c>
    </row>
    <row r="314" spans="1:20" ht="12.75" x14ac:dyDescent="0.2">
      <c r="A314" s="17" t="s">
        <v>14</v>
      </c>
      <c r="B314" s="17" t="s">
        <v>49</v>
      </c>
      <c r="C314" s="18"/>
      <c r="D314" s="19"/>
      <c r="H314" s="17"/>
      <c r="I314" s="21"/>
      <c r="J314" s="21"/>
      <c r="K314" s="23" t="str">
        <f t="shared" si="64"/>
        <v/>
      </c>
      <c r="L314" s="24" t="str">
        <f t="shared" si="71"/>
        <v/>
      </c>
      <c r="N314" s="880" t="str">
        <f>IF($L$1="","",$L$1)</f>
        <v>x</v>
      </c>
      <c r="P314" s="19" t="str">
        <f t="shared" si="69"/>
        <v/>
      </c>
      <c r="Q314" s="1" t="str">
        <f t="shared" si="65"/>
        <v/>
      </c>
      <c r="R314" s="1" t="str">
        <f t="shared" si="66"/>
        <v/>
      </c>
      <c r="S314" s="1" t="str">
        <f t="shared" si="67"/>
        <v/>
      </c>
      <c r="T314" s="17" t="str">
        <f t="shared" si="68"/>
        <v/>
      </c>
    </row>
    <row r="315" spans="1:20" ht="12.75" hidden="1" customHeight="1" x14ac:dyDescent="0.2">
      <c r="A315" s="17"/>
      <c r="B315" s="25" t="str">
        <f>IF(WD.1Dgl!C10="","-",WD.1Dgl!$B$9&amp;" - "&amp;WD.1Dgl!C10)</f>
        <v>Laden - Standardtraktor</v>
      </c>
      <c r="C315" s="42" t="str">
        <f>IF(WD.1Dgl!$C$5="","",WD.1Dgl!$C$5)</f>
        <v>Festmist</v>
      </c>
      <c r="D315" s="31">
        <f>IF('[1]E-WD.ILeist'!$I10="","",'[1]E-WD.ILeist'!$I10)</f>
        <v>3.4095238095238094</v>
      </c>
      <c r="E315" s="27"/>
      <c r="F315" s="32">
        <f>IF(OR(H307="",WD.1Dgl!H10=""),"-",H307*WD.1Dgl!H10)</f>
        <v>3.409523809523809</v>
      </c>
      <c r="H315" s="33">
        <f>IF(WD.1Dgl!$I10="","",WD.1Dgl!$I10)</f>
        <v>3.409523809523809</v>
      </c>
      <c r="I315" s="29" t="str">
        <f t="shared" ref="I315:I326" si="76">IF(OR(B315="-",AND(P315="",T315="")),"",IF(T315=P315,"Richtig!",IF(AND(P315&lt;&gt;T315,R315=T315),"Formel: OK",IF(T315="","Fehlt","Falsch"))))</f>
        <v>Richtig!</v>
      </c>
      <c r="J315" s="30" t="str">
        <f t="shared" ref="J315:J326" si="77">IF(OR(B315="-",N315="",AND(P315="",T315="")),"-",IF(I315="Richtig!",1,IF(I315="Formel: OK",0.5,IF(OR(I315="Falsch",I315="Fehlt"),0,""))))</f>
        <v>-</v>
      </c>
      <c r="K315" s="23" t="str">
        <f t="shared" si="64"/>
        <v/>
      </c>
      <c r="L315" s="24" t="str">
        <f t="shared" si="71"/>
        <v/>
      </c>
      <c r="N315" s="882"/>
      <c r="P315" s="31">
        <f t="shared" si="69"/>
        <v>3.4095200000000001</v>
      </c>
      <c r="Q315" s="27" t="str">
        <f t="shared" si="65"/>
        <v/>
      </c>
      <c r="R315" s="32">
        <f t="shared" si="66"/>
        <v>3.4095200000000001</v>
      </c>
      <c r="S315" s="1" t="str">
        <f t="shared" si="67"/>
        <v/>
      </c>
      <c r="T315" s="33">
        <f t="shared" si="68"/>
        <v>3.4095200000000001</v>
      </c>
    </row>
    <row r="316" spans="1:20" ht="12.75" hidden="1" customHeight="1" x14ac:dyDescent="0.2">
      <c r="A316" s="17"/>
      <c r="B316" s="25" t="str">
        <f>IF(WD.1Dgl!C11="","-",WD.1Dgl!$B$9&amp;" - "&amp;WD.1Dgl!C11)</f>
        <v>Laden - Frontlader</v>
      </c>
      <c r="C316" s="42" t="str">
        <f>IF(WD.1Dgl!$C$5="","",WD.1Dgl!$C$5)</f>
        <v>Festmist</v>
      </c>
      <c r="D316" s="31">
        <f>IF('[1]E-WD.ILeist'!$I11="","",'[1]E-WD.ILeist'!$I11)</f>
        <v>0.19809523809523813</v>
      </c>
      <c r="E316" s="27"/>
      <c r="F316" s="32">
        <f>IF(OR(H308="",WD.1Dgl!H11=""),"-",H308*WD.1Dgl!H11)</f>
        <v>0.1980952380952381</v>
      </c>
      <c r="H316" s="33">
        <f>IF(WD.1Dgl!$I11="","",WD.1Dgl!$I11)</f>
        <v>0.1980952380952381</v>
      </c>
      <c r="I316" s="29" t="str">
        <f t="shared" si="76"/>
        <v>Richtig!</v>
      </c>
      <c r="J316" s="30" t="str">
        <f t="shared" si="77"/>
        <v>-</v>
      </c>
      <c r="K316" s="23" t="str">
        <f t="shared" si="64"/>
        <v/>
      </c>
      <c r="L316" s="24" t="str">
        <f t="shared" si="71"/>
        <v/>
      </c>
      <c r="N316" s="882"/>
      <c r="P316" s="31">
        <f t="shared" si="69"/>
        <v>0.1981</v>
      </c>
      <c r="Q316" s="27" t="str">
        <f t="shared" si="65"/>
        <v/>
      </c>
      <c r="R316" s="32">
        <f t="shared" si="66"/>
        <v>0.1981</v>
      </c>
      <c r="S316" s="1" t="str">
        <f t="shared" si="67"/>
        <v/>
      </c>
      <c r="T316" s="33">
        <f t="shared" si="68"/>
        <v>0.1981</v>
      </c>
    </row>
    <row r="317" spans="1:20" ht="12.75" x14ac:dyDescent="0.2">
      <c r="B317" s="25" t="str">
        <f>IF(WD.1Dgl!C13="","-",WD.1Dgl!$B$12&amp;" - "&amp;WD.1Dgl!C13)</f>
        <v>Transport - Allradtraktor</v>
      </c>
      <c r="C317" s="42" t="str">
        <f>IF(WD.1Dgl!$C$5="","",WD.1Dgl!$C$5)</f>
        <v>Festmist</v>
      </c>
      <c r="D317" s="31">
        <f>IF('[1]E-WD.ILeist'!$I13="","",'[1]E-WD.ILeist'!$I13)</f>
        <v>18.301028571428571</v>
      </c>
      <c r="E317" s="27"/>
      <c r="F317" s="32" t="str">
        <f>IF(OR(H309="",WD.1Dgl!H13=""),"-",H309*WD.1Dgl!H13)</f>
        <v>-</v>
      </c>
      <c r="H317" s="33" t="str">
        <f>IF(WD.1Dgl!$I13="","",WD.1Dgl!$I13)</f>
        <v/>
      </c>
      <c r="I317" s="29" t="str">
        <f t="shared" si="76"/>
        <v>Fehlt</v>
      </c>
      <c r="J317" s="30">
        <f t="shared" si="77"/>
        <v>0</v>
      </c>
      <c r="K317" s="23" t="str">
        <f t="shared" si="64"/>
        <v>│</v>
      </c>
      <c r="L317" s="24">
        <f t="shared" si="71"/>
        <v>1</v>
      </c>
      <c r="N317" s="882" t="str">
        <f>IF($L$1="","",$L$1)</f>
        <v>x</v>
      </c>
      <c r="P317" s="31">
        <f t="shared" si="69"/>
        <v>18.301030000000001</v>
      </c>
      <c r="Q317" s="27" t="str">
        <f t="shared" si="65"/>
        <v/>
      </c>
      <c r="R317" s="32" t="str">
        <f t="shared" si="66"/>
        <v>-</v>
      </c>
      <c r="S317" s="1" t="str">
        <f t="shared" si="67"/>
        <v/>
      </c>
      <c r="T317" s="33" t="str">
        <f t="shared" si="68"/>
        <v/>
      </c>
    </row>
    <row r="318" spans="1:20" ht="12.75" x14ac:dyDescent="0.2">
      <c r="B318" s="25" t="str">
        <f>IF(WD.1Dgl!C14="","-",WD.1Dgl!$B$12&amp;" - "&amp;WD.1Dgl!C14)</f>
        <v>Transport - Miststreuer</v>
      </c>
      <c r="C318" s="42" t="str">
        <f>IF(WD.1Dgl!$C$5="","",WD.1Dgl!$C$5)</f>
        <v>Festmist</v>
      </c>
      <c r="D318" s="31">
        <f>IF('[1]E-WD.ILeist'!$I14="","",'[1]E-WD.ILeist'!$I14)</f>
        <v>3.7199999999999998</v>
      </c>
      <c r="E318" s="27"/>
      <c r="F318" s="32" t="str">
        <f>IF(OR(H310="",WD.1Dgl!H14=""),"-",H310*WD.1Dgl!H14)</f>
        <v>-</v>
      </c>
      <c r="H318" s="33" t="str">
        <f>IF(WD.1Dgl!$I14="","",WD.1Dgl!$I14)</f>
        <v/>
      </c>
      <c r="I318" s="29" t="str">
        <f t="shared" si="76"/>
        <v>Fehlt</v>
      </c>
      <c r="J318" s="30">
        <f t="shared" si="77"/>
        <v>0</v>
      </c>
      <c r="K318" s="23" t="str">
        <f t="shared" si="64"/>
        <v>│</v>
      </c>
      <c r="L318" s="24">
        <f t="shared" si="71"/>
        <v>1</v>
      </c>
      <c r="N318" s="882" t="str">
        <f>IF($L$1="","",$L$1)</f>
        <v>x</v>
      </c>
      <c r="P318" s="31">
        <f t="shared" si="69"/>
        <v>3.72</v>
      </c>
      <c r="Q318" s="27" t="str">
        <f t="shared" si="65"/>
        <v/>
      </c>
      <c r="R318" s="32" t="str">
        <f t="shared" si="66"/>
        <v>-</v>
      </c>
      <c r="S318" s="1" t="str">
        <f t="shared" si="67"/>
        <v/>
      </c>
      <c r="T318" s="33" t="str">
        <f t="shared" si="68"/>
        <v/>
      </c>
    </row>
    <row r="319" spans="1:20" ht="12.75" hidden="1" customHeight="1" x14ac:dyDescent="0.2">
      <c r="B319" s="25" t="str">
        <f>IF(WD.1Dgl!C16="","-",WD.1Dgl!$B$15&amp;" - "&amp;WD.1Dgl!C16)</f>
        <v>Ausbringung - Allradtraktor</v>
      </c>
      <c r="C319" s="42" t="str">
        <f>IF(WD.1Dgl!$C$5="","",WD.1Dgl!$C$5)</f>
        <v>Festmist</v>
      </c>
      <c r="D319" s="31">
        <f>IF('[1]E-WD.ILeist'!$I16="","",'[1]E-WD.ILeist'!$I16)</f>
        <v>9.6588761904761906</v>
      </c>
      <c r="E319" s="27"/>
      <c r="F319" s="32">
        <f>IF(OR(Korrektur!H311="",WD.1Dgl!H16=""),"-",Korrektur!H311*WD.1Dgl!H16)</f>
        <v>9.6588761904761924</v>
      </c>
      <c r="H319" s="33">
        <f>IF(WD.1Dgl!$I16="","",WD.1Dgl!$I16)</f>
        <v>9.6588761904761924</v>
      </c>
      <c r="I319" s="29" t="str">
        <f t="shared" si="76"/>
        <v>Richtig!</v>
      </c>
      <c r="J319" s="30" t="str">
        <f t="shared" si="77"/>
        <v>-</v>
      </c>
      <c r="K319" s="23" t="str">
        <f t="shared" si="64"/>
        <v/>
      </c>
      <c r="L319" s="24" t="str">
        <f t="shared" si="71"/>
        <v/>
      </c>
      <c r="N319" s="882"/>
      <c r="P319" s="31">
        <f t="shared" si="69"/>
        <v>9.6588799999999999</v>
      </c>
      <c r="Q319" s="27" t="str">
        <f t="shared" si="65"/>
        <v/>
      </c>
      <c r="R319" s="32">
        <f t="shared" si="66"/>
        <v>9.6588799999999999</v>
      </c>
      <c r="S319" s="1" t="str">
        <f t="shared" si="67"/>
        <v/>
      </c>
      <c r="T319" s="33">
        <f t="shared" si="68"/>
        <v>9.6588799999999999</v>
      </c>
    </row>
    <row r="320" spans="1:20" ht="12.75" hidden="1" customHeight="1" x14ac:dyDescent="0.2">
      <c r="B320" s="25" t="str">
        <f>IF(WD.1Dgl!C17="","-",WD.1Dgl!$B$15&amp;" - "&amp;WD.1Dgl!C17)</f>
        <v>Ausbringung - Miststreuer</v>
      </c>
      <c r="C320" s="42" t="str">
        <f>IF(WD.1Dgl!$C$5="","",WD.1Dgl!$C$5)</f>
        <v>Festmist</v>
      </c>
      <c r="D320" s="31">
        <f>IF('[1]E-WD.ILeist'!$I17="","",'[1]E-WD.ILeist'!$I17)</f>
        <v>1.9633333333333329</v>
      </c>
      <c r="E320" s="27"/>
      <c r="F320" s="32">
        <f>IF(OR(Korrektur!H312="",WD.1Dgl!H17=""),"-",Korrektur!H312*WD.1Dgl!H17)</f>
        <v>1.9633333333333334</v>
      </c>
      <c r="H320" s="33">
        <f>IF(WD.1Dgl!$I17="","",WD.1Dgl!$I17)</f>
        <v>1.9633333333333334</v>
      </c>
      <c r="I320" s="29" t="str">
        <f t="shared" si="76"/>
        <v>Richtig!</v>
      </c>
      <c r="J320" s="30" t="str">
        <f t="shared" si="77"/>
        <v>-</v>
      </c>
      <c r="K320" s="23" t="str">
        <f t="shared" si="64"/>
        <v/>
      </c>
      <c r="L320" s="24" t="str">
        <f t="shared" si="71"/>
        <v/>
      </c>
      <c r="N320" s="882"/>
      <c r="P320" s="31">
        <f t="shared" si="69"/>
        <v>1.96333</v>
      </c>
      <c r="Q320" s="27" t="str">
        <f t="shared" si="65"/>
        <v/>
      </c>
      <c r="R320" s="32">
        <f t="shared" si="66"/>
        <v>1.96333</v>
      </c>
      <c r="S320" s="1" t="str">
        <f t="shared" si="67"/>
        <v/>
      </c>
      <c r="T320" s="33">
        <f t="shared" si="68"/>
        <v>1.96333</v>
      </c>
    </row>
    <row r="321" spans="1:20" ht="12.75" x14ac:dyDescent="0.2">
      <c r="B321" s="36" t="str">
        <f>WD.1Dgl!B18</f>
        <v>Summe variable Maschinenkosten - Festmist</v>
      </c>
      <c r="C321" s="42" t="str">
        <f>IF(WD.1Dgl!$C$5="","",WD.1Dgl!$C$5)</f>
        <v>Festmist</v>
      </c>
      <c r="D321" s="31">
        <f>IF('[1]E-WD.ILeist'!$I18="","",'[1]E-WD.ILeist'!$I18)</f>
        <v>37.250857142857136</v>
      </c>
      <c r="E321" s="27"/>
      <c r="F321" s="32">
        <f>IF(AND(H315="",H316="",H317="",H318="",H319="",H320=""),"-",SUM(H315:H320))</f>
        <v>15.229828571428571</v>
      </c>
      <c r="H321" s="33" t="str">
        <f>IF(WD.1Dgl!$I18="","",WD.1Dgl!$I18)</f>
        <v/>
      </c>
      <c r="I321" s="29" t="str">
        <f t="shared" si="76"/>
        <v>Fehlt</v>
      </c>
      <c r="J321" s="30">
        <f t="shared" si="77"/>
        <v>0</v>
      </c>
      <c r="K321" s="23" t="str">
        <f t="shared" si="64"/>
        <v>│</v>
      </c>
      <c r="L321" s="24">
        <f t="shared" si="71"/>
        <v>1</v>
      </c>
      <c r="N321" s="882" t="str">
        <f t="shared" ref="N321:N326" si="78">IF($L$1="","",$L$1)</f>
        <v>x</v>
      </c>
      <c r="P321" s="31">
        <f t="shared" si="69"/>
        <v>37.250860000000003</v>
      </c>
      <c r="Q321" s="27" t="str">
        <f t="shared" si="65"/>
        <v/>
      </c>
      <c r="R321" s="32">
        <f t="shared" si="66"/>
        <v>15.22983</v>
      </c>
      <c r="S321" s="1" t="str">
        <f t="shared" si="67"/>
        <v/>
      </c>
      <c r="T321" s="33" t="str">
        <f t="shared" si="68"/>
        <v/>
      </c>
    </row>
    <row r="322" spans="1:20" ht="12.75" x14ac:dyDescent="0.2">
      <c r="A322" s="18"/>
      <c r="B322" s="36" t="str">
        <f>WD.1Dgl!B19</f>
        <v>Summe variable Maschinenkosten inkl. MWSt</v>
      </c>
      <c r="C322" s="42" t="str">
        <f>IF(WD.1Dgl!$C$5="","",WD.1Dgl!$C$5)</f>
        <v>Festmist</v>
      </c>
      <c r="D322" s="31">
        <f>IF('[1]E-WD.ILeist'!$I19="","",'[1]E-WD.ILeist'!$I19)</f>
        <v>44.701028571428566</v>
      </c>
      <c r="E322" s="27"/>
      <c r="F322" s="32" t="str">
        <f>IF(OR(H321="",WD.1Dgl!H19=""),"-",H321*(1+WD.1Dgl!H19))</f>
        <v>-</v>
      </c>
      <c r="H322" s="33" t="str">
        <f>IF(WD.1Dgl!$I19="","",WD.1Dgl!$I19)</f>
        <v/>
      </c>
      <c r="I322" s="29" t="str">
        <f t="shared" si="76"/>
        <v>Fehlt</v>
      </c>
      <c r="J322" s="30">
        <f t="shared" si="77"/>
        <v>0</v>
      </c>
      <c r="K322" s="23" t="str">
        <f t="shared" si="64"/>
        <v>│</v>
      </c>
      <c r="L322" s="24">
        <f t="shared" si="71"/>
        <v>1</v>
      </c>
      <c r="N322" s="882" t="str">
        <f t="shared" si="78"/>
        <v>x</v>
      </c>
      <c r="P322" s="31">
        <f t="shared" si="69"/>
        <v>44.701030000000003</v>
      </c>
      <c r="Q322" s="27" t="str">
        <f t="shared" si="65"/>
        <v/>
      </c>
      <c r="R322" s="32" t="str">
        <f t="shared" si="66"/>
        <v>-</v>
      </c>
      <c r="S322" s="1" t="str">
        <f t="shared" si="67"/>
        <v/>
      </c>
      <c r="T322" s="33" t="str">
        <f t="shared" si="68"/>
        <v/>
      </c>
    </row>
    <row r="323" spans="1:20" ht="12.75" x14ac:dyDescent="0.2">
      <c r="A323" s="17"/>
      <c r="B323" s="36" t="str">
        <f>WD.1Dgl!G20</f>
        <v>Aufschlag für Rüstzeit</v>
      </c>
      <c r="C323" s="42" t="str">
        <f>IF(WD.1Dgl!$C$5="","",WD.1Dgl!$C$5)</f>
        <v>Festmist</v>
      </c>
      <c r="D323" s="31">
        <f>IF('[1]E-WD.ILeist'!$I20="","",'[1]E-WD.ILeist'!$I20)</f>
        <v>4.0230925714285704</v>
      </c>
      <c r="E323" s="27"/>
      <c r="F323" s="32" t="str">
        <f>IF(OR(H322="",WD.1Dgl!H20=""),"-",H322*WD.1Dgl!H20)</f>
        <v>-</v>
      </c>
      <c r="H323" s="33" t="str">
        <f>IF(WD.1Dgl!$I20="","",WD.1Dgl!$I20)</f>
        <v/>
      </c>
      <c r="I323" s="29" t="str">
        <f t="shared" si="76"/>
        <v>Fehlt</v>
      </c>
      <c r="J323" s="30">
        <f t="shared" si="77"/>
        <v>0</v>
      </c>
      <c r="K323" s="23" t="str">
        <f t="shared" si="64"/>
        <v>│</v>
      </c>
      <c r="L323" s="24">
        <f t="shared" si="71"/>
        <v>1</v>
      </c>
      <c r="N323" s="882" t="str">
        <f t="shared" si="78"/>
        <v>x</v>
      </c>
      <c r="P323" s="31">
        <f t="shared" si="69"/>
        <v>4.0230899999999998</v>
      </c>
      <c r="Q323" s="27" t="str">
        <f t="shared" si="65"/>
        <v/>
      </c>
      <c r="R323" s="32" t="str">
        <f t="shared" si="66"/>
        <v>-</v>
      </c>
      <c r="S323" s="1" t="str">
        <f t="shared" si="67"/>
        <v/>
      </c>
      <c r="T323" s="33" t="str">
        <f t="shared" si="68"/>
        <v/>
      </c>
    </row>
    <row r="324" spans="1:20" ht="12.75" x14ac:dyDescent="0.2">
      <c r="A324" s="18"/>
      <c r="B324" s="36" t="str">
        <f>WD.1Dgl!B21</f>
        <v>GESAMTE MASCHINENKOSTEN je 100 dt</v>
      </c>
      <c r="C324" s="42" t="str">
        <f>IF(WD.1Dgl!$C$5="","",WD.1Dgl!$C$5)</f>
        <v>Festmist</v>
      </c>
      <c r="D324" s="31">
        <f>IF('[1]E-WD.ILeist'!$I21="","",'[1]E-WD.ILeist'!$I21)</f>
        <v>48.724121142857136</v>
      </c>
      <c r="E324" s="27"/>
      <c r="F324" s="32" t="str">
        <f>IF(AND(H322="",H323=""),"-",SUM(H322:H323))</f>
        <v>-</v>
      </c>
      <c r="H324" s="33" t="str">
        <f>IF(WD.1Dgl!$I21="","",WD.1Dgl!$I21)</f>
        <v/>
      </c>
      <c r="I324" s="29" t="str">
        <f t="shared" si="76"/>
        <v>Fehlt</v>
      </c>
      <c r="J324" s="30">
        <f t="shared" si="77"/>
        <v>0</v>
      </c>
      <c r="K324" s="23" t="str">
        <f t="shared" si="64"/>
        <v>│</v>
      </c>
      <c r="L324" s="24">
        <f t="shared" si="71"/>
        <v>1</v>
      </c>
      <c r="N324" s="882" t="str">
        <f t="shared" si="78"/>
        <v>x</v>
      </c>
      <c r="P324" s="31">
        <f t="shared" si="69"/>
        <v>48.724119999999999</v>
      </c>
      <c r="Q324" s="27" t="str">
        <f t="shared" si="65"/>
        <v/>
      </c>
      <c r="R324" s="32" t="str">
        <f t="shared" si="66"/>
        <v>-</v>
      </c>
      <c r="S324" s="1" t="str">
        <f t="shared" si="67"/>
        <v/>
      </c>
      <c r="T324" s="33" t="str">
        <f t="shared" si="68"/>
        <v/>
      </c>
    </row>
    <row r="325" spans="1:20" ht="12.75" x14ac:dyDescent="0.2">
      <c r="A325" s="18"/>
      <c r="B325" s="36" t="str">
        <f>MID(WD.1Dgl!B21,1,27)&amp;WD.1Dgl!B24&amp;" "&amp;WD.1Dgl!C24</f>
        <v>GESAMTE MASCHINENKOSTEN je 162 dt</v>
      </c>
      <c r="C325" s="42" t="str">
        <f>IF(WD.1Dgl!$C$5="","",WD.1Dgl!$C$5)</f>
        <v>Festmist</v>
      </c>
      <c r="D325" s="31">
        <f>IF('[1]E-WD.ILeist'!$I24="","",'[1]E-WD.ILeist'!$I24)</f>
        <v>78.93307625142856</v>
      </c>
      <c r="E325" s="27"/>
      <c r="F325" s="32" t="str">
        <f>IF(OR(F324="-",WD.1Dgl!B24=""),"-",F324/100*WD.1Dgl!B24)</f>
        <v>-</v>
      </c>
      <c r="H325" s="33" t="str">
        <f>IF(WD.1Dgl!$I24="","",WD.1Dgl!$I24)</f>
        <v/>
      </c>
      <c r="I325" s="29" t="str">
        <f t="shared" si="76"/>
        <v>Fehlt</v>
      </c>
      <c r="J325" s="30">
        <f t="shared" si="77"/>
        <v>0</v>
      </c>
      <c r="K325" s="23" t="str">
        <f t="shared" si="64"/>
        <v>│</v>
      </c>
      <c r="L325" s="24">
        <f t="shared" si="71"/>
        <v>1</v>
      </c>
      <c r="N325" s="882" t="str">
        <f t="shared" si="78"/>
        <v>x</v>
      </c>
      <c r="P325" s="31">
        <f t="shared" si="69"/>
        <v>78.933080000000004</v>
      </c>
      <c r="Q325" s="27" t="str">
        <f t="shared" si="65"/>
        <v/>
      </c>
      <c r="R325" s="32" t="str">
        <f t="shared" si="66"/>
        <v>-</v>
      </c>
      <c r="S325" s="1" t="str">
        <f t="shared" si="67"/>
        <v/>
      </c>
      <c r="T325" s="33" t="str">
        <f t="shared" si="68"/>
        <v/>
      </c>
    </row>
    <row r="326" spans="1:20" ht="12.75" x14ac:dyDescent="0.2">
      <c r="A326" s="18"/>
      <c r="B326" s="36" t="str">
        <f>WD.1Dgl!B27</f>
        <v>Arbeitszeit/ha und Jahr</v>
      </c>
      <c r="C326" s="42" t="str">
        <f>IF(WD.1Dgl!$C$5="","",WD.1Dgl!$C$5)</f>
        <v>Festmist</v>
      </c>
      <c r="D326" s="31">
        <f>IF('[1]E-WD.ILeist'!$G27="","",ROUND('[1]E-WD.ILeist'!$G27,2))</f>
        <v>4.8600000000000003</v>
      </c>
      <c r="E326" s="27"/>
      <c r="F326" s="32">
        <f>IF(OR(AND(H307="",H309="",H311=""),WD.1Dgl!B24=""),"-",ROUND(SUM(H307,H309,H311)/100*WD.1Dgl!B24,2))</f>
        <v>2.08</v>
      </c>
      <c r="H326" s="33" t="str">
        <f>IF(WD.1Dgl!$G27="","",ROUND(WD.1Dgl!$G27,2))</f>
        <v/>
      </c>
      <c r="I326" s="29" t="str">
        <f t="shared" si="76"/>
        <v>Fehlt</v>
      </c>
      <c r="J326" s="30">
        <f t="shared" si="77"/>
        <v>0</v>
      </c>
      <c r="K326" s="23" t="str">
        <f t="shared" si="64"/>
        <v>│</v>
      </c>
      <c r="L326" s="24">
        <f t="shared" si="71"/>
        <v>1</v>
      </c>
      <c r="N326" s="882" t="str">
        <f t="shared" si="78"/>
        <v>x</v>
      </c>
      <c r="P326" s="31">
        <f t="shared" si="69"/>
        <v>4.8600000000000003</v>
      </c>
      <c r="Q326" s="27" t="str">
        <f t="shared" si="65"/>
        <v/>
      </c>
      <c r="R326" s="32">
        <f t="shared" si="66"/>
        <v>2.08</v>
      </c>
      <c r="S326" s="1" t="str">
        <f t="shared" si="67"/>
        <v/>
      </c>
      <c r="T326" s="33" t="str">
        <f t="shared" si="68"/>
        <v/>
      </c>
    </row>
    <row r="327" spans="1:20" ht="12.75" x14ac:dyDescent="0.2">
      <c r="A327" s="18"/>
      <c r="B327" s="18"/>
      <c r="C327" s="18"/>
      <c r="D327" s="19"/>
      <c r="H327" s="17"/>
      <c r="I327" s="21"/>
      <c r="J327" s="21"/>
      <c r="K327" s="23" t="str">
        <f t="shared" si="64"/>
        <v/>
      </c>
      <c r="L327" s="24" t="str">
        <f t="shared" si="71"/>
        <v/>
      </c>
      <c r="N327" s="883" t="str">
        <f>IF($L$1="","",$L$1)</f>
        <v>x</v>
      </c>
      <c r="P327" s="19" t="str">
        <f t="shared" si="69"/>
        <v/>
      </c>
      <c r="Q327" s="1" t="str">
        <f t="shared" si="65"/>
        <v/>
      </c>
      <c r="R327" s="1" t="str">
        <f t="shared" si="66"/>
        <v/>
      </c>
      <c r="S327" s="1" t="str">
        <f t="shared" si="67"/>
        <v/>
      </c>
      <c r="T327" s="17" t="str">
        <f t="shared" si="68"/>
        <v/>
      </c>
    </row>
    <row r="328" spans="1:20" ht="12.75" x14ac:dyDescent="0.2">
      <c r="A328" s="17" t="s">
        <v>17</v>
      </c>
      <c r="B328" s="17" t="s">
        <v>47</v>
      </c>
      <c r="C328" s="18"/>
      <c r="D328" s="19"/>
      <c r="H328" s="17"/>
      <c r="I328" s="21"/>
      <c r="J328" s="21"/>
      <c r="K328" s="23" t="str">
        <f t="shared" si="64"/>
        <v/>
      </c>
      <c r="L328" s="24" t="str">
        <f t="shared" si="71"/>
        <v/>
      </c>
      <c r="N328" s="880" t="str">
        <f>IF($L$1="","",$L$1)</f>
        <v>x</v>
      </c>
      <c r="P328" s="19" t="str">
        <f t="shared" si="69"/>
        <v/>
      </c>
      <c r="Q328" s="1" t="str">
        <f t="shared" si="65"/>
        <v/>
      </c>
      <c r="R328" s="1" t="str">
        <f t="shared" si="66"/>
        <v/>
      </c>
      <c r="S328" s="1" t="str">
        <f t="shared" si="67"/>
        <v/>
      </c>
      <c r="T328" s="17" t="str">
        <f t="shared" si="68"/>
        <v/>
      </c>
    </row>
    <row r="329" spans="1:20" ht="12.75" x14ac:dyDescent="0.2">
      <c r="B329" s="25" t="str">
        <f>IF(WD.1Dgl!C35="","-",WD.1Dgl!$B$9&amp;" - "&amp;WD.1Dgl!C35)</f>
        <v>Laden - Allradtraktor</v>
      </c>
      <c r="C329" s="42" t="str">
        <f>IF(WD.1Dgl!$C$30="","",WD.1Dgl!$C$30)</f>
        <v>Jauche</v>
      </c>
      <c r="D329" s="26">
        <f>IF('[1]E-WD.ILeist'!$F35="","",'[1]E-WD.ILeist'!$F35)</f>
        <v>0.1</v>
      </c>
      <c r="E329" s="27"/>
      <c r="F329" s="27"/>
      <c r="H329" s="28" t="str">
        <f>IF(WD.1Dgl!$F35="","",WD.1Dgl!$F35)</f>
        <v/>
      </c>
      <c r="I329" s="29" t="str">
        <f t="shared" ref="I329:I334" si="79">IF(AND(P329="",T329=""),"",IF(T329=P329,"Richtig!",IF(T329="","Fehlt","Falsch")))</f>
        <v>Fehlt</v>
      </c>
      <c r="J329" s="30">
        <f t="shared" ref="J329:J334" si="80">IF(OR(B329="-",N329="",AND(P329="",T329="")),"-",IF(I329="Richtig!",1,IF(I329="Formel: OK",0.5,IF(OR(I329="Falsch",I329="Fehlt"),0,""))))</f>
        <v>0</v>
      </c>
      <c r="K329" s="23" t="str">
        <f t="shared" si="64"/>
        <v>│</v>
      </c>
      <c r="L329" s="24">
        <f t="shared" si="71"/>
        <v>1</v>
      </c>
      <c r="N329" s="882" t="str">
        <f>IF($L$1="","",$L$1)</f>
        <v>x</v>
      </c>
      <c r="P329" s="26">
        <f t="shared" si="69"/>
        <v>0.1</v>
      </c>
      <c r="Q329" s="27" t="str">
        <f t="shared" si="65"/>
        <v/>
      </c>
      <c r="R329" s="27" t="str">
        <f t="shared" si="66"/>
        <v/>
      </c>
      <c r="S329" s="1" t="str">
        <f t="shared" si="67"/>
        <v/>
      </c>
      <c r="T329" s="28" t="str">
        <f t="shared" si="68"/>
        <v/>
      </c>
    </row>
    <row r="330" spans="1:20" ht="12.75" x14ac:dyDescent="0.2">
      <c r="B330" s="25" t="str">
        <f>IF(WD.1Dgl!C36="","-",WD.1Dgl!$B$9&amp;" - "&amp;WD.1Dgl!C36)</f>
        <v>Laden - Vakuumfass</v>
      </c>
      <c r="C330" s="42" t="str">
        <f>IF(WD.1Dgl!$C$30="","",WD.1Dgl!$C$30)</f>
        <v>Jauche</v>
      </c>
      <c r="D330" s="26">
        <f>IF('[1]E-WD.ILeist'!$F36="","",'[1]E-WD.ILeist'!$F36)</f>
        <v>0.1</v>
      </c>
      <c r="E330" s="27"/>
      <c r="F330" s="27"/>
      <c r="H330" s="28" t="str">
        <f>IF(WD.1Dgl!$F36="","",WD.1Dgl!$F36)</f>
        <v/>
      </c>
      <c r="I330" s="29" t="str">
        <f t="shared" si="79"/>
        <v>Fehlt</v>
      </c>
      <c r="J330" s="30">
        <f t="shared" si="80"/>
        <v>0</v>
      </c>
      <c r="K330" s="23" t="str">
        <f t="shared" ref="K330:K393" si="81">IF(L330="","","│")</f>
        <v>│</v>
      </c>
      <c r="L330" s="24">
        <f t="shared" ref="L330:L362" si="82">IF(OR(B330="-",N330="",AND(P330="",T330="")),"",1)</f>
        <v>1</v>
      </c>
      <c r="N330" s="882" t="str">
        <f>IF($L$1="","",$L$1)</f>
        <v>x</v>
      </c>
      <c r="P330" s="26">
        <f t="shared" si="69"/>
        <v>0.1</v>
      </c>
      <c r="Q330" s="27" t="str">
        <f t="shared" ref="Q330:Q393" si="83">IF(ISTEXT(E330),E330,IF(E330="","",ROUND(E330,$R$1)))</f>
        <v/>
      </c>
      <c r="R330" s="27" t="str">
        <f t="shared" ref="R330:R393" si="84">IF(ISTEXT(F330),F330,IF(F330="","",ROUND(F330,$R$1)))</f>
        <v/>
      </c>
      <c r="S330" s="1" t="str">
        <f t="shared" ref="S330:S393" si="85">IF(ISTEXT(G330),G330,IF(G330="","",ROUND(G330,$R$1)))</f>
        <v/>
      </c>
      <c r="T330" s="28" t="str">
        <f t="shared" ref="T330:T393" si="86">IF(ISTEXT(H330),H330,IF(H330="","",ROUND(H330,$R$1)))</f>
        <v/>
      </c>
    </row>
    <row r="331" spans="1:20" ht="12.75" hidden="1" customHeight="1" x14ac:dyDescent="0.2">
      <c r="B331" s="25" t="str">
        <f>IF(WD.1Dgl!C38="","-",WD.1Dgl!$B$12&amp;" - "&amp;WD.1Dgl!C38)</f>
        <v>Transport - Allradtraktor</v>
      </c>
      <c r="C331" s="42" t="str">
        <f>IF(WD.1Dgl!$C$30="","",WD.1Dgl!$C$30)</f>
        <v>Jauche</v>
      </c>
      <c r="D331" s="26">
        <f>IF('[1]E-WD.ILeist'!$F38="","",'[1]E-WD.ILeist'!$F38)</f>
        <v>0.6</v>
      </c>
      <c r="E331" s="27"/>
      <c r="F331" s="27"/>
      <c r="H331" s="28">
        <f>IF(WD.1Dgl!$F38="","",WD.1Dgl!$F38)</f>
        <v>0.6</v>
      </c>
      <c r="I331" s="29" t="str">
        <f t="shared" si="79"/>
        <v>Richtig!</v>
      </c>
      <c r="J331" s="30" t="str">
        <f t="shared" si="80"/>
        <v>-</v>
      </c>
      <c r="K331" s="23" t="str">
        <f t="shared" si="81"/>
        <v/>
      </c>
      <c r="L331" s="24" t="str">
        <f t="shared" si="82"/>
        <v/>
      </c>
      <c r="N331" s="882"/>
      <c r="P331" s="26">
        <f t="shared" ref="P331:P394" si="87">IF(ISTEXT(D331),D331,IF(D331="","",ROUND(D331,$R$1)))</f>
        <v>0.6</v>
      </c>
      <c r="Q331" s="27" t="str">
        <f t="shared" si="83"/>
        <v/>
      </c>
      <c r="R331" s="27" t="str">
        <f t="shared" si="84"/>
        <v/>
      </c>
      <c r="S331" s="1" t="str">
        <f t="shared" si="85"/>
        <v/>
      </c>
      <c r="T331" s="28">
        <f t="shared" si="86"/>
        <v>0.6</v>
      </c>
    </row>
    <row r="332" spans="1:20" ht="12.75" hidden="1" customHeight="1" x14ac:dyDescent="0.2">
      <c r="B332" s="25" t="str">
        <f>IF(WD.1Dgl!C39="","-",WD.1Dgl!$B$12&amp;" - "&amp;WD.1Dgl!C39)</f>
        <v>Transport - Vakuumfass</v>
      </c>
      <c r="C332" s="42" t="str">
        <f>IF(WD.1Dgl!$C$30="","",WD.1Dgl!$C$30)</f>
        <v>Jauche</v>
      </c>
      <c r="D332" s="26">
        <f>IF('[1]E-WD.ILeist'!$F39="","",'[1]E-WD.ILeist'!$F39)</f>
        <v>0.6</v>
      </c>
      <c r="E332" s="27"/>
      <c r="F332" s="27"/>
      <c r="H332" s="28">
        <f>IF(WD.1Dgl!$F39="","",WD.1Dgl!$F39)</f>
        <v>0.6</v>
      </c>
      <c r="I332" s="29" t="str">
        <f t="shared" si="79"/>
        <v>Richtig!</v>
      </c>
      <c r="J332" s="30" t="str">
        <f t="shared" si="80"/>
        <v>-</v>
      </c>
      <c r="K332" s="23" t="str">
        <f t="shared" si="81"/>
        <v/>
      </c>
      <c r="L332" s="24" t="str">
        <f t="shared" si="82"/>
        <v/>
      </c>
      <c r="N332" s="882"/>
      <c r="P332" s="26">
        <f t="shared" si="87"/>
        <v>0.6</v>
      </c>
      <c r="Q332" s="27" t="str">
        <f t="shared" si="83"/>
        <v/>
      </c>
      <c r="R332" s="27" t="str">
        <f t="shared" si="84"/>
        <v/>
      </c>
      <c r="S332" s="1" t="str">
        <f t="shared" si="85"/>
        <v/>
      </c>
      <c r="T332" s="28">
        <f t="shared" si="86"/>
        <v>0.6</v>
      </c>
    </row>
    <row r="333" spans="1:20" ht="12.75" hidden="1" customHeight="1" x14ac:dyDescent="0.2">
      <c r="B333" s="25" t="str">
        <f>IF(WD.1Dgl!C41="","-",WD.1Dgl!$B$15&amp;" - "&amp;WD.1Dgl!C41)</f>
        <v>Ausbringung - Allradtraktor</v>
      </c>
      <c r="C333" s="42" t="str">
        <f>IF(WD.1Dgl!$C$30="","",WD.1Dgl!$C$30)</f>
        <v>Jauche</v>
      </c>
      <c r="D333" s="26">
        <f>IF('[1]E-WD.ILeist'!$F41="","",'[1]E-WD.ILeist'!$F41)</f>
        <v>0.25</v>
      </c>
      <c r="E333" s="27"/>
      <c r="F333" s="27"/>
      <c r="H333" s="28">
        <f>IF(WD.1Dgl!$F41="","",WD.1Dgl!$F41)</f>
        <v>0.25</v>
      </c>
      <c r="I333" s="29" t="str">
        <f t="shared" si="79"/>
        <v>Richtig!</v>
      </c>
      <c r="J333" s="30" t="str">
        <f t="shared" si="80"/>
        <v>-</v>
      </c>
      <c r="K333" s="23" t="str">
        <f t="shared" si="81"/>
        <v/>
      </c>
      <c r="L333" s="24" t="str">
        <f t="shared" si="82"/>
        <v/>
      </c>
      <c r="N333" s="882"/>
      <c r="P333" s="26">
        <f t="shared" si="87"/>
        <v>0.25</v>
      </c>
      <c r="Q333" s="27" t="str">
        <f t="shared" si="83"/>
        <v/>
      </c>
      <c r="R333" s="27" t="str">
        <f t="shared" si="84"/>
        <v/>
      </c>
      <c r="S333" s="1" t="str">
        <f t="shared" si="85"/>
        <v/>
      </c>
      <c r="T333" s="28">
        <f t="shared" si="86"/>
        <v>0.25</v>
      </c>
    </row>
    <row r="334" spans="1:20" ht="12.75" hidden="1" customHeight="1" x14ac:dyDescent="0.2">
      <c r="B334" s="25" t="str">
        <f>IF(WD.1Dgl!C42="","-",WD.1Dgl!$B$15&amp;" - "&amp;WD.1Dgl!C42)</f>
        <v>Ausbringung - Vakuumfass</v>
      </c>
      <c r="C334" s="42" t="str">
        <f>IF(WD.1Dgl!$C$30="","",WD.1Dgl!$C$30)</f>
        <v>Jauche</v>
      </c>
      <c r="D334" s="26">
        <f>IF('[1]E-WD.ILeist'!$F42="","",'[1]E-WD.ILeist'!$F42)</f>
        <v>0.25</v>
      </c>
      <c r="E334" s="27"/>
      <c r="F334" s="27"/>
      <c r="H334" s="28">
        <f>IF(WD.1Dgl!$F42="","",WD.1Dgl!$F42)</f>
        <v>0.25</v>
      </c>
      <c r="I334" s="29" t="str">
        <f t="shared" si="79"/>
        <v>Richtig!</v>
      </c>
      <c r="J334" s="30" t="str">
        <f t="shared" si="80"/>
        <v>-</v>
      </c>
      <c r="K334" s="23" t="str">
        <f t="shared" si="81"/>
        <v/>
      </c>
      <c r="L334" s="24" t="str">
        <f t="shared" si="82"/>
        <v/>
      </c>
      <c r="N334" s="882"/>
      <c r="P334" s="26">
        <f t="shared" si="87"/>
        <v>0.25</v>
      </c>
      <c r="Q334" s="27" t="str">
        <f t="shared" si="83"/>
        <v/>
      </c>
      <c r="R334" s="27" t="str">
        <f t="shared" si="84"/>
        <v/>
      </c>
      <c r="S334" s="1" t="str">
        <f t="shared" si="85"/>
        <v/>
      </c>
      <c r="T334" s="28">
        <f t="shared" si="86"/>
        <v>0.25</v>
      </c>
    </row>
    <row r="335" spans="1:20" ht="12.75" x14ac:dyDescent="0.2">
      <c r="A335" s="18"/>
      <c r="B335" s="18"/>
      <c r="C335" s="18"/>
      <c r="D335" s="19"/>
      <c r="H335" s="17"/>
      <c r="I335" s="21"/>
      <c r="J335" s="21"/>
      <c r="K335" s="23" t="str">
        <f t="shared" si="81"/>
        <v/>
      </c>
      <c r="L335" s="24" t="str">
        <f t="shared" si="82"/>
        <v/>
      </c>
      <c r="N335" s="883" t="str">
        <f>IF($L$1="","",$L$1)</f>
        <v>x</v>
      </c>
      <c r="P335" s="19" t="str">
        <f t="shared" si="87"/>
        <v/>
      </c>
      <c r="Q335" s="1" t="str">
        <f t="shared" si="83"/>
        <v/>
      </c>
      <c r="R335" s="1" t="str">
        <f t="shared" si="84"/>
        <v/>
      </c>
      <c r="S335" s="1" t="str">
        <f t="shared" si="85"/>
        <v/>
      </c>
      <c r="T335" s="17" t="str">
        <f t="shared" si="86"/>
        <v/>
      </c>
    </row>
    <row r="336" spans="1:20" ht="12.75" x14ac:dyDescent="0.2">
      <c r="A336" s="17" t="s">
        <v>19</v>
      </c>
      <c r="B336" s="17" t="s">
        <v>540</v>
      </c>
      <c r="C336" s="18"/>
      <c r="D336" s="19"/>
      <c r="H336" s="17"/>
      <c r="I336" s="21"/>
      <c r="J336" s="21"/>
      <c r="K336" s="23" t="str">
        <f t="shared" si="81"/>
        <v/>
      </c>
      <c r="L336" s="24" t="str">
        <f t="shared" si="82"/>
        <v/>
      </c>
      <c r="N336" s="880" t="str">
        <f>IF($L$1="","",$L$1)</f>
        <v>x</v>
      </c>
      <c r="P336" s="19" t="str">
        <f t="shared" si="87"/>
        <v/>
      </c>
      <c r="Q336" s="1" t="str">
        <f t="shared" si="83"/>
        <v/>
      </c>
      <c r="R336" s="1" t="str">
        <f t="shared" si="84"/>
        <v/>
      </c>
      <c r="S336" s="1" t="str">
        <f t="shared" si="85"/>
        <v/>
      </c>
      <c r="T336" s="17" t="str">
        <f t="shared" si="86"/>
        <v/>
      </c>
    </row>
    <row r="337" spans="1:20" ht="12.75" x14ac:dyDescent="0.2">
      <c r="B337" s="25" t="str">
        <f>IF(WD.1Dgl!C35="","-",WD.1Dgl!$B$9&amp;" - "&amp;WD.1Dgl!C35)</f>
        <v>Laden - Allradtraktor</v>
      </c>
      <c r="C337" s="42" t="str">
        <f>IF(WD.1Dgl!$C$30="","",WD.1Dgl!$C$30)</f>
        <v>Jauche</v>
      </c>
      <c r="D337" s="31">
        <f>IF('[1]E-WD.ILeist'!$G35="","",ROUND('[1]E-WD.ILeist'!$G35,5))</f>
        <v>0.25</v>
      </c>
      <c r="E337" s="27"/>
      <c r="F337" s="32" t="str">
        <f>IF(OR(H329="",WD.1Dgl!$H$30=""),"-",ROUND(H329*10/WD.1Dgl!$H$30,5))</f>
        <v>-</v>
      </c>
      <c r="H337" s="33" t="str">
        <f>IF(WD.1Dgl!$G35="","",ROUND(WD.1Dgl!$G35,5))</f>
        <v/>
      </c>
      <c r="I337" s="29" t="str">
        <f t="shared" ref="I337:I342" si="88">IF(OR(B337="-",AND(P337="",T337="")),"",IF(T337=P337,"Richtig!",IF(AND(P337&lt;&gt;T337,R337=T337),"Formel: OK",IF(T337="","Fehlt","Falsch"))))</f>
        <v>Fehlt</v>
      </c>
      <c r="J337" s="30">
        <f t="shared" ref="J337:J342" si="89">IF(OR(B337="-",N337="",AND(P337="",T337="")),"-",IF(I337="Richtig!",1,IF(I337="Formel: OK",0.5,IF(OR(I337="Falsch",I337="Fehlt"),0,""))))</f>
        <v>0</v>
      </c>
      <c r="K337" s="23" t="str">
        <f t="shared" si="81"/>
        <v>│</v>
      </c>
      <c r="L337" s="24">
        <f t="shared" si="82"/>
        <v>1</v>
      </c>
      <c r="N337" s="882" t="str">
        <f>IF($L$1="","",$L$1)</f>
        <v>x</v>
      </c>
      <c r="P337" s="31">
        <f t="shared" si="87"/>
        <v>0.25</v>
      </c>
      <c r="Q337" s="27" t="str">
        <f t="shared" si="83"/>
        <v/>
      </c>
      <c r="R337" s="32" t="str">
        <f t="shared" si="84"/>
        <v>-</v>
      </c>
      <c r="S337" s="1" t="str">
        <f t="shared" si="85"/>
        <v/>
      </c>
      <c r="T337" s="33" t="str">
        <f t="shared" si="86"/>
        <v/>
      </c>
    </row>
    <row r="338" spans="1:20" ht="12.75" x14ac:dyDescent="0.2">
      <c r="B338" s="25" t="str">
        <f>IF(WD.1Dgl!C36="","-",WD.1Dgl!$B$9&amp;" - "&amp;WD.1Dgl!C36)</f>
        <v>Laden - Vakuumfass</v>
      </c>
      <c r="C338" s="42" t="str">
        <f>IF(WD.1Dgl!$C$30="","",WD.1Dgl!$C$30)</f>
        <v>Jauche</v>
      </c>
      <c r="D338" s="31">
        <f>IF('[1]E-WD.ILeist'!$G36="","",'[1]E-WD.ILeist'!$G36)</f>
        <v>0.25</v>
      </c>
      <c r="E338" s="27"/>
      <c r="F338" s="32" t="str">
        <f>IF(OR(H330="",WD.1Dgl!$H$30=""),"-",H330*100/WD.1Dgl!$H$30)</f>
        <v>-</v>
      </c>
      <c r="H338" s="33" t="str">
        <f>IF(WD.1Dgl!$G36="","",WD.1Dgl!$G36)</f>
        <v/>
      </c>
      <c r="I338" s="29" t="str">
        <f t="shared" si="88"/>
        <v>Fehlt</v>
      </c>
      <c r="J338" s="30">
        <f t="shared" si="89"/>
        <v>0</v>
      </c>
      <c r="K338" s="23" t="str">
        <f t="shared" si="81"/>
        <v>│</v>
      </c>
      <c r="L338" s="24">
        <f t="shared" si="82"/>
        <v>1</v>
      </c>
      <c r="N338" s="882" t="str">
        <f>IF($L$1="","",$L$1)</f>
        <v>x</v>
      </c>
      <c r="P338" s="31">
        <f t="shared" si="87"/>
        <v>0.25</v>
      </c>
      <c r="Q338" s="27" t="str">
        <f t="shared" si="83"/>
        <v/>
      </c>
      <c r="R338" s="32" t="str">
        <f t="shared" si="84"/>
        <v>-</v>
      </c>
      <c r="S338" s="1" t="str">
        <f t="shared" si="85"/>
        <v/>
      </c>
      <c r="T338" s="33" t="str">
        <f t="shared" si="86"/>
        <v/>
      </c>
    </row>
    <row r="339" spans="1:20" ht="12.75" hidden="1" customHeight="1" x14ac:dyDescent="0.2">
      <c r="B339" s="25" t="str">
        <f>IF(WD.1Dgl!C38="","-",WD.1Dgl!$B$12&amp;" - "&amp;WD.1Dgl!C38)</f>
        <v>Transport - Allradtraktor</v>
      </c>
      <c r="C339" s="42" t="str">
        <f>IF(WD.1Dgl!$C$30="","",WD.1Dgl!$C$30)</f>
        <v>Jauche</v>
      </c>
      <c r="D339" s="31">
        <f>IF('[1]E-WD.ILeist'!$G38="","",'[1]E-WD.ILeist'!$G38)</f>
        <v>1.5</v>
      </c>
      <c r="E339" s="27"/>
      <c r="F339" s="32">
        <f>IF(OR(H331="",WD.1Dgl!$H$30=""),"-",H331*100/WD.1Dgl!$H$30)</f>
        <v>15</v>
      </c>
      <c r="H339" s="33">
        <f>IF(WD.1Dgl!$G38="","",WD.1Dgl!$G38)</f>
        <v>1.5</v>
      </c>
      <c r="I339" s="29" t="str">
        <f t="shared" si="88"/>
        <v>Richtig!</v>
      </c>
      <c r="J339" s="30" t="str">
        <f t="shared" si="89"/>
        <v>-</v>
      </c>
      <c r="K339" s="23" t="str">
        <f t="shared" si="81"/>
        <v/>
      </c>
      <c r="L339" s="24" t="str">
        <f t="shared" si="82"/>
        <v/>
      </c>
      <c r="N339" s="882"/>
      <c r="P339" s="31">
        <f t="shared" si="87"/>
        <v>1.5</v>
      </c>
      <c r="Q339" s="27" t="str">
        <f t="shared" si="83"/>
        <v/>
      </c>
      <c r="R339" s="32">
        <f t="shared" si="84"/>
        <v>15</v>
      </c>
      <c r="S339" s="1" t="str">
        <f t="shared" si="85"/>
        <v/>
      </c>
      <c r="T339" s="33">
        <f t="shared" si="86"/>
        <v>1.5</v>
      </c>
    </row>
    <row r="340" spans="1:20" ht="12.75" hidden="1" customHeight="1" x14ac:dyDescent="0.2">
      <c r="B340" s="25" t="str">
        <f>IF(WD.1Dgl!C39="","-",WD.1Dgl!$B$12&amp;" - "&amp;WD.1Dgl!C39)</f>
        <v>Transport - Vakuumfass</v>
      </c>
      <c r="C340" s="42" t="str">
        <f>IF(WD.1Dgl!$C$30="","",WD.1Dgl!$C$30)</f>
        <v>Jauche</v>
      </c>
      <c r="D340" s="31">
        <f>IF('[1]E-WD.ILeist'!$G39="","",'[1]E-WD.ILeist'!$G39)</f>
        <v>1.5</v>
      </c>
      <c r="E340" s="27"/>
      <c r="F340" s="32">
        <f>IF(OR(H332="",WD.1Dgl!$H$30=""),"-",H332*100/WD.1Dgl!$H$30)</f>
        <v>15</v>
      </c>
      <c r="H340" s="33">
        <f>IF(WD.1Dgl!$G39="","",WD.1Dgl!$G39)</f>
        <v>1.5</v>
      </c>
      <c r="I340" s="29" t="str">
        <f t="shared" si="88"/>
        <v>Richtig!</v>
      </c>
      <c r="J340" s="30" t="str">
        <f t="shared" si="89"/>
        <v>-</v>
      </c>
      <c r="K340" s="23" t="str">
        <f t="shared" si="81"/>
        <v/>
      </c>
      <c r="L340" s="24" t="str">
        <f t="shared" si="82"/>
        <v/>
      </c>
      <c r="N340" s="882"/>
      <c r="P340" s="31">
        <f t="shared" si="87"/>
        <v>1.5</v>
      </c>
      <c r="Q340" s="27" t="str">
        <f t="shared" si="83"/>
        <v/>
      </c>
      <c r="R340" s="32">
        <f t="shared" si="84"/>
        <v>15</v>
      </c>
      <c r="S340" s="1" t="str">
        <f t="shared" si="85"/>
        <v/>
      </c>
      <c r="T340" s="33">
        <f t="shared" si="86"/>
        <v>1.5</v>
      </c>
    </row>
    <row r="341" spans="1:20" ht="12.75" hidden="1" customHeight="1" x14ac:dyDescent="0.2">
      <c r="B341" s="25" t="str">
        <f>IF(WD.1Dgl!C41="","-",WD.1Dgl!$B$15&amp;" - "&amp;WD.1Dgl!C41)</f>
        <v>Ausbringung - Allradtraktor</v>
      </c>
      <c r="C341" s="42" t="str">
        <f>IF(WD.1Dgl!$C$30="","",WD.1Dgl!$C$30)</f>
        <v>Jauche</v>
      </c>
      <c r="D341" s="31">
        <f>IF('[1]E-WD.ILeist'!$G41="","",'[1]E-WD.ILeist'!$G41)</f>
        <v>0.625</v>
      </c>
      <c r="E341" s="27"/>
      <c r="F341" s="32">
        <f>IF(OR(H333="",WD.1Dgl!$H$30=""),"-",H333*100/WD.1Dgl!$H$30)</f>
        <v>6.25</v>
      </c>
      <c r="H341" s="33">
        <f>IF(WD.1Dgl!$G41="","",WD.1Dgl!$G41)</f>
        <v>0.625</v>
      </c>
      <c r="I341" s="29" t="str">
        <f t="shared" si="88"/>
        <v>Richtig!</v>
      </c>
      <c r="J341" s="30" t="str">
        <f t="shared" si="89"/>
        <v>-</v>
      </c>
      <c r="K341" s="23" t="str">
        <f t="shared" si="81"/>
        <v/>
      </c>
      <c r="L341" s="24" t="str">
        <f t="shared" si="82"/>
        <v/>
      </c>
      <c r="N341" s="882"/>
      <c r="P341" s="31">
        <f t="shared" si="87"/>
        <v>0.625</v>
      </c>
      <c r="Q341" s="27" t="str">
        <f t="shared" si="83"/>
        <v/>
      </c>
      <c r="R341" s="32">
        <f t="shared" si="84"/>
        <v>6.25</v>
      </c>
      <c r="S341" s="1" t="str">
        <f t="shared" si="85"/>
        <v/>
      </c>
      <c r="T341" s="33">
        <f t="shared" si="86"/>
        <v>0.625</v>
      </c>
    </row>
    <row r="342" spans="1:20" ht="12.75" hidden="1" customHeight="1" x14ac:dyDescent="0.2">
      <c r="B342" s="25" t="str">
        <f>IF(WD.1Dgl!C42="","-",WD.1Dgl!$B$15&amp;" - "&amp;WD.1Dgl!C42)</f>
        <v>Ausbringung - Vakuumfass</v>
      </c>
      <c r="C342" s="42" t="str">
        <f>IF(WD.1Dgl!$C$30="","",WD.1Dgl!$C$30)</f>
        <v>Jauche</v>
      </c>
      <c r="D342" s="31">
        <f>IF('[1]E-WD.ILeist'!$G42="","",'[1]E-WD.ILeist'!$G42)</f>
        <v>0.625</v>
      </c>
      <c r="E342" s="27"/>
      <c r="F342" s="32">
        <f>IF(OR(H334="",WD.1Dgl!$H$30=""),"-",H334*100/WD.1Dgl!$H$30)</f>
        <v>6.25</v>
      </c>
      <c r="H342" s="33">
        <f>IF(WD.1Dgl!$G42="","",WD.1Dgl!$G42)</f>
        <v>0.625</v>
      </c>
      <c r="I342" s="29" t="str">
        <f t="shared" si="88"/>
        <v>Richtig!</v>
      </c>
      <c r="J342" s="30" t="str">
        <f t="shared" si="89"/>
        <v>-</v>
      </c>
      <c r="K342" s="23" t="str">
        <f t="shared" si="81"/>
        <v/>
      </c>
      <c r="L342" s="24" t="str">
        <f t="shared" si="82"/>
        <v/>
      </c>
      <c r="N342" s="882"/>
      <c r="P342" s="31">
        <f t="shared" si="87"/>
        <v>0.625</v>
      </c>
      <c r="Q342" s="27" t="str">
        <f t="shared" si="83"/>
        <v/>
      </c>
      <c r="R342" s="32">
        <f t="shared" si="84"/>
        <v>6.25</v>
      </c>
      <c r="S342" s="1" t="str">
        <f t="shared" si="85"/>
        <v/>
      </c>
      <c r="T342" s="33">
        <f t="shared" si="86"/>
        <v>0.625</v>
      </c>
    </row>
    <row r="343" spans="1:20" ht="12.75" x14ac:dyDescent="0.2">
      <c r="A343" s="18"/>
      <c r="B343" s="18"/>
      <c r="C343" s="18"/>
      <c r="D343" s="19"/>
      <c r="H343" s="17"/>
      <c r="I343" s="21"/>
      <c r="J343" s="21"/>
      <c r="K343" s="23" t="str">
        <f t="shared" si="81"/>
        <v/>
      </c>
      <c r="L343" s="24" t="str">
        <f t="shared" si="82"/>
        <v/>
      </c>
      <c r="N343" s="883" t="str">
        <f>IF($L$1="","",$L$1)</f>
        <v>x</v>
      </c>
      <c r="P343" s="19" t="str">
        <f t="shared" si="87"/>
        <v/>
      </c>
      <c r="Q343" s="1" t="str">
        <f t="shared" si="83"/>
        <v/>
      </c>
      <c r="R343" s="1" t="str">
        <f t="shared" si="84"/>
        <v/>
      </c>
      <c r="S343" s="1" t="str">
        <f t="shared" si="85"/>
        <v/>
      </c>
      <c r="T343" s="17" t="str">
        <f t="shared" si="86"/>
        <v/>
      </c>
    </row>
    <row r="344" spans="1:20" ht="12.75" x14ac:dyDescent="0.2">
      <c r="A344" s="17" t="s">
        <v>23</v>
      </c>
      <c r="B344" s="17" t="s">
        <v>49</v>
      </c>
      <c r="C344" s="18"/>
      <c r="D344" s="19"/>
      <c r="H344" s="17"/>
      <c r="I344" s="21"/>
      <c r="J344" s="21"/>
      <c r="K344" s="23" t="str">
        <f t="shared" si="81"/>
        <v/>
      </c>
      <c r="L344" s="24" t="str">
        <f t="shared" si="82"/>
        <v/>
      </c>
      <c r="N344" s="880" t="str">
        <f>IF($L$1="","",$L$1)</f>
        <v>x</v>
      </c>
      <c r="P344" s="19" t="str">
        <f t="shared" si="87"/>
        <v/>
      </c>
      <c r="Q344" s="1" t="str">
        <f t="shared" si="83"/>
        <v/>
      </c>
      <c r="R344" s="1" t="str">
        <f t="shared" si="84"/>
        <v/>
      </c>
      <c r="S344" s="1" t="str">
        <f t="shared" si="85"/>
        <v/>
      </c>
      <c r="T344" s="17" t="str">
        <f t="shared" si="86"/>
        <v/>
      </c>
    </row>
    <row r="345" spans="1:20" ht="12.75" x14ac:dyDescent="0.2">
      <c r="A345" s="17"/>
      <c r="B345" s="25" t="str">
        <f>IF(WD.1Dgl!C35="","-",WD.1Dgl!$B$9&amp;" - "&amp;WD.1Dgl!C35)</f>
        <v>Laden - Allradtraktor</v>
      </c>
      <c r="C345" s="42" t="str">
        <f>IF(WD.1Dgl!$C$30="","",WD.1Dgl!$C$30)</f>
        <v>Jauche</v>
      </c>
      <c r="D345" s="31">
        <f>IF('[1]E-WD.ILeist'!$I35="","",'[1]E-WD.ILeist'!$I35)</f>
        <v>2.6689000000000003</v>
      </c>
      <c r="E345" s="27"/>
      <c r="F345" s="32" t="str">
        <f>IF(OR(H337="",WD.1Dgl!H35=""),"-",H337*WD.1Dgl!H35)</f>
        <v>-</v>
      </c>
      <c r="H345" s="33" t="str">
        <f>IF(WD.1Dgl!$I35="","",WD.1Dgl!$I35)</f>
        <v/>
      </c>
      <c r="I345" s="29" t="str">
        <f t="shared" ref="I345:I356" si="90">IF(OR(B345="-",AND(P345="",T345="")),"",IF(T345=P345,"Richtig!",IF(AND(P345&lt;&gt;T345,R345=T345),"Formel: OK",IF(T345="","Fehlt","Falsch"))))</f>
        <v>Fehlt</v>
      </c>
      <c r="J345" s="30">
        <f t="shared" ref="J345:J356" si="91">IF(OR(B345="-",N345="",AND(P345="",T345="")),"-",IF(I345="Richtig!",1,IF(I345="Formel: OK",0.5,IF(OR(I345="Falsch",I345="Fehlt"),0,""))))</f>
        <v>0</v>
      </c>
      <c r="K345" s="23" t="str">
        <f t="shared" si="81"/>
        <v>│</v>
      </c>
      <c r="L345" s="24">
        <f t="shared" si="82"/>
        <v>1</v>
      </c>
      <c r="N345" s="882" t="str">
        <f>IF($L$1="","",$L$1)</f>
        <v>x</v>
      </c>
      <c r="P345" s="31">
        <f t="shared" si="87"/>
        <v>2.6688999999999998</v>
      </c>
      <c r="Q345" s="27" t="str">
        <f t="shared" si="83"/>
        <v/>
      </c>
      <c r="R345" s="32" t="str">
        <f t="shared" si="84"/>
        <v>-</v>
      </c>
      <c r="S345" s="1" t="str">
        <f t="shared" si="85"/>
        <v/>
      </c>
      <c r="T345" s="33" t="str">
        <f t="shared" si="86"/>
        <v/>
      </c>
    </row>
    <row r="346" spans="1:20" ht="12.75" x14ac:dyDescent="0.2">
      <c r="A346" s="17"/>
      <c r="B346" s="25" t="str">
        <f>IF(WD.1Dgl!C36="","-",WD.1Dgl!$B$9&amp;" - "&amp;WD.1Dgl!C36)</f>
        <v>Laden - Vakuumfass</v>
      </c>
      <c r="C346" s="42" t="str">
        <f>IF(WD.1Dgl!$C$30="","",WD.1Dgl!$C$30)</f>
        <v>Jauche</v>
      </c>
      <c r="D346" s="31">
        <f>IF('[1]E-WD.ILeist'!$I36="","",'[1]E-WD.ILeist'!$I36)</f>
        <v>0.33</v>
      </c>
      <c r="E346" s="27"/>
      <c r="F346" s="32" t="str">
        <f>IF(OR(H338="",WD.1Dgl!H36=""),"-",H338*WD.1Dgl!H36)</f>
        <v>-</v>
      </c>
      <c r="H346" s="33" t="str">
        <f>IF(WD.1Dgl!$I36="","",WD.1Dgl!$I36)</f>
        <v/>
      </c>
      <c r="I346" s="29" t="str">
        <f t="shared" si="90"/>
        <v>Fehlt</v>
      </c>
      <c r="J346" s="30">
        <f t="shared" si="91"/>
        <v>0</v>
      </c>
      <c r="K346" s="23" t="str">
        <f t="shared" si="81"/>
        <v>│</v>
      </c>
      <c r="L346" s="24">
        <f t="shared" si="82"/>
        <v>1</v>
      </c>
      <c r="N346" s="882" t="str">
        <f>IF($L$1="","",$L$1)</f>
        <v>x</v>
      </c>
      <c r="P346" s="31">
        <f t="shared" si="87"/>
        <v>0.33</v>
      </c>
      <c r="Q346" s="27" t="str">
        <f t="shared" si="83"/>
        <v/>
      </c>
      <c r="R346" s="32" t="str">
        <f t="shared" si="84"/>
        <v>-</v>
      </c>
      <c r="S346" s="1" t="str">
        <f t="shared" si="85"/>
        <v/>
      </c>
      <c r="T346" s="33" t="str">
        <f t="shared" si="86"/>
        <v/>
      </c>
    </row>
    <row r="347" spans="1:20" ht="12.75" hidden="1" customHeight="1" x14ac:dyDescent="0.2">
      <c r="B347" s="25" t="str">
        <f>IF(WD.1Dgl!C38="","-",WD.1Dgl!$B$12&amp;" - "&amp;WD.1Dgl!C38)</f>
        <v>Transport - Allradtraktor</v>
      </c>
      <c r="C347" s="42" t="str">
        <f>IF(WD.1Dgl!$C$30="","",WD.1Dgl!$C$30)</f>
        <v>Jauche</v>
      </c>
      <c r="D347" s="31">
        <f>IF('[1]E-WD.ILeist'!$I38="","",'[1]E-WD.ILeist'!$I38)</f>
        <v>16.013400000000001</v>
      </c>
      <c r="E347" s="27"/>
      <c r="F347" s="32">
        <f>IF(OR(H339="",WD.1Dgl!H38=""),"-",H339*WD.1Dgl!H38)</f>
        <v>16.013400000000001</v>
      </c>
      <c r="H347" s="33">
        <f>IF(WD.1Dgl!$I38="","",WD.1Dgl!$I38)</f>
        <v>16.013400000000001</v>
      </c>
      <c r="I347" s="29" t="str">
        <f t="shared" si="90"/>
        <v>Richtig!</v>
      </c>
      <c r="J347" s="30" t="str">
        <f t="shared" si="91"/>
        <v>-</v>
      </c>
      <c r="K347" s="23" t="str">
        <f t="shared" si="81"/>
        <v/>
      </c>
      <c r="L347" s="24" t="str">
        <f t="shared" si="82"/>
        <v/>
      </c>
      <c r="N347" s="882"/>
      <c r="P347" s="31">
        <f t="shared" si="87"/>
        <v>16.013400000000001</v>
      </c>
      <c r="Q347" s="27" t="str">
        <f t="shared" si="83"/>
        <v/>
      </c>
      <c r="R347" s="32">
        <f t="shared" si="84"/>
        <v>16.013400000000001</v>
      </c>
      <c r="S347" s="1" t="str">
        <f t="shared" si="85"/>
        <v/>
      </c>
      <c r="T347" s="33">
        <f t="shared" si="86"/>
        <v>16.013400000000001</v>
      </c>
    </row>
    <row r="348" spans="1:20" ht="12.75" hidden="1" customHeight="1" x14ac:dyDescent="0.2">
      <c r="B348" s="25" t="str">
        <f>IF(WD.1Dgl!C39="","-",WD.1Dgl!$B$12&amp;" - "&amp;WD.1Dgl!C39)</f>
        <v>Transport - Vakuumfass</v>
      </c>
      <c r="C348" s="42" t="str">
        <f>IF(WD.1Dgl!$C$30="","",WD.1Dgl!$C$30)</f>
        <v>Jauche</v>
      </c>
      <c r="D348" s="31">
        <f>IF('[1]E-WD.ILeist'!$I39="","",'[1]E-WD.ILeist'!$I39)</f>
        <v>1.98</v>
      </c>
      <c r="E348" s="27"/>
      <c r="F348" s="32">
        <f>IF(OR(H340="",WD.1Dgl!H39=""),"-",H340*WD.1Dgl!H39)</f>
        <v>1.98</v>
      </c>
      <c r="H348" s="33">
        <f>IF(WD.1Dgl!$I39="","",WD.1Dgl!$I39)</f>
        <v>1.98</v>
      </c>
      <c r="I348" s="29" t="str">
        <f t="shared" si="90"/>
        <v>Richtig!</v>
      </c>
      <c r="J348" s="30" t="str">
        <f t="shared" si="91"/>
        <v>-</v>
      </c>
      <c r="K348" s="23" t="str">
        <f t="shared" si="81"/>
        <v/>
      </c>
      <c r="L348" s="24" t="str">
        <f t="shared" si="82"/>
        <v/>
      </c>
      <c r="N348" s="882"/>
      <c r="P348" s="31">
        <f t="shared" si="87"/>
        <v>1.98</v>
      </c>
      <c r="Q348" s="27" t="str">
        <f t="shared" si="83"/>
        <v/>
      </c>
      <c r="R348" s="32">
        <f t="shared" si="84"/>
        <v>1.98</v>
      </c>
      <c r="S348" s="1" t="str">
        <f t="shared" si="85"/>
        <v/>
      </c>
      <c r="T348" s="33">
        <f t="shared" si="86"/>
        <v>1.98</v>
      </c>
    </row>
    <row r="349" spans="1:20" ht="12.75" hidden="1" customHeight="1" x14ac:dyDescent="0.2">
      <c r="B349" s="25" t="str">
        <f>IF(WD.1Dgl!C41="","-",WD.1Dgl!$B$15&amp;" - "&amp;WD.1Dgl!C41)</f>
        <v>Ausbringung - Allradtraktor</v>
      </c>
      <c r="C349" s="42" t="str">
        <f>IF(WD.1Dgl!$C$30="","",WD.1Dgl!$C$30)</f>
        <v>Jauche</v>
      </c>
      <c r="D349" s="31">
        <f>IF('[1]E-WD.ILeist'!$I41="","",'[1]E-WD.ILeist'!$I41)</f>
        <v>6.6722500000000009</v>
      </c>
      <c r="E349" s="27"/>
      <c r="F349" s="32">
        <f>IF(WD.1Dgl!H41="","-",WD.1Dgl!H41)</f>
        <v>10.675600000000001</v>
      </c>
      <c r="H349" s="33">
        <f>IF(WD.1Dgl!$I41="","",WD.1Dgl!$I41)</f>
        <v>6.6722500000000009</v>
      </c>
      <c r="I349" s="29" t="str">
        <f t="shared" si="90"/>
        <v>Richtig!</v>
      </c>
      <c r="J349" s="30" t="str">
        <f t="shared" si="91"/>
        <v>-</v>
      </c>
      <c r="K349" s="23" t="str">
        <f t="shared" si="81"/>
        <v/>
      </c>
      <c r="L349" s="24" t="str">
        <f t="shared" si="82"/>
        <v/>
      </c>
      <c r="N349" s="882"/>
      <c r="P349" s="31">
        <f t="shared" si="87"/>
        <v>6.67225</v>
      </c>
      <c r="Q349" s="27" t="str">
        <f t="shared" si="83"/>
        <v/>
      </c>
      <c r="R349" s="32">
        <f t="shared" si="84"/>
        <v>10.675599999999999</v>
      </c>
      <c r="S349" s="1" t="str">
        <f t="shared" si="85"/>
        <v/>
      </c>
      <c r="T349" s="33">
        <f t="shared" si="86"/>
        <v>6.67225</v>
      </c>
    </row>
    <row r="350" spans="1:20" ht="12.75" hidden="1" customHeight="1" x14ac:dyDescent="0.2">
      <c r="B350" s="25" t="str">
        <f>IF(WD.1Dgl!C42="","-",WD.1Dgl!$B$15&amp;" - "&amp;WD.1Dgl!C42)</f>
        <v>Ausbringung - Vakuumfass</v>
      </c>
      <c r="C350" s="42" t="str">
        <f>IF(WD.1Dgl!$C$30="","",WD.1Dgl!$C$30)</f>
        <v>Jauche</v>
      </c>
      <c r="D350" s="31">
        <f>IF('[1]E-WD.ILeist'!$I42="","",'[1]E-WD.ILeist'!$I42)</f>
        <v>0.82500000000000007</v>
      </c>
      <c r="E350" s="27"/>
      <c r="F350" s="32">
        <f>IF(WD.1Dgl!H42="","-",WD.1Dgl!H42)</f>
        <v>1.32</v>
      </c>
      <c r="H350" s="33">
        <f>IF(WD.1Dgl!$I42="","",WD.1Dgl!$I42)</f>
        <v>0.82500000000000007</v>
      </c>
      <c r="I350" s="29" t="str">
        <f t="shared" si="90"/>
        <v>Richtig!</v>
      </c>
      <c r="J350" s="30" t="str">
        <f t="shared" si="91"/>
        <v>-</v>
      </c>
      <c r="K350" s="23" t="str">
        <f t="shared" si="81"/>
        <v/>
      </c>
      <c r="L350" s="24" t="str">
        <f t="shared" si="82"/>
        <v/>
      </c>
      <c r="N350" s="882"/>
      <c r="P350" s="31">
        <f t="shared" si="87"/>
        <v>0.82499999999999996</v>
      </c>
      <c r="Q350" s="27" t="str">
        <f t="shared" si="83"/>
        <v/>
      </c>
      <c r="R350" s="32">
        <f t="shared" si="84"/>
        <v>1.32</v>
      </c>
      <c r="S350" s="1" t="str">
        <f t="shared" si="85"/>
        <v/>
      </c>
      <c r="T350" s="33">
        <f t="shared" si="86"/>
        <v>0.82499999999999996</v>
      </c>
    </row>
    <row r="351" spans="1:20" ht="12.75" x14ac:dyDescent="0.2">
      <c r="B351" s="36" t="str">
        <f>WD.1Dgl!B43</f>
        <v>Summe variable Maschinenkosten - Jauche</v>
      </c>
      <c r="C351" s="42" t="str">
        <f>IF(WD.1Dgl!$C$30="","",WD.1Dgl!$C$30)</f>
        <v>Jauche</v>
      </c>
      <c r="D351" s="31">
        <f>IF('[1]E-WD.ILeist'!$I43="","",'[1]E-WD.ILeist'!$I43)</f>
        <v>28.489550000000001</v>
      </c>
      <c r="E351" s="27"/>
      <c r="F351" s="32">
        <f>IF(AND(H345="",H346="",H347="",H348="",H349="",H350=""),"-",SUM(H345:H350))</f>
        <v>25.490650000000002</v>
      </c>
      <c r="H351" s="33" t="str">
        <f>IF(WD.1Dgl!$I43="","",WD.1Dgl!$I43)</f>
        <v/>
      </c>
      <c r="I351" s="29" t="str">
        <f t="shared" si="90"/>
        <v>Fehlt</v>
      </c>
      <c r="J351" s="30">
        <f t="shared" si="91"/>
        <v>0</v>
      </c>
      <c r="K351" s="23" t="str">
        <f t="shared" si="81"/>
        <v>│</v>
      </c>
      <c r="L351" s="24">
        <f t="shared" si="82"/>
        <v>1</v>
      </c>
      <c r="N351" s="882" t="str">
        <f t="shared" ref="N351:N365" si="92">IF($L$1="","",$L$1)</f>
        <v>x</v>
      </c>
      <c r="P351" s="31">
        <f t="shared" si="87"/>
        <v>28.489550000000001</v>
      </c>
      <c r="Q351" s="27" t="str">
        <f t="shared" si="83"/>
        <v/>
      </c>
      <c r="R351" s="32">
        <f t="shared" si="84"/>
        <v>25.490649999999999</v>
      </c>
      <c r="S351" s="1" t="str">
        <f t="shared" si="85"/>
        <v/>
      </c>
      <c r="T351" s="33" t="str">
        <f t="shared" si="86"/>
        <v/>
      </c>
    </row>
    <row r="352" spans="1:20" ht="12.75" x14ac:dyDescent="0.2">
      <c r="A352" s="18"/>
      <c r="B352" s="36" t="str">
        <f>WD.1Dgl!B44</f>
        <v>Summe variable Maschinenkosten inkl. MWSt</v>
      </c>
      <c r="C352" s="42" t="str">
        <f>IF(WD.1Dgl!$C$30="","",WD.1Dgl!$C$30)</f>
        <v>Jauche</v>
      </c>
      <c r="D352" s="31">
        <f>IF('[1]E-WD.ILeist'!$I44="","",'[1]E-WD.ILeist'!$I44)</f>
        <v>34.187460000000002</v>
      </c>
      <c r="E352" s="27"/>
      <c r="F352" s="32" t="str">
        <f>IF(OR(H351="",WD.1Dgl!H44=""),"-",H351*(1+WD.1Dgl!H44))</f>
        <v>-</v>
      </c>
      <c r="H352" s="33" t="str">
        <f>IF(WD.1Dgl!$I44="","",WD.1Dgl!$I44)</f>
        <v/>
      </c>
      <c r="I352" s="29" t="str">
        <f t="shared" si="90"/>
        <v>Fehlt</v>
      </c>
      <c r="J352" s="30">
        <f t="shared" si="91"/>
        <v>0</v>
      </c>
      <c r="K352" s="23" t="str">
        <f t="shared" si="81"/>
        <v>│</v>
      </c>
      <c r="L352" s="24">
        <f t="shared" si="82"/>
        <v>1</v>
      </c>
      <c r="N352" s="882" t="str">
        <f t="shared" si="92"/>
        <v>x</v>
      </c>
      <c r="P352" s="31">
        <f t="shared" si="87"/>
        <v>34.187460000000002</v>
      </c>
      <c r="Q352" s="27" t="str">
        <f t="shared" si="83"/>
        <v/>
      </c>
      <c r="R352" s="32" t="str">
        <f t="shared" si="84"/>
        <v>-</v>
      </c>
      <c r="S352" s="1" t="str">
        <f t="shared" si="85"/>
        <v/>
      </c>
      <c r="T352" s="33" t="str">
        <f t="shared" si="86"/>
        <v/>
      </c>
    </row>
    <row r="353" spans="1:20" ht="12.75" x14ac:dyDescent="0.2">
      <c r="A353" s="17"/>
      <c r="B353" s="36" t="str">
        <f>WD.1Dgl!G45</f>
        <v>Aufschlag für Rüstzeit</v>
      </c>
      <c r="C353" s="42" t="str">
        <f>IF(WD.1Dgl!$C$30="","",WD.1Dgl!$C$30)</f>
        <v>Jauche</v>
      </c>
      <c r="D353" s="31">
        <f>IF('[1]E-WD.ILeist'!$I45="","",'[1]E-WD.ILeist'!$I45)</f>
        <v>2.3931222000000005</v>
      </c>
      <c r="E353" s="27"/>
      <c r="F353" s="32" t="str">
        <f>IF(OR(H352="",WD.1Dgl!H45=""),"-",H352*WD.1Dgl!H45)</f>
        <v>-</v>
      </c>
      <c r="H353" s="33" t="str">
        <f>IF(WD.1Dgl!$I45="","",WD.1Dgl!$I45)</f>
        <v/>
      </c>
      <c r="I353" s="29" t="str">
        <f t="shared" si="90"/>
        <v>Fehlt</v>
      </c>
      <c r="J353" s="30">
        <f t="shared" si="91"/>
        <v>0</v>
      </c>
      <c r="K353" s="23" t="str">
        <f t="shared" si="81"/>
        <v>│</v>
      </c>
      <c r="L353" s="24">
        <f t="shared" si="82"/>
        <v>1</v>
      </c>
      <c r="N353" s="882" t="str">
        <f t="shared" si="92"/>
        <v>x</v>
      </c>
      <c r="P353" s="31">
        <f t="shared" si="87"/>
        <v>2.3931200000000001</v>
      </c>
      <c r="Q353" s="27" t="str">
        <f t="shared" si="83"/>
        <v/>
      </c>
      <c r="R353" s="32" t="str">
        <f t="shared" si="84"/>
        <v>-</v>
      </c>
      <c r="S353" s="1" t="str">
        <f t="shared" si="85"/>
        <v/>
      </c>
      <c r="T353" s="33" t="str">
        <f t="shared" si="86"/>
        <v/>
      </c>
    </row>
    <row r="354" spans="1:20" ht="12.75" x14ac:dyDescent="0.2">
      <c r="A354" s="18"/>
      <c r="B354" s="36" t="str">
        <f>WD.1Dgl!B46</f>
        <v>GESAMTE MASCHINENKOSTEN je 10 m³</v>
      </c>
      <c r="C354" s="42" t="str">
        <f>IF(WD.1Dgl!$C$30="","",WD.1Dgl!$C$30)</f>
        <v>Jauche</v>
      </c>
      <c r="D354" s="31">
        <f>IF('[1]E-WD.ILeist'!$I46="","",'[1]E-WD.ILeist'!$I46)</f>
        <v>36.580582200000002</v>
      </c>
      <c r="E354" s="27"/>
      <c r="F354" s="32" t="str">
        <f>IF(AND(H352="",H353=""),"-",SUM(H352:H353))</f>
        <v>-</v>
      </c>
      <c r="H354" s="33" t="str">
        <f>IF(WD.1Dgl!$I46="","",WD.1Dgl!$I46)</f>
        <v/>
      </c>
      <c r="I354" s="29" t="str">
        <f t="shared" si="90"/>
        <v>Fehlt</v>
      </c>
      <c r="J354" s="30">
        <f t="shared" si="91"/>
        <v>0</v>
      </c>
      <c r="K354" s="23" t="str">
        <f t="shared" si="81"/>
        <v>│</v>
      </c>
      <c r="L354" s="24">
        <f t="shared" si="82"/>
        <v>1</v>
      </c>
      <c r="N354" s="882" t="str">
        <f t="shared" si="92"/>
        <v>x</v>
      </c>
      <c r="P354" s="31">
        <f t="shared" si="87"/>
        <v>36.580579999999998</v>
      </c>
      <c r="Q354" s="27" t="str">
        <f t="shared" si="83"/>
        <v/>
      </c>
      <c r="R354" s="32" t="str">
        <f t="shared" si="84"/>
        <v>-</v>
      </c>
      <c r="S354" s="1" t="str">
        <f t="shared" si="85"/>
        <v/>
      </c>
      <c r="T354" s="33" t="str">
        <f t="shared" si="86"/>
        <v/>
      </c>
    </row>
    <row r="355" spans="1:20" ht="12.75" x14ac:dyDescent="0.2">
      <c r="A355" s="18"/>
      <c r="B355" s="36" t="str">
        <f>MID(WD.1Dgl!B46,1,27)&amp;WD.1Dgl!B49&amp;" "&amp;WD.1Dgl!C49</f>
        <v>GESAMTE MASCHINENKOSTEN je 14 m³</v>
      </c>
      <c r="C355" s="42" t="str">
        <f>IF(WD.1Dgl!$C$30="","",WD.1Dgl!$C$30)</f>
        <v>Jauche</v>
      </c>
      <c r="D355" s="31">
        <f>IF('[1]E-WD.ILeist'!$I49="","",'[1]E-WD.ILeist'!$I49)</f>
        <v>51.212815079999999</v>
      </c>
      <c r="E355" s="27"/>
      <c r="F355" s="32" t="str">
        <f>IF(OR(F354="-",WD.1Dgl!B49=""),"-",F354/10*WD.1Dgl!B49)</f>
        <v>-</v>
      </c>
      <c r="H355" s="33" t="str">
        <f>IF(WD.1Dgl!$I49="","",WD.1Dgl!$I49)</f>
        <v/>
      </c>
      <c r="I355" s="29" t="str">
        <f t="shared" si="90"/>
        <v>Fehlt</v>
      </c>
      <c r="J355" s="30">
        <f t="shared" si="91"/>
        <v>0</v>
      </c>
      <c r="K355" s="23" t="str">
        <f t="shared" si="81"/>
        <v>│</v>
      </c>
      <c r="L355" s="24">
        <f t="shared" si="82"/>
        <v>1</v>
      </c>
      <c r="N355" s="882" t="str">
        <f t="shared" si="92"/>
        <v>x</v>
      </c>
      <c r="P355" s="31">
        <f t="shared" si="87"/>
        <v>51.212820000000001</v>
      </c>
      <c r="Q355" s="27" t="str">
        <f t="shared" si="83"/>
        <v/>
      </c>
      <c r="R355" s="32" t="str">
        <f t="shared" si="84"/>
        <v>-</v>
      </c>
      <c r="S355" s="1" t="str">
        <f t="shared" si="85"/>
        <v/>
      </c>
      <c r="T355" s="33" t="str">
        <f t="shared" si="86"/>
        <v/>
      </c>
    </row>
    <row r="356" spans="1:20" ht="12.75" x14ac:dyDescent="0.2">
      <c r="A356" s="18"/>
      <c r="B356" s="36" t="str">
        <f>WD.1Dgl!B52</f>
        <v>Arbeitszeit/ha und Jahr</v>
      </c>
      <c r="C356" s="42" t="str">
        <f>IF(WD.1Dgl!$C$30="","",WD.1Dgl!$C$30)</f>
        <v>Jauche</v>
      </c>
      <c r="D356" s="31">
        <f>IF('[1]E-WD.ILeist'!$G52="","",ROUND('[1]E-WD.ILeist'!$G52,5))</f>
        <v>3.3250000000000002</v>
      </c>
      <c r="E356" s="27"/>
      <c r="F356" s="32">
        <f>IF(OR(AND(H337="",H339="",H341=""),WD.1Dgl!B49=""),"-",ROUND(SUM(H337,H339,H341)/10*WD.1Dgl!B49,5))</f>
        <v>2.9750000000000001</v>
      </c>
      <c r="H356" s="33" t="str">
        <f>IF(WD.1Dgl!$G52="","",ROUND(WD.1Dgl!$G52,5))</f>
        <v/>
      </c>
      <c r="I356" s="29" t="str">
        <f t="shared" si="90"/>
        <v>Fehlt</v>
      </c>
      <c r="J356" s="30">
        <f t="shared" si="91"/>
        <v>0</v>
      </c>
      <c r="K356" s="23" t="str">
        <f t="shared" si="81"/>
        <v>│</v>
      </c>
      <c r="L356" s="24">
        <f t="shared" si="82"/>
        <v>1</v>
      </c>
      <c r="N356" s="882" t="str">
        <f t="shared" si="92"/>
        <v>x</v>
      </c>
      <c r="P356" s="31">
        <f t="shared" si="87"/>
        <v>3.3250000000000002</v>
      </c>
      <c r="Q356" s="27" t="str">
        <f t="shared" si="83"/>
        <v/>
      </c>
      <c r="R356" s="32">
        <f t="shared" si="84"/>
        <v>2.9750000000000001</v>
      </c>
      <c r="S356" s="1" t="str">
        <f t="shared" si="85"/>
        <v/>
      </c>
      <c r="T356" s="33" t="str">
        <f t="shared" si="86"/>
        <v/>
      </c>
    </row>
    <row r="357" spans="1:20" ht="12.75" x14ac:dyDescent="0.2">
      <c r="A357" s="18"/>
      <c r="B357" s="18"/>
      <c r="C357" s="18"/>
      <c r="D357" s="19"/>
      <c r="H357" s="17"/>
      <c r="I357" s="21"/>
      <c r="J357" s="21"/>
      <c r="K357" s="23" t="str">
        <f t="shared" si="81"/>
        <v/>
      </c>
      <c r="L357" s="24" t="str">
        <f t="shared" si="82"/>
        <v/>
      </c>
      <c r="N357" s="883" t="str">
        <f t="shared" si="92"/>
        <v>x</v>
      </c>
      <c r="P357" s="19" t="str">
        <f t="shared" si="87"/>
        <v/>
      </c>
      <c r="Q357" s="1" t="str">
        <f t="shared" si="83"/>
        <v/>
      </c>
      <c r="R357" s="1" t="str">
        <f t="shared" si="84"/>
        <v/>
      </c>
      <c r="S357" s="1" t="str">
        <f t="shared" si="85"/>
        <v/>
      </c>
      <c r="T357" s="17" t="str">
        <f t="shared" si="86"/>
        <v/>
      </c>
    </row>
    <row r="358" spans="1:20" ht="12.75" x14ac:dyDescent="0.2">
      <c r="A358" s="17" t="s">
        <v>24</v>
      </c>
      <c r="B358" s="17" t="str">
        <f>WD.1Dgl!B54</f>
        <v>Gesamtbedarf pro Jahr bei Dauergrünland 3-schnittig</v>
      </c>
      <c r="C358" s="18"/>
      <c r="D358" s="19"/>
      <c r="H358" s="17"/>
      <c r="I358" s="21"/>
      <c r="J358" s="21"/>
      <c r="K358" s="23" t="str">
        <f t="shared" si="81"/>
        <v/>
      </c>
      <c r="L358" s="24" t="str">
        <f t="shared" si="82"/>
        <v/>
      </c>
      <c r="N358" s="880" t="str">
        <f t="shared" si="92"/>
        <v>x</v>
      </c>
      <c r="P358" s="19" t="str">
        <f t="shared" si="87"/>
        <v/>
      </c>
      <c r="Q358" s="1" t="str">
        <f t="shared" si="83"/>
        <v/>
      </c>
      <c r="R358" s="1" t="str">
        <f t="shared" si="84"/>
        <v/>
      </c>
      <c r="S358" s="1" t="str">
        <f t="shared" si="85"/>
        <v/>
      </c>
      <c r="T358" s="17" t="str">
        <f t="shared" si="86"/>
        <v/>
      </c>
    </row>
    <row r="359" spans="1:20" ht="12.75" x14ac:dyDescent="0.2">
      <c r="A359" s="18"/>
      <c r="B359" s="36" t="str">
        <f>WD.1Dgl!B57</f>
        <v>Bedarf an: Festmist</v>
      </c>
      <c r="C359" s="42" t="str">
        <f>IF(WD.1Dgl!$C$30="","",WD.1Dgl!$C$30)</f>
        <v>Jauche</v>
      </c>
      <c r="D359" s="26">
        <f>IF('[1]E-WD.ILeist'!$G57="","",'[1]E-WD.ILeist'!$G57)</f>
        <v>1172.8800000000001</v>
      </c>
      <c r="E359" s="27"/>
      <c r="F359" s="27"/>
      <c r="H359" s="28" t="str">
        <f>IF(WD.1Dgl!$G57="","",WD.1Dgl!$G57)</f>
        <v/>
      </c>
      <c r="I359" s="29" t="str">
        <f>IF(AND(P359="",T359=""),"",IF(T359=P359,"Richtig!",IF(T359="","Fehlt","Falsch")))</f>
        <v>Fehlt</v>
      </c>
      <c r="J359" s="30">
        <f>IF(OR(B359="-",N359="",AND(P359="",T359="")),"-",IF(I359="Richtig!",1,IF(I359="Formel: OK",0.5,IF(OR(I359="Falsch",I359="Fehlt"),0,""))))</f>
        <v>0</v>
      </c>
      <c r="K359" s="23" t="str">
        <f t="shared" si="81"/>
        <v>│</v>
      </c>
      <c r="L359" s="24">
        <f t="shared" si="82"/>
        <v>1</v>
      </c>
      <c r="N359" s="882" t="str">
        <f t="shared" si="92"/>
        <v>x</v>
      </c>
      <c r="P359" s="26">
        <f t="shared" si="87"/>
        <v>1172.8800000000001</v>
      </c>
      <c r="Q359" s="27" t="str">
        <f t="shared" si="83"/>
        <v/>
      </c>
      <c r="R359" s="27" t="str">
        <f t="shared" si="84"/>
        <v/>
      </c>
      <c r="S359" s="1" t="str">
        <f t="shared" si="85"/>
        <v/>
      </c>
      <c r="T359" s="28" t="str">
        <f t="shared" si="86"/>
        <v/>
      </c>
    </row>
    <row r="360" spans="1:20" ht="12.75" x14ac:dyDescent="0.2">
      <c r="A360" s="18"/>
      <c r="B360" s="36" t="str">
        <f>WD.1Dgl!B58</f>
        <v xml:space="preserve">                   Jauche</v>
      </c>
      <c r="C360" s="42" t="str">
        <f>IF(WD.1Dgl!$C$30="","",WD.1Dgl!$C$30)</f>
        <v>Jauche</v>
      </c>
      <c r="D360" s="26">
        <f>IF('[1]E-WD.ILeist'!$G58="","",'[1]E-WD.ILeist'!$G58)</f>
        <v>101.36</v>
      </c>
      <c r="E360" s="27"/>
      <c r="F360" s="27"/>
      <c r="H360" s="28" t="str">
        <f>IF(WD.1Dgl!$G58="","",WD.1Dgl!$G58)</f>
        <v/>
      </c>
      <c r="I360" s="29" t="str">
        <f>IF(AND(P360="",T360=""),"",IF(T360=P360,"Richtig!",IF(T360="","Fehlt","Falsch")))</f>
        <v>Fehlt</v>
      </c>
      <c r="J360" s="30">
        <f>IF(OR(B360="-",N360="",AND(P360="",T360="")),"-",IF(I360="Richtig!",1,IF(I360="Formel: OK",0.5,IF(OR(I360="Falsch",I360="Fehlt"),0,""))))</f>
        <v>0</v>
      </c>
      <c r="K360" s="23" t="str">
        <f t="shared" si="81"/>
        <v>│</v>
      </c>
      <c r="L360" s="24">
        <f t="shared" si="82"/>
        <v>1</v>
      </c>
      <c r="N360" s="882" t="str">
        <f t="shared" si="92"/>
        <v>x</v>
      </c>
      <c r="P360" s="26">
        <f t="shared" si="87"/>
        <v>101.36</v>
      </c>
      <c r="Q360" s="27" t="str">
        <f t="shared" si="83"/>
        <v/>
      </c>
      <c r="R360" s="27" t="str">
        <f t="shared" si="84"/>
        <v/>
      </c>
      <c r="S360" s="1" t="str">
        <f t="shared" si="85"/>
        <v/>
      </c>
      <c r="T360" s="28" t="str">
        <f t="shared" si="86"/>
        <v/>
      </c>
    </row>
    <row r="361" spans="1:20" ht="12.75" x14ac:dyDescent="0.2">
      <c r="A361" s="18"/>
      <c r="B361" s="36" t="str">
        <f>WD.1Dgl!B59</f>
        <v>Arbeitszeitbedarf - gesamt (Festmist und Jauche)</v>
      </c>
      <c r="C361" s="42" t="str">
        <f>IF(WD.1Dgl!$C$30="","",WD.1Dgl!$C$30)</f>
        <v>Jauche</v>
      </c>
      <c r="D361" s="31">
        <f>IF('[1]E-WD.ILeist'!$G59="","",'[1]E-WD.ILeist'!$G59)</f>
        <v>8.1849999999999987</v>
      </c>
      <c r="E361" s="27"/>
      <c r="F361" s="32" t="str">
        <f>IF(AND(H326="",H356=""),"-",SUM(H326,H356))</f>
        <v>-</v>
      </c>
      <c r="H361" s="33" t="str">
        <f>IF(WD.1Dgl!$G59="","",WD.1Dgl!$G59)</f>
        <v/>
      </c>
      <c r="I361" s="29" t="str">
        <f>IF(OR(B361="-",AND(P361="",T361="")),"",IF(T361=P361,"Richtig!",IF(AND(P361&lt;&gt;T361,R361=T361),"Formel: OK",IF(T361="","Fehlt","Falsch"))))</f>
        <v>Fehlt</v>
      </c>
      <c r="J361" s="30">
        <f>IF(OR(B361="-",N361="",AND(P361="",T361="")),"-",IF(I361="Richtig!",1,IF(I361="Formel: OK",0.5,IF(OR(I361="Falsch",I361="Fehlt"),0,""))))</f>
        <v>0</v>
      </c>
      <c r="K361" s="23" t="str">
        <f t="shared" si="81"/>
        <v>│</v>
      </c>
      <c r="L361" s="24">
        <f t="shared" si="82"/>
        <v>1</v>
      </c>
      <c r="N361" s="882" t="str">
        <f t="shared" si="92"/>
        <v>x</v>
      </c>
      <c r="P361" s="31">
        <f t="shared" si="87"/>
        <v>8.1850000000000005</v>
      </c>
      <c r="Q361" s="27" t="str">
        <f t="shared" si="83"/>
        <v/>
      </c>
      <c r="R361" s="32" t="str">
        <f t="shared" si="84"/>
        <v>-</v>
      </c>
      <c r="S361" s="1" t="str">
        <f t="shared" si="85"/>
        <v/>
      </c>
      <c r="T361" s="33" t="str">
        <f t="shared" si="86"/>
        <v/>
      </c>
    </row>
    <row r="362" spans="1:20" ht="12.75" customHeight="1" x14ac:dyDescent="0.2">
      <c r="A362" s="18"/>
      <c r="B362" s="18"/>
      <c r="C362" s="18"/>
      <c r="D362" s="19"/>
      <c r="H362" s="20"/>
      <c r="I362" s="21"/>
      <c r="J362" s="21"/>
      <c r="K362" s="23" t="str">
        <f t="shared" si="81"/>
        <v/>
      </c>
      <c r="L362" s="24" t="str">
        <f t="shared" si="82"/>
        <v/>
      </c>
      <c r="N362" s="883" t="str">
        <f t="shared" si="92"/>
        <v>x</v>
      </c>
      <c r="P362" s="19" t="str">
        <f t="shared" si="87"/>
        <v/>
      </c>
      <c r="Q362" s="1" t="str">
        <f t="shared" si="83"/>
        <v/>
      </c>
      <c r="R362" s="1" t="str">
        <f t="shared" si="84"/>
        <v/>
      </c>
      <c r="S362" s="1" t="str">
        <f t="shared" si="85"/>
        <v/>
      </c>
      <c r="T362" s="20" t="str">
        <f t="shared" si="86"/>
        <v/>
      </c>
    </row>
    <row r="363" spans="1:20" ht="22.5" x14ac:dyDescent="0.2">
      <c r="A363" s="10" t="str">
        <f>"VK "&amp;IF('1xDgl'!B2="","",'1xDgl'!B2)</f>
        <v>VK Dauergrünland 3-schnittig</v>
      </c>
      <c r="B363" s="11"/>
      <c r="C363" s="12"/>
      <c r="D363" s="13" t="s">
        <v>4</v>
      </c>
      <c r="E363" s="13"/>
      <c r="F363" s="14" t="s">
        <v>5</v>
      </c>
      <c r="G363" s="12"/>
      <c r="H363" s="14" t="s">
        <v>6</v>
      </c>
      <c r="I363" s="15" t="str">
        <f>"Fehler"</f>
        <v>Fehler</v>
      </c>
      <c r="J363" s="16" t="s">
        <v>7</v>
      </c>
      <c r="K363" s="16"/>
      <c r="L363" s="16"/>
      <c r="N363" s="881" t="str">
        <f t="shared" si="92"/>
        <v>x</v>
      </c>
      <c r="P363" s="13" t="str">
        <f t="shared" si="87"/>
        <v>Ergebnis</v>
      </c>
      <c r="Q363" s="13" t="str">
        <f t="shared" si="83"/>
        <v/>
      </c>
      <c r="R363" s="14" t="str">
        <f t="shared" si="84"/>
        <v>Formel-
prüfung</v>
      </c>
      <c r="S363" s="12" t="str">
        <f t="shared" si="85"/>
        <v/>
      </c>
      <c r="T363" s="14" t="str">
        <f t="shared" si="86"/>
        <v>Deine Be-rechnung</v>
      </c>
    </row>
    <row r="364" spans="1:20" s="46" customFormat="1" ht="12.75" x14ac:dyDescent="0.2">
      <c r="A364" s="43" t="s">
        <v>40</v>
      </c>
      <c r="B364" s="43" t="s">
        <v>50</v>
      </c>
      <c r="C364" s="44"/>
      <c r="D364" s="45"/>
      <c r="H364" s="47"/>
      <c r="I364" s="48"/>
      <c r="J364" s="48"/>
      <c r="K364" s="23" t="str">
        <f t="shared" si="81"/>
        <v/>
      </c>
      <c r="L364" s="24" t="str">
        <f t="shared" ref="L364:L373" si="93">IF(OR(B364="-",N364="",AND(P364="",T364="")),"",1)</f>
        <v/>
      </c>
      <c r="M364" s="1"/>
      <c r="N364" s="880" t="str">
        <f t="shared" si="92"/>
        <v>x</v>
      </c>
      <c r="P364" s="45" t="str">
        <f t="shared" si="87"/>
        <v/>
      </c>
      <c r="Q364" s="46" t="str">
        <f t="shared" si="83"/>
        <v/>
      </c>
      <c r="R364" s="46" t="str">
        <f t="shared" si="84"/>
        <v/>
      </c>
      <c r="S364" s="46" t="str">
        <f t="shared" si="85"/>
        <v/>
      </c>
      <c r="T364" s="47" t="str">
        <f t="shared" si="86"/>
        <v/>
      </c>
    </row>
    <row r="365" spans="1:20" s="46" customFormat="1" ht="12.75" x14ac:dyDescent="0.2">
      <c r="B365" s="49" t="str">
        <f>IF('1xDgl'!B13="","-",'1xDgl'!B13)</f>
        <v xml:space="preserve">  Abschleppen</v>
      </c>
      <c r="C365" s="44"/>
      <c r="D365" s="50">
        <f>IF('[1]E-ILeist'!$I13="","",'[1]E-ILeist'!$I13)</f>
        <v>0.96</v>
      </c>
      <c r="E365" s="51"/>
      <c r="F365" s="51" t="s">
        <v>223</v>
      </c>
      <c r="H365" s="52" t="str">
        <f>IF('1xDgl'!$I13="","",'1xDgl'!$I13)</f>
        <v/>
      </c>
      <c r="I365" s="53" t="str">
        <f t="shared" ref="I365:I373" si="94">IF(OR(B365="-",AND(P365="",T365="")),"",IF(T365=P365,"Richtig!",IF(AND(P365&lt;&gt;T365,R365=T365),"Formel: OK",IF(T365="","Fehlt","Falsch"))))</f>
        <v>Fehlt</v>
      </c>
      <c r="J365" s="30">
        <f t="shared" ref="J365:J373" si="95">IF(OR(B365="-",N365="",AND(P365="",T365="")),"-",IF(I365="Richtig!",1,IF(I365="Formel: OK",0.5,IF(OR(I365="Falsch",I365="Fehlt"),0,""))))</f>
        <v>0</v>
      </c>
      <c r="K365" s="23" t="str">
        <f t="shared" si="81"/>
        <v>│</v>
      </c>
      <c r="L365" s="24">
        <f t="shared" si="93"/>
        <v>1</v>
      </c>
      <c r="M365" s="1"/>
      <c r="N365" s="882" t="str">
        <f t="shared" si="92"/>
        <v>x</v>
      </c>
      <c r="P365" s="50">
        <f t="shared" si="87"/>
        <v>0.96</v>
      </c>
      <c r="Q365" s="51" t="str">
        <f t="shared" si="83"/>
        <v/>
      </c>
      <c r="R365" s="51" t="str">
        <f t="shared" si="84"/>
        <v>-</v>
      </c>
      <c r="S365" s="46" t="str">
        <f t="shared" si="85"/>
        <v/>
      </c>
      <c r="T365" s="52" t="str">
        <f t="shared" si="86"/>
        <v/>
      </c>
    </row>
    <row r="366" spans="1:20" s="46" customFormat="1" ht="12.75" hidden="1" customHeight="1" x14ac:dyDescent="0.2">
      <c r="B366" s="49" t="str">
        <f>IF('1xDgl'!B14="","-",'1xDgl'!B14)</f>
        <v xml:space="preserve">  Pflegearbeiten</v>
      </c>
      <c r="C366" s="44"/>
      <c r="D366" s="50" t="str">
        <f>IF('[1]E-ILeist'!$I14="","",'[1]E-ILeist'!$I14)</f>
        <v/>
      </c>
      <c r="E366" s="51"/>
      <c r="F366" s="51"/>
      <c r="H366" s="52" t="str">
        <f>IF('1xDgl'!$I14="","",'1xDgl'!$I14)</f>
        <v/>
      </c>
      <c r="I366" s="53" t="str">
        <f t="shared" si="94"/>
        <v/>
      </c>
      <c r="J366" s="30" t="str">
        <f t="shared" si="95"/>
        <v>-</v>
      </c>
      <c r="K366" s="23" t="str">
        <f t="shared" si="81"/>
        <v/>
      </c>
      <c r="L366" s="24" t="str">
        <f t="shared" si="93"/>
        <v/>
      </c>
      <c r="M366" s="1"/>
      <c r="N366" s="882"/>
      <c r="P366" s="50" t="str">
        <f t="shared" si="87"/>
        <v/>
      </c>
      <c r="Q366" s="51" t="str">
        <f t="shared" si="83"/>
        <v/>
      </c>
      <c r="R366" s="51" t="str">
        <f t="shared" si="84"/>
        <v/>
      </c>
      <c r="S366" s="46" t="str">
        <f t="shared" si="85"/>
        <v/>
      </c>
      <c r="T366" s="52" t="str">
        <f t="shared" si="86"/>
        <v/>
      </c>
    </row>
    <row r="367" spans="1:20" s="46" customFormat="1" ht="12.75" hidden="1" customHeight="1" x14ac:dyDescent="0.2">
      <c r="B367" s="49" t="str">
        <f>IF('1xDgl'!B15="","-",'1xDgl'!B15)</f>
        <v>-</v>
      </c>
      <c r="C367" s="44"/>
      <c r="D367" s="50" t="str">
        <f>IF('[1]E-ILeist'!$I15="","",'[1]E-ILeist'!$I15)</f>
        <v/>
      </c>
      <c r="E367" s="51"/>
      <c r="F367" s="51"/>
      <c r="H367" s="52" t="str">
        <f>IF('1xDgl'!$I15="","",'1xDgl'!$I15)</f>
        <v/>
      </c>
      <c r="I367" s="53" t="str">
        <f t="shared" si="94"/>
        <v/>
      </c>
      <c r="J367" s="30" t="str">
        <f t="shared" si="95"/>
        <v>-</v>
      </c>
      <c r="K367" s="23" t="str">
        <f t="shared" si="81"/>
        <v/>
      </c>
      <c r="L367" s="24" t="str">
        <f t="shared" si="93"/>
        <v/>
      </c>
      <c r="M367" s="1"/>
      <c r="N367" s="882"/>
      <c r="P367" s="50" t="str">
        <f t="shared" si="87"/>
        <v/>
      </c>
      <c r="Q367" s="51" t="str">
        <f t="shared" si="83"/>
        <v/>
      </c>
      <c r="R367" s="51" t="str">
        <f t="shared" si="84"/>
        <v/>
      </c>
      <c r="S367" s="46" t="str">
        <f t="shared" si="85"/>
        <v/>
      </c>
      <c r="T367" s="52" t="str">
        <f t="shared" si="86"/>
        <v/>
      </c>
    </row>
    <row r="368" spans="1:20" s="46" customFormat="1" ht="12.75" hidden="1" customHeight="1" x14ac:dyDescent="0.2">
      <c r="B368" s="54" t="s">
        <v>51</v>
      </c>
      <c r="C368" s="44"/>
      <c r="D368" s="50"/>
      <c r="E368" s="51"/>
      <c r="F368" s="51"/>
      <c r="H368" s="52"/>
      <c r="I368" s="53" t="str">
        <f t="shared" si="94"/>
        <v/>
      </c>
      <c r="J368" s="30" t="str">
        <f t="shared" si="95"/>
        <v>-</v>
      </c>
      <c r="K368" s="23" t="str">
        <f t="shared" si="81"/>
        <v/>
      </c>
      <c r="L368" s="24" t="str">
        <f t="shared" si="93"/>
        <v/>
      </c>
      <c r="M368" s="1"/>
      <c r="N368" s="882"/>
      <c r="P368" s="50" t="str">
        <f t="shared" si="87"/>
        <v/>
      </c>
      <c r="Q368" s="51" t="str">
        <f t="shared" si="83"/>
        <v/>
      </c>
      <c r="R368" s="51" t="str">
        <f t="shared" si="84"/>
        <v/>
      </c>
      <c r="S368" s="46" t="str">
        <f t="shared" si="85"/>
        <v/>
      </c>
      <c r="T368" s="52" t="str">
        <f t="shared" si="86"/>
        <v/>
      </c>
    </row>
    <row r="369" spans="1:20" s="46" customFormat="1" ht="12.75" hidden="1" customHeight="1" x14ac:dyDescent="0.2">
      <c r="B369" s="49" t="str">
        <f>'1xDgl'!C8&amp;" "&amp;'1xDgl'!C9</f>
        <v>AKh pro ha</v>
      </c>
      <c r="C369" s="44"/>
      <c r="D369" s="50">
        <f>IF('[1]E-ILeist'!$C16="","",'[1]E-ILeist'!$C16)</f>
        <v>12.284999999999998</v>
      </c>
      <c r="E369" s="51"/>
      <c r="F369" s="51"/>
      <c r="H369" s="52">
        <f>IF('1xDgl'!$C16="","",'1xDgl'!$C16)</f>
        <v>12.284999999999998</v>
      </c>
      <c r="I369" s="53" t="str">
        <f t="shared" si="94"/>
        <v>Richtig!</v>
      </c>
      <c r="J369" s="30" t="str">
        <f t="shared" si="95"/>
        <v>-</v>
      </c>
      <c r="K369" s="23" t="str">
        <f t="shared" si="81"/>
        <v/>
      </c>
      <c r="L369" s="24" t="str">
        <f t="shared" si="93"/>
        <v/>
      </c>
      <c r="M369" s="1"/>
      <c r="N369" s="882"/>
      <c r="P369" s="50">
        <f t="shared" si="87"/>
        <v>12.285</v>
      </c>
      <c r="Q369" s="51" t="str">
        <f t="shared" si="83"/>
        <v/>
      </c>
      <c r="R369" s="51" t="str">
        <f t="shared" si="84"/>
        <v/>
      </c>
      <c r="S369" s="46" t="str">
        <f t="shared" si="85"/>
        <v/>
      </c>
      <c r="T369" s="52">
        <f t="shared" si="86"/>
        <v>12.285</v>
      </c>
    </row>
    <row r="370" spans="1:20" s="46" customFormat="1" ht="12.75" x14ac:dyDescent="0.2">
      <c r="B370" s="49" t="str">
        <f>IF('1xDgl'!D9="","-",'1xDgl'!D8&amp;" - "&amp;'1xDgl'!D9&amp;" KW")</f>
        <v>Traktorstunden pro ha - 45 KW</v>
      </c>
      <c r="C370" s="44"/>
      <c r="D370" s="50">
        <f>IF('[1]E-ILeist'!$D16="","",'[1]E-ILeist'!$D16)</f>
        <v>1</v>
      </c>
      <c r="E370" s="51"/>
      <c r="F370" s="51" t="s">
        <v>223</v>
      </c>
      <c r="H370" s="52" t="str">
        <f>IF('1xDgl'!$D16="","",'1xDgl'!$D16)</f>
        <v/>
      </c>
      <c r="I370" s="53" t="str">
        <f t="shared" si="94"/>
        <v>Fehlt</v>
      </c>
      <c r="J370" s="30">
        <f t="shared" si="95"/>
        <v>0</v>
      </c>
      <c r="K370" s="23" t="str">
        <f t="shared" si="81"/>
        <v>│</v>
      </c>
      <c r="L370" s="24">
        <f t="shared" si="93"/>
        <v>1</v>
      </c>
      <c r="M370" s="1"/>
      <c r="N370" s="882" t="str">
        <f>IF($L$1="","",$L$1)</f>
        <v>x</v>
      </c>
      <c r="P370" s="50">
        <f t="shared" si="87"/>
        <v>1</v>
      </c>
      <c r="Q370" s="51" t="str">
        <f t="shared" si="83"/>
        <v/>
      </c>
      <c r="R370" s="51" t="str">
        <f t="shared" si="84"/>
        <v>-</v>
      </c>
      <c r="S370" s="46" t="str">
        <f t="shared" si="85"/>
        <v/>
      </c>
      <c r="T370" s="52" t="str">
        <f t="shared" si="86"/>
        <v/>
      </c>
    </row>
    <row r="371" spans="1:20" s="46" customFormat="1" ht="12.75" x14ac:dyDescent="0.2">
      <c r="B371" s="49" t="str">
        <f>IF('1xDgl'!E9="","-",'1xDgl'!D8&amp;" - "&amp;'1xDgl'!E9&amp;" KW")</f>
        <v>Traktorstunden pro ha - 65 KW</v>
      </c>
      <c r="C371" s="44"/>
      <c r="D371" s="50">
        <f>IF('[1]E-ILeist'!$E16="","",'[1]E-ILeist'!$E16)</f>
        <v>0</v>
      </c>
      <c r="E371" s="51"/>
      <c r="F371" s="51" t="s">
        <v>223</v>
      </c>
      <c r="H371" s="52" t="str">
        <f>IF('1xDgl'!$E16="","",'1xDgl'!$E16)</f>
        <v/>
      </c>
      <c r="I371" s="53" t="str">
        <f t="shared" si="94"/>
        <v>Fehlt</v>
      </c>
      <c r="J371" s="30">
        <f t="shared" si="95"/>
        <v>0</v>
      </c>
      <c r="K371" s="23" t="str">
        <f t="shared" si="81"/>
        <v>│</v>
      </c>
      <c r="L371" s="24">
        <f t="shared" si="93"/>
        <v>1</v>
      </c>
      <c r="M371" s="1"/>
      <c r="N371" s="882" t="str">
        <f>IF($L$1="","",$L$1)</f>
        <v>x</v>
      </c>
      <c r="P371" s="50">
        <f t="shared" si="87"/>
        <v>0</v>
      </c>
      <c r="Q371" s="51" t="str">
        <f t="shared" si="83"/>
        <v/>
      </c>
      <c r="R371" s="51" t="str">
        <f t="shared" si="84"/>
        <v>-</v>
      </c>
      <c r="S371" s="46" t="str">
        <f t="shared" si="85"/>
        <v/>
      </c>
      <c r="T371" s="52" t="str">
        <f t="shared" si="86"/>
        <v/>
      </c>
    </row>
    <row r="372" spans="1:20" s="46" customFormat="1" ht="12.75" hidden="1" customHeight="1" x14ac:dyDescent="0.2">
      <c r="B372" s="49" t="str">
        <f>IF('1xDgl'!F9="","-",'1xDgl'!D8&amp;" - "&amp;'1xDgl'!F9&amp;" KW")</f>
        <v>-</v>
      </c>
      <c r="C372" s="44"/>
      <c r="D372" s="50" t="str">
        <f>IF('[1]E-ILeist'!$F16="","",'[1]E-ILeist'!$F16)</f>
        <v/>
      </c>
      <c r="E372" s="51"/>
      <c r="F372" s="51"/>
      <c r="H372" s="52" t="str">
        <f>IF('1xDgl'!$F16="","",'1xDgl'!$F16)</f>
        <v/>
      </c>
      <c r="I372" s="53" t="str">
        <f t="shared" si="94"/>
        <v/>
      </c>
      <c r="J372" s="30" t="str">
        <f t="shared" si="95"/>
        <v>-</v>
      </c>
      <c r="K372" s="23" t="str">
        <f t="shared" si="81"/>
        <v/>
      </c>
      <c r="L372" s="24" t="str">
        <f t="shared" si="93"/>
        <v/>
      </c>
      <c r="M372" s="1"/>
      <c r="N372" s="882"/>
      <c r="P372" s="50" t="str">
        <f t="shared" si="87"/>
        <v/>
      </c>
      <c r="Q372" s="51" t="str">
        <f t="shared" si="83"/>
        <v/>
      </c>
      <c r="R372" s="51" t="str">
        <f t="shared" si="84"/>
        <v/>
      </c>
      <c r="S372" s="46" t="str">
        <f t="shared" si="85"/>
        <v/>
      </c>
      <c r="T372" s="52" t="str">
        <f t="shared" si="86"/>
        <v/>
      </c>
    </row>
    <row r="373" spans="1:20" s="46" customFormat="1" ht="12.75" x14ac:dyDescent="0.2">
      <c r="B373" s="54" t="str">
        <f>'1xDgl'!H8&amp;" "&amp;'1xDgl'!I9</f>
        <v>Variable Maschinenkosten € gesamt</v>
      </c>
      <c r="C373" s="44"/>
      <c r="D373" s="55">
        <f>IF('[1]E-ILeist'!$I16="","",'[1]E-ILeist'!$I16)</f>
        <v>109.41490944285714</v>
      </c>
      <c r="E373" s="51"/>
      <c r="F373" s="56">
        <f>IF(AND('1xDgl'!I11="",'1xDgl'!I12="",'1xDgl'!I13="",'1xDgl'!I14="",'1xDgl'!I15=""),"-",SUM('1xDgl'!I11:I15))</f>
        <v>0</v>
      </c>
      <c r="H373" s="57" t="str">
        <f>IF('1xDgl'!$I16="","",'1xDgl'!$I16)</f>
        <v/>
      </c>
      <c r="I373" s="53" t="str">
        <f t="shared" si="94"/>
        <v>Fehlt</v>
      </c>
      <c r="J373" s="30">
        <f t="shared" si="95"/>
        <v>0</v>
      </c>
      <c r="K373" s="23" t="str">
        <f t="shared" si="81"/>
        <v>│</v>
      </c>
      <c r="L373" s="24">
        <f t="shared" si="93"/>
        <v>1</v>
      </c>
      <c r="M373" s="1"/>
      <c r="N373" s="882" t="str">
        <f t="shared" ref="N373:N380" si="96">IF($L$1="","",$L$1)</f>
        <v>x</v>
      </c>
      <c r="P373" s="55">
        <f t="shared" si="87"/>
        <v>109.41491000000001</v>
      </c>
      <c r="Q373" s="51" t="str">
        <f t="shared" si="83"/>
        <v/>
      </c>
      <c r="R373" s="56">
        <f t="shared" si="84"/>
        <v>0</v>
      </c>
      <c r="S373" s="46" t="str">
        <f t="shared" si="85"/>
        <v/>
      </c>
      <c r="T373" s="57" t="str">
        <f t="shared" si="86"/>
        <v/>
      </c>
    </row>
    <row r="374" spans="1:20" ht="12.75" x14ac:dyDescent="0.2">
      <c r="A374" s="18"/>
      <c r="B374" s="18"/>
      <c r="C374" s="18"/>
      <c r="D374" s="19"/>
      <c r="H374" s="17"/>
      <c r="I374" s="21"/>
      <c r="J374" s="21"/>
      <c r="K374" s="23"/>
      <c r="L374" s="24"/>
      <c r="N374" s="883" t="str">
        <f t="shared" si="96"/>
        <v>x</v>
      </c>
      <c r="P374" s="19" t="str">
        <f t="shared" si="87"/>
        <v/>
      </c>
      <c r="Q374" s="1" t="str">
        <f t="shared" si="83"/>
        <v/>
      </c>
      <c r="R374" s="1" t="str">
        <f t="shared" si="84"/>
        <v/>
      </c>
      <c r="S374" s="1" t="str">
        <f t="shared" si="85"/>
        <v/>
      </c>
      <c r="T374" s="17" t="str">
        <f t="shared" si="86"/>
        <v/>
      </c>
    </row>
    <row r="375" spans="1:20" ht="12.75" x14ac:dyDescent="0.2">
      <c r="A375" s="17" t="s">
        <v>12</v>
      </c>
      <c r="B375" s="17" t="s">
        <v>52</v>
      </c>
      <c r="C375" s="18"/>
      <c r="D375" s="19"/>
      <c r="H375" s="17"/>
      <c r="I375" s="21"/>
      <c r="J375" s="21"/>
      <c r="K375" s="23"/>
      <c r="L375" s="24"/>
      <c r="N375" s="880" t="str">
        <f t="shared" si="96"/>
        <v>x</v>
      </c>
      <c r="P375" s="19" t="str">
        <f t="shared" si="87"/>
        <v/>
      </c>
      <c r="Q375" s="1" t="str">
        <f t="shared" si="83"/>
        <v/>
      </c>
      <c r="R375" s="1" t="str">
        <f t="shared" si="84"/>
        <v/>
      </c>
      <c r="S375" s="1" t="str">
        <f t="shared" si="85"/>
        <v/>
      </c>
      <c r="T375" s="17" t="str">
        <f t="shared" si="86"/>
        <v/>
      </c>
    </row>
    <row r="376" spans="1:20" s="46" customFormat="1" ht="12.75" x14ac:dyDescent="0.2">
      <c r="B376" s="49" t="str">
        <f>IF('1xDgl'!B18="","-",'1xDgl'!B18)</f>
        <v xml:space="preserve">  Mähen</v>
      </c>
      <c r="C376" s="44"/>
      <c r="D376" s="50">
        <f>IF('[1]E-ILeist'!$I18="","",'[1]E-ILeist'!$I18)</f>
        <v>4.93</v>
      </c>
      <c r="E376" s="51"/>
      <c r="F376" s="51" t="s">
        <v>223</v>
      </c>
      <c r="H376" s="52" t="str">
        <f>IF('1xDgl'!$I18="","",'1xDgl'!$I18)</f>
        <v/>
      </c>
      <c r="I376" s="53" t="str">
        <f t="shared" ref="I376:I421" si="97">IF(OR(B376="-",AND(P376="",T376="")),"",IF(T376=P376,"Richtig!",IF(AND(P376&lt;&gt;T376,R376=T376),"Formel: OK",IF(T376="","Fehlt","Falsch"))))</f>
        <v>Fehlt</v>
      </c>
      <c r="J376" s="30">
        <f t="shared" ref="J376:J390" si="98">IF(OR(B376="-",N376="",AND(P376="",T376="")),"-",IF(I376="Richtig!",1,IF(I376="Formel: OK",0.5,IF(OR(I376="Falsch",I376="Fehlt"),0,""))))</f>
        <v>0</v>
      </c>
      <c r="K376" s="23" t="str">
        <f t="shared" si="81"/>
        <v>│</v>
      </c>
      <c r="L376" s="24">
        <f t="shared" ref="L376:L422" si="99">IF(OR(B376="-",N376="",AND(P376="",T376="")),"",1)</f>
        <v>1</v>
      </c>
      <c r="M376" s="1"/>
      <c r="N376" s="882" t="str">
        <f t="shared" si="96"/>
        <v>x</v>
      </c>
      <c r="P376" s="50">
        <f t="shared" si="87"/>
        <v>4.93</v>
      </c>
      <c r="Q376" s="51" t="str">
        <f t="shared" si="83"/>
        <v/>
      </c>
      <c r="R376" s="51" t="str">
        <f t="shared" si="84"/>
        <v>-</v>
      </c>
      <c r="S376" s="46" t="str">
        <f t="shared" si="85"/>
        <v/>
      </c>
      <c r="T376" s="52" t="str">
        <f t="shared" si="86"/>
        <v/>
      </c>
    </row>
    <row r="377" spans="1:20" s="46" customFormat="1" ht="12.75" x14ac:dyDescent="0.2">
      <c r="B377" s="49" t="str">
        <f>IF('1xDgl'!B19="","-",'1xDgl'!B19)</f>
        <v xml:space="preserve">  Zetten&amp;Wenden</v>
      </c>
      <c r="C377" s="44"/>
      <c r="D377" s="50">
        <f>IF('[1]E-ILeist'!$I19="","",'[1]E-ILeist'!$I19)</f>
        <v>4.7359999999999998</v>
      </c>
      <c r="E377" s="51"/>
      <c r="F377" s="51" t="s">
        <v>223</v>
      </c>
      <c r="H377" s="52" t="str">
        <f>IF('1xDgl'!$I19="","",'1xDgl'!$I19)</f>
        <v/>
      </c>
      <c r="I377" s="53" t="str">
        <f t="shared" si="97"/>
        <v>Fehlt</v>
      </c>
      <c r="J377" s="30">
        <f t="shared" si="98"/>
        <v>0</v>
      </c>
      <c r="K377" s="23" t="str">
        <f t="shared" si="81"/>
        <v>│</v>
      </c>
      <c r="L377" s="24">
        <f t="shared" si="99"/>
        <v>1</v>
      </c>
      <c r="M377" s="1"/>
      <c r="N377" s="882" t="str">
        <f t="shared" si="96"/>
        <v>x</v>
      </c>
      <c r="P377" s="50">
        <f t="shared" si="87"/>
        <v>4.7359999999999998</v>
      </c>
      <c r="Q377" s="51" t="str">
        <f t="shared" si="83"/>
        <v/>
      </c>
      <c r="R377" s="51" t="str">
        <f t="shared" si="84"/>
        <v>-</v>
      </c>
      <c r="S377" s="46" t="str">
        <f t="shared" si="85"/>
        <v/>
      </c>
      <c r="T377" s="52" t="str">
        <f t="shared" si="86"/>
        <v/>
      </c>
    </row>
    <row r="378" spans="1:20" s="46" customFormat="1" ht="12.75" x14ac:dyDescent="0.2">
      <c r="B378" s="49" t="str">
        <f>IF('1xDgl'!B20="","-",'1xDgl'!B20)</f>
        <v xml:space="preserve">  Schwaden</v>
      </c>
      <c r="C378" s="44"/>
      <c r="D378" s="50">
        <f>IF('[1]E-ILeist'!$I20="","",'[1]E-ILeist'!$I20)</f>
        <v>10.395000000000001</v>
      </c>
      <c r="E378" s="51"/>
      <c r="F378" s="51" t="s">
        <v>223</v>
      </c>
      <c r="H378" s="52" t="str">
        <f>IF('1xDgl'!$I20="","",'1xDgl'!$I20)</f>
        <v/>
      </c>
      <c r="I378" s="53" t="str">
        <f t="shared" si="97"/>
        <v>Fehlt</v>
      </c>
      <c r="J378" s="30">
        <f t="shared" si="98"/>
        <v>0</v>
      </c>
      <c r="K378" s="23" t="str">
        <f t="shared" si="81"/>
        <v>│</v>
      </c>
      <c r="L378" s="24">
        <f t="shared" si="99"/>
        <v>1</v>
      </c>
      <c r="M378" s="1"/>
      <c r="N378" s="882" t="str">
        <f t="shared" si="96"/>
        <v>x</v>
      </c>
      <c r="P378" s="50">
        <f t="shared" si="87"/>
        <v>10.395</v>
      </c>
      <c r="Q378" s="51" t="str">
        <f t="shared" si="83"/>
        <v/>
      </c>
      <c r="R378" s="51" t="str">
        <f t="shared" si="84"/>
        <v>-</v>
      </c>
      <c r="S378" s="46" t="str">
        <f t="shared" si="85"/>
        <v/>
      </c>
      <c r="T378" s="52" t="str">
        <f t="shared" si="86"/>
        <v/>
      </c>
    </row>
    <row r="379" spans="1:20" s="46" customFormat="1" ht="12.75" x14ac:dyDescent="0.2">
      <c r="B379" s="49" t="str">
        <f>IF('1xDgl'!B21="","-",'1xDgl'!B21)</f>
        <v xml:space="preserve">  Laden&amp;Transport</v>
      </c>
      <c r="C379" s="44"/>
      <c r="D379" s="50">
        <f>IF('[1]E-ILeist'!$I21="","",'[1]E-ILeist'!$I21)</f>
        <v>19.679999999999996</v>
      </c>
      <c r="E379" s="51"/>
      <c r="F379" s="51" t="s">
        <v>223</v>
      </c>
      <c r="H379" s="52" t="str">
        <f>IF('1xDgl'!$I21="","",'1xDgl'!$I21)</f>
        <v/>
      </c>
      <c r="I379" s="53" t="str">
        <f t="shared" si="97"/>
        <v>Fehlt</v>
      </c>
      <c r="J379" s="30">
        <f t="shared" si="98"/>
        <v>0</v>
      </c>
      <c r="K379" s="23" t="str">
        <f t="shared" si="81"/>
        <v>│</v>
      </c>
      <c r="L379" s="24">
        <f t="shared" si="99"/>
        <v>1</v>
      </c>
      <c r="M379" s="1"/>
      <c r="N379" s="882" t="str">
        <f t="shared" si="96"/>
        <v>x</v>
      </c>
      <c r="P379" s="50">
        <f t="shared" si="87"/>
        <v>19.68</v>
      </c>
      <c r="Q379" s="51" t="str">
        <f t="shared" si="83"/>
        <v/>
      </c>
      <c r="R379" s="51" t="str">
        <f t="shared" si="84"/>
        <v>-</v>
      </c>
      <c r="S379" s="46" t="str">
        <f t="shared" si="85"/>
        <v/>
      </c>
      <c r="T379" s="52" t="str">
        <f t="shared" si="86"/>
        <v/>
      </c>
    </row>
    <row r="380" spans="1:20" s="46" customFormat="1" ht="12.75" x14ac:dyDescent="0.2">
      <c r="B380" s="49" t="str">
        <f>IF('1xDgl'!B22="","-",'1xDgl'!B22)</f>
        <v xml:space="preserve">  Einlagern</v>
      </c>
      <c r="C380" s="44"/>
      <c r="D380" s="50">
        <f>IF('[1]E-ILeist'!$I22="","",'[1]E-ILeist'!$I22)</f>
        <v>8.64</v>
      </c>
      <c r="E380" s="51"/>
      <c r="F380" s="51" t="s">
        <v>223</v>
      </c>
      <c r="H380" s="52" t="str">
        <f>IF('1xDgl'!$I22="","",'1xDgl'!$I22)</f>
        <v/>
      </c>
      <c r="I380" s="53" t="str">
        <f t="shared" si="97"/>
        <v>Fehlt</v>
      </c>
      <c r="J380" s="30">
        <f t="shared" si="98"/>
        <v>0</v>
      </c>
      <c r="K380" s="23" t="str">
        <f t="shared" si="81"/>
        <v>│</v>
      </c>
      <c r="L380" s="24">
        <f t="shared" si="99"/>
        <v>1</v>
      </c>
      <c r="M380" s="1"/>
      <c r="N380" s="882" t="str">
        <f t="shared" si="96"/>
        <v>x</v>
      </c>
      <c r="P380" s="50">
        <f t="shared" si="87"/>
        <v>8.64</v>
      </c>
      <c r="Q380" s="51" t="str">
        <f t="shared" si="83"/>
        <v/>
      </c>
      <c r="R380" s="51" t="str">
        <f t="shared" si="84"/>
        <v>-</v>
      </c>
      <c r="S380" s="46" t="str">
        <f t="shared" si="85"/>
        <v/>
      </c>
      <c r="T380" s="52" t="str">
        <f t="shared" si="86"/>
        <v/>
      </c>
    </row>
    <row r="381" spans="1:20" s="46" customFormat="1" ht="12.75" hidden="1" customHeight="1" x14ac:dyDescent="0.2">
      <c r="B381" s="49" t="str">
        <f>IF('1xDgl'!B23="","-",'1xDgl'!B23)</f>
        <v>-</v>
      </c>
      <c r="C381" s="44"/>
      <c r="D381" s="50" t="str">
        <f>IF('[1]E-ILeist'!$I23="","",'[1]E-ILeist'!$I23)</f>
        <v/>
      </c>
      <c r="E381" s="51"/>
      <c r="F381" s="51"/>
      <c r="H381" s="52" t="str">
        <f>IF('1xDgl'!$I23="","",'1xDgl'!$I23)</f>
        <v/>
      </c>
      <c r="I381" s="53" t="str">
        <f t="shared" si="97"/>
        <v/>
      </c>
      <c r="J381" s="30" t="str">
        <f t="shared" si="98"/>
        <v>-</v>
      </c>
      <c r="K381" s="23" t="str">
        <f t="shared" si="81"/>
        <v/>
      </c>
      <c r="L381" s="24" t="str">
        <f t="shared" si="99"/>
        <v/>
      </c>
      <c r="M381" s="1"/>
      <c r="N381" s="882"/>
      <c r="P381" s="50" t="str">
        <f t="shared" si="87"/>
        <v/>
      </c>
      <c r="Q381" s="51" t="str">
        <f t="shared" si="83"/>
        <v/>
      </c>
      <c r="R381" s="51" t="str">
        <f t="shared" si="84"/>
        <v/>
      </c>
      <c r="S381" s="46" t="str">
        <f t="shared" si="85"/>
        <v/>
      </c>
      <c r="T381" s="52" t="str">
        <f t="shared" si="86"/>
        <v/>
      </c>
    </row>
    <row r="382" spans="1:20" s="46" customFormat="1" ht="12.75" hidden="1" customHeight="1" x14ac:dyDescent="0.2">
      <c r="B382" s="49" t="str">
        <f>IF('1xDgl'!B24="","-",'1xDgl'!B24)</f>
        <v>-</v>
      </c>
      <c r="C382" s="44"/>
      <c r="D382" s="50" t="str">
        <f>IF('[1]E-ILeist'!$I24="","",'[1]E-ILeist'!$I24)</f>
        <v/>
      </c>
      <c r="E382" s="51"/>
      <c r="F382" s="51"/>
      <c r="H382" s="52" t="str">
        <f>IF('1xDgl'!$I24="","",'1xDgl'!$I24)</f>
        <v/>
      </c>
      <c r="I382" s="53" t="str">
        <f t="shared" si="97"/>
        <v/>
      </c>
      <c r="J382" s="30" t="str">
        <f t="shared" si="98"/>
        <v>-</v>
      </c>
      <c r="K382" s="23" t="str">
        <f t="shared" si="81"/>
        <v/>
      </c>
      <c r="L382" s="24" t="str">
        <f t="shared" si="99"/>
        <v/>
      </c>
      <c r="M382" s="1"/>
      <c r="N382" s="882"/>
      <c r="P382" s="50" t="str">
        <f t="shared" si="87"/>
        <v/>
      </c>
      <c r="Q382" s="51" t="str">
        <f t="shared" si="83"/>
        <v/>
      </c>
      <c r="R382" s="51" t="str">
        <f t="shared" si="84"/>
        <v/>
      </c>
      <c r="S382" s="46" t="str">
        <f t="shared" si="85"/>
        <v/>
      </c>
      <c r="T382" s="52" t="str">
        <f t="shared" si="86"/>
        <v/>
      </c>
    </row>
    <row r="383" spans="1:20" s="46" customFormat="1" ht="12.75" hidden="1" customHeight="1" x14ac:dyDescent="0.2">
      <c r="B383" s="49" t="str">
        <f>IF('1xDgl'!B25="","-",'1xDgl'!B25)</f>
        <v>-</v>
      </c>
      <c r="C383" s="44"/>
      <c r="D383" s="50" t="str">
        <f>IF('[1]E-ILeist'!$I25="","",'[1]E-ILeist'!$I25)</f>
        <v/>
      </c>
      <c r="E383" s="51"/>
      <c r="F383" s="51"/>
      <c r="H383" s="52" t="str">
        <f>IF('1xDgl'!$I25="","",'1xDgl'!$I25)</f>
        <v/>
      </c>
      <c r="I383" s="53" t="str">
        <f t="shared" si="97"/>
        <v/>
      </c>
      <c r="J383" s="30" t="str">
        <f t="shared" si="98"/>
        <v>-</v>
      </c>
      <c r="K383" s="23" t="str">
        <f t="shared" si="81"/>
        <v/>
      </c>
      <c r="L383" s="24" t="str">
        <f t="shared" si="99"/>
        <v/>
      </c>
      <c r="M383" s="1"/>
      <c r="N383" s="882"/>
      <c r="P383" s="50" t="str">
        <f t="shared" si="87"/>
        <v/>
      </c>
      <c r="Q383" s="51" t="str">
        <f t="shared" si="83"/>
        <v/>
      </c>
      <c r="R383" s="51" t="str">
        <f t="shared" si="84"/>
        <v/>
      </c>
      <c r="S383" s="46" t="str">
        <f t="shared" si="85"/>
        <v/>
      </c>
      <c r="T383" s="52" t="str">
        <f t="shared" si="86"/>
        <v/>
      </c>
    </row>
    <row r="384" spans="1:20" s="46" customFormat="1" ht="12.75" hidden="1" customHeight="1" x14ac:dyDescent="0.2">
      <c r="B384" s="49" t="str">
        <f>IF('1xDgl'!B26="","-",'1xDgl'!B26)</f>
        <v>-</v>
      </c>
      <c r="C384" s="44"/>
      <c r="D384" s="50" t="str">
        <f>IF('[1]E-ILeist'!$I26="","",'[1]E-ILeist'!$I26)</f>
        <v/>
      </c>
      <c r="E384" s="51"/>
      <c r="F384" s="51"/>
      <c r="H384" s="52" t="str">
        <f>IF('1xDgl'!$I26="","",'1xDgl'!$I26)</f>
        <v/>
      </c>
      <c r="I384" s="53" t="str">
        <f t="shared" si="97"/>
        <v/>
      </c>
      <c r="J384" s="30" t="str">
        <f t="shared" si="98"/>
        <v>-</v>
      </c>
      <c r="K384" s="23" t="str">
        <f t="shared" si="81"/>
        <v/>
      </c>
      <c r="L384" s="24" t="str">
        <f t="shared" si="99"/>
        <v/>
      </c>
      <c r="M384" s="1"/>
      <c r="N384" s="882"/>
      <c r="P384" s="50" t="str">
        <f t="shared" si="87"/>
        <v/>
      </c>
      <c r="Q384" s="51" t="str">
        <f t="shared" si="83"/>
        <v/>
      </c>
      <c r="R384" s="51" t="str">
        <f t="shared" si="84"/>
        <v/>
      </c>
      <c r="S384" s="46" t="str">
        <f t="shared" si="85"/>
        <v/>
      </c>
      <c r="T384" s="52" t="str">
        <f t="shared" si="86"/>
        <v/>
      </c>
    </row>
    <row r="385" spans="1:20" s="46" customFormat="1" ht="12.75" hidden="1" customHeight="1" x14ac:dyDescent="0.2">
      <c r="B385" s="54" t="s">
        <v>53</v>
      </c>
      <c r="C385" s="44"/>
      <c r="D385" s="50"/>
      <c r="E385" s="51"/>
      <c r="F385" s="51"/>
      <c r="H385" s="52"/>
      <c r="I385" s="53" t="str">
        <f t="shared" si="97"/>
        <v/>
      </c>
      <c r="J385" s="30" t="str">
        <f t="shared" si="98"/>
        <v>-</v>
      </c>
      <c r="K385" s="23" t="str">
        <f t="shared" si="81"/>
        <v/>
      </c>
      <c r="L385" s="24" t="str">
        <f t="shared" si="99"/>
        <v/>
      </c>
      <c r="M385" s="1"/>
      <c r="N385" s="882"/>
      <c r="P385" s="50" t="str">
        <f t="shared" si="87"/>
        <v/>
      </c>
      <c r="Q385" s="51" t="str">
        <f t="shared" si="83"/>
        <v/>
      </c>
      <c r="R385" s="51" t="str">
        <f t="shared" si="84"/>
        <v/>
      </c>
      <c r="S385" s="46" t="str">
        <f t="shared" si="85"/>
        <v/>
      </c>
      <c r="T385" s="52" t="str">
        <f t="shared" si="86"/>
        <v/>
      </c>
    </row>
    <row r="386" spans="1:20" s="46" customFormat="1" ht="12.75" hidden="1" customHeight="1" x14ac:dyDescent="0.2">
      <c r="B386" s="49" t="str">
        <f>'1xDgl'!C8&amp;" "&amp;'1xDgl'!C9</f>
        <v>AKh pro ha</v>
      </c>
      <c r="C386" s="44"/>
      <c r="D386" s="50">
        <f>IF('[1]E-ILeist'!$C27="","",'[1]E-ILeist'!$C27)</f>
        <v>18.400000000000002</v>
      </c>
      <c r="E386" s="51"/>
      <c r="F386" s="51"/>
      <c r="H386" s="52">
        <f>IF('1xDgl'!$C27="","",'1xDgl'!$C27)</f>
        <v>18.400000000000002</v>
      </c>
      <c r="I386" s="53" t="str">
        <f t="shared" si="97"/>
        <v>Richtig!</v>
      </c>
      <c r="J386" s="30" t="str">
        <f t="shared" si="98"/>
        <v>-</v>
      </c>
      <c r="K386" s="23" t="str">
        <f t="shared" si="81"/>
        <v/>
      </c>
      <c r="L386" s="24" t="str">
        <f t="shared" si="99"/>
        <v/>
      </c>
      <c r="M386" s="1"/>
      <c r="N386" s="882"/>
      <c r="P386" s="50">
        <f t="shared" si="87"/>
        <v>18.399999999999999</v>
      </c>
      <c r="Q386" s="51" t="str">
        <f t="shared" si="83"/>
        <v/>
      </c>
      <c r="R386" s="51" t="str">
        <f t="shared" si="84"/>
        <v/>
      </c>
      <c r="S386" s="46" t="str">
        <f t="shared" si="85"/>
        <v/>
      </c>
      <c r="T386" s="52">
        <f t="shared" si="86"/>
        <v>18.399999999999999</v>
      </c>
    </row>
    <row r="387" spans="1:20" s="46" customFormat="1" ht="12.75" x14ac:dyDescent="0.2">
      <c r="B387" s="49" t="str">
        <f>IF('1xDgl'!D9="","-",'1xDgl'!D8&amp;" - "&amp;'1xDgl'!D9&amp;" KW")</f>
        <v>Traktorstunden pro ha - 45 KW</v>
      </c>
      <c r="C387" s="44"/>
      <c r="D387" s="50">
        <f>IF('[1]E-ILeist'!$D27="","",'[1]E-ILeist'!$D27)</f>
        <v>5.9</v>
      </c>
      <c r="E387" s="51"/>
      <c r="F387" s="51" t="s">
        <v>223</v>
      </c>
      <c r="H387" s="52" t="str">
        <f>IF('1xDgl'!$D27="","",'1xDgl'!$D27)</f>
        <v/>
      </c>
      <c r="I387" s="53" t="str">
        <f t="shared" si="97"/>
        <v>Fehlt</v>
      </c>
      <c r="J387" s="30">
        <f t="shared" si="98"/>
        <v>0</v>
      </c>
      <c r="K387" s="23" t="str">
        <f t="shared" si="81"/>
        <v>│</v>
      </c>
      <c r="L387" s="24">
        <f t="shared" si="99"/>
        <v>1</v>
      </c>
      <c r="M387" s="1"/>
      <c r="N387" s="882" t="str">
        <f>IF($L$1="","",$L$1)</f>
        <v>x</v>
      </c>
      <c r="P387" s="50">
        <f t="shared" si="87"/>
        <v>5.9</v>
      </c>
      <c r="Q387" s="51" t="str">
        <f t="shared" si="83"/>
        <v/>
      </c>
      <c r="R387" s="51" t="str">
        <f t="shared" si="84"/>
        <v>-</v>
      </c>
      <c r="S387" s="46" t="str">
        <f t="shared" si="85"/>
        <v/>
      </c>
      <c r="T387" s="52" t="str">
        <f t="shared" si="86"/>
        <v/>
      </c>
    </row>
    <row r="388" spans="1:20" s="46" customFormat="1" ht="12.75" x14ac:dyDescent="0.2">
      <c r="B388" s="49" t="str">
        <f>IF('1xDgl'!E9="","-",'1xDgl'!D8&amp;" - "&amp;'1xDgl'!E9&amp;" KW")</f>
        <v>Traktorstunden pro ha - 65 KW</v>
      </c>
      <c r="C388" s="44"/>
      <c r="D388" s="50">
        <f>IF('[1]E-ILeist'!$E27="","",'[1]E-ILeist'!$E27)</f>
        <v>12.5</v>
      </c>
      <c r="E388" s="51"/>
      <c r="F388" s="51" t="s">
        <v>223</v>
      </c>
      <c r="H388" s="52" t="str">
        <f>IF('1xDgl'!$E27="","",'1xDgl'!$E27)</f>
        <v/>
      </c>
      <c r="I388" s="53" t="str">
        <f t="shared" si="97"/>
        <v>Fehlt</v>
      </c>
      <c r="J388" s="30">
        <f t="shared" si="98"/>
        <v>0</v>
      </c>
      <c r="K388" s="23" t="str">
        <f t="shared" si="81"/>
        <v>│</v>
      </c>
      <c r="L388" s="24">
        <f t="shared" si="99"/>
        <v>1</v>
      </c>
      <c r="M388" s="1"/>
      <c r="N388" s="882" t="str">
        <f>IF($L$1="","",$L$1)</f>
        <v>x</v>
      </c>
      <c r="P388" s="50">
        <f t="shared" si="87"/>
        <v>12.5</v>
      </c>
      <c r="Q388" s="51" t="str">
        <f t="shared" si="83"/>
        <v/>
      </c>
      <c r="R388" s="51" t="str">
        <f t="shared" si="84"/>
        <v>-</v>
      </c>
      <c r="S388" s="46" t="str">
        <f t="shared" si="85"/>
        <v/>
      </c>
      <c r="T388" s="52" t="str">
        <f t="shared" si="86"/>
        <v/>
      </c>
    </row>
    <row r="389" spans="1:20" s="46" customFormat="1" ht="12.75" hidden="1" customHeight="1" x14ac:dyDescent="0.2">
      <c r="B389" s="49" t="str">
        <f>IF('1xDgl'!F9="","-",'1xDgl'!D8&amp;" - "&amp;'1xDgl'!F9&amp;" KW")</f>
        <v>-</v>
      </c>
      <c r="C389" s="44"/>
      <c r="D389" s="50" t="str">
        <f>IF('[1]E-ILeist'!$F27="","",'[1]E-ILeist'!$F27)</f>
        <v/>
      </c>
      <c r="E389" s="51"/>
      <c r="F389" s="51"/>
      <c r="H389" s="52" t="str">
        <f>IF('1xDgl'!$F27="","",'1xDgl'!$F27)</f>
        <v/>
      </c>
      <c r="I389" s="53" t="str">
        <f t="shared" si="97"/>
        <v/>
      </c>
      <c r="J389" s="30" t="str">
        <f t="shared" si="98"/>
        <v>-</v>
      </c>
      <c r="K389" s="23" t="str">
        <f t="shared" si="81"/>
        <v/>
      </c>
      <c r="L389" s="24" t="str">
        <f t="shared" si="99"/>
        <v/>
      </c>
      <c r="M389" s="1"/>
      <c r="N389" s="882"/>
      <c r="P389" s="50" t="str">
        <f t="shared" si="87"/>
        <v/>
      </c>
      <c r="Q389" s="51" t="str">
        <f t="shared" si="83"/>
        <v/>
      </c>
      <c r="R389" s="51" t="str">
        <f t="shared" si="84"/>
        <v/>
      </c>
      <c r="S389" s="46" t="str">
        <f t="shared" si="85"/>
        <v/>
      </c>
      <c r="T389" s="52" t="str">
        <f t="shared" si="86"/>
        <v/>
      </c>
    </row>
    <row r="390" spans="1:20" s="46" customFormat="1" ht="12.75" x14ac:dyDescent="0.2">
      <c r="B390" s="54" t="str">
        <f>'1xDgl'!H8&amp;" "&amp;'1xDgl'!I9</f>
        <v>Variable Maschinenkosten € gesamt</v>
      </c>
      <c r="C390" s="44"/>
      <c r="D390" s="55">
        <f>IF('[1]E-ILeist'!$I27="","",'[1]E-ILeist'!$I27)</f>
        <v>48.381</v>
      </c>
      <c r="E390" s="51"/>
      <c r="F390" s="56" t="str">
        <f>IF(AND('1xDgl'!I18="",'1xDgl'!I19="",'1xDgl'!I20="",'1xDgl'!I21="",'1xDgl'!I22="",'1xDgl'!I23="",'1xDgl'!I24="",'1xDgl'!I25="",'1xDgl'!I26=""),"-",SUM('1xDgl'!I18:I26))</f>
        <v>-</v>
      </c>
      <c r="H390" s="57" t="str">
        <f>IF('1xDgl'!$I27="","",'1xDgl'!$I27)</f>
        <v/>
      </c>
      <c r="I390" s="53" t="str">
        <f t="shared" si="97"/>
        <v>Fehlt</v>
      </c>
      <c r="J390" s="30">
        <f t="shared" si="98"/>
        <v>0</v>
      </c>
      <c r="K390" s="23" t="str">
        <f t="shared" si="81"/>
        <v>│</v>
      </c>
      <c r="L390" s="24">
        <f t="shared" si="99"/>
        <v>1</v>
      </c>
      <c r="M390" s="1"/>
      <c r="N390" s="882" t="str">
        <f>IF($L$1="","",$L$1)</f>
        <v>x</v>
      </c>
      <c r="P390" s="55">
        <f t="shared" si="87"/>
        <v>48.381</v>
      </c>
      <c r="Q390" s="51" t="str">
        <f t="shared" si="83"/>
        <v/>
      </c>
      <c r="R390" s="56" t="str">
        <f t="shared" si="84"/>
        <v>-</v>
      </c>
      <c r="S390" s="46" t="str">
        <f t="shared" si="85"/>
        <v/>
      </c>
      <c r="T390" s="57" t="str">
        <f t="shared" si="86"/>
        <v/>
      </c>
    </row>
    <row r="391" spans="1:20" ht="12.75" x14ac:dyDescent="0.2">
      <c r="A391" s="18"/>
      <c r="B391" s="18"/>
      <c r="C391" s="18"/>
      <c r="D391" s="19"/>
      <c r="H391" s="17"/>
      <c r="I391" s="21" t="str">
        <f t="shared" si="97"/>
        <v/>
      </c>
      <c r="J391" s="21"/>
      <c r="K391" s="23" t="str">
        <f t="shared" si="81"/>
        <v/>
      </c>
      <c r="L391" s="24" t="str">
        <f t="shared" si="99"/>
        <v/>
      </c>
      <c r="N391" s="883" t="str">
        <f>IF($L$1="","",$L$1)</f>
        <v>x</v>
      </c>
      <c r="P391" s="19" t="str">
        <f t="shared" si="87"/>
        <v/>
      </c>
      <c r="Q391" s="1" t="str">
        <f t="shared" si="83"/>
        <v/>
      </c>
      <c r="R391" s="1" t="str">
        <f t="shared" si="84"/>
        <v/>
      </c>
      <c r="S391" s="1" t="str">
        <f t="shared" si="85"/>
        <v/>
      </c>
      <c r="T391" s="17" t="str">
        <f t="shared" si="86"/>
        <v/>
      </c>
    </row>
    <row r="392" spans="1:20" ht="12.75" x14ac:dyDescent="0.2">
      <c r="A392" s="17" t="s">
        <v>14</v>
      </c>
      <c r="B392" s="17" t="s">
        <v>54</v>
      </c>
      <c r="C392" s="18"/>
      <c r="D392" s="19"/>
      <c r="H392" s="17"/>
      <c r="I392" s="21" t="str">
        <f t="shared" si="97"/>
        <v/>
      </c>
      <c r="J392" s="21"/>
      <c r="K392" s="23" t="str">
        <f t="shared" si="81"/>
        <v/>
      </c>
      <c r="L392" s="24" t="str">
        <f t="shared" si="99"/>
        <v/>
      </c>
      <c r="N392" s="880" t="str">
        <f>IF($L$1="","",$L$1)</f>
        <v>x</v>
      </c>
      <c r="P392" s="19" t="str">
        <f t="shared" si="87"/>
        <v/>
      </c>
      <c r="Q392" s="1" t="str">
        <f t="shared" si="83"/>
        <v/>
      </c>
      <c r="R392" s="1" t="str">
        <f t="shared" si="84"/>
        <v/>
      </c>
      <c r="S392" s="1" t="str">
        <f t="shared" si="85"/>
        <v/>
      </c>
      <c r="T392" s="17" t="str">
        <f t="shared" si="86"/>
        <v/>
      </c>
    </row>
    <row r="393" spans="1:20" s="46" customFormat="1" ht="12.75" x14ac:dyDescent="0.2">
      <c r="A393" s="43"/>
      <c r="B393" s="49" t="str">
        <f>IF('1xDgl'!B29="","-",'1xDgl'!B29)</f>
        <v>Variable Kosten für den 45 KW-Traktor</v>
      </c>
      <c r="C393" s="44"/>
      <c r="D393" s="55">
        <f>IF('[1]E-ILeist'!$I29="","",'[1]E-ILeist'!$I29)</f>
        <v>167.36500000000001</v>
      </c>
      <c r="E393" s="51"/>
      <c r="F393" s="56" t="str">
        <f>IF(OR('1xDgl'!G29="",'1xDgl'!H29="",'1xDgl'!G29="noch leer",'1xDgl'!H29="noch leer"),"-",'1xDgl'!G29*'1xDgl'!H29)</f>
        <v>-</v>
      </c>
      <c r="H393" s="57" t="str">
        <f>IF('1xDgl'!$I29="","",'1xDgl'!$I29)</f>
        <v/>
      </c>
      <c r="I393" s="53" t="str">
        <f t="shared" si="97"/>
        <v>Fehlt</v>
      </c>
      <c r="J393" s="30">
        <f>IF(OR(B393="-",N393="",AND(P393="",T393="")),"-",IF(I393="Richtig!",1,IF(I393="Formel: OK",0.5,IF(OR(I393="Falsch",I393="Fehlt"),0,""))))</f>
        <v>0</v>
      </c>
      <c r="K393" s="23" t="str">
        <f t="shared" si="81"/>
        <v>│</v>
      </c>
      <c r="L393" s="24">
        <f t="shared" si="99"/>
        <v>1</v>
      </c>
      <c r="M393" s="1"/>
      <c r="N393" s="882" t="str">
        <f>IF($L$1="","",$L$1)</f>
        <v>x</v>
      </c>
      <c r="P393" s="55">
        <f t="shared" si="87"/>
        <v>167.36500000000001</v>
      </c>
      <c r="Q393" s="51" t="str">
        <f t="shared" si="83"/>
        <v/>
      </c>
      <c r="R393" s="56" t="str">
        <f t="shared" si="84"/>
        <v>-</v>
      </c>
      <c r="S393" s="46" t="str">
        <f t="shared" si="85"/>
        <v/>
      </c>
      <c r="T393" s="57" t="str">
        <f t="shared" si="86"/>
        <v/>
      </c>
    </row>
    <row r="394" spans="1:20" s="46" customFormat="1" ht="12.75" x14ac:dyDescent="0.2">
      <c r="A394" s="43"/>
      <c r="B394" s="49" t="str">
        <f>IF('1xDgl'!B30="","-",'1xDgl'!B30)</f>
        <v>Variable Kosten für den 65 KW-Traktor</v>
      </c>
      <c r="C394" s="44"/>
      <c r="D394" s="55">
        <f>IF('[1]E-ILeist'!$I30="","",'[1]E-ILeist'!$I30)</f>
        <v>400.33500000000004</v>
      </c>
      <c r="E394" s="51"/>
      <c r="F394" s="56" t="str">
        <f>IF(OR('1xDgl'!G30="",'1xDgl'!H30="",'1xDgl'!G30="noch leer",'1xDgl'!H30="noch leer"),"-",'1xDgl'!G30*'1xDgl'!H30)</f>
        <v>-</v>
      </c>
      <c r="H394" s="57" t="str">
        <f>IF('1xDgl'!$I30="","",'1xDgl'!$I30)</f>
        <v/>
      </c>
      <c r="I394" s="53" t="str">
        <f t="shared" si="97"/>
        <v>Fehlt</v>
      </c>
      <c r="J394" s="30">
        <f>IF(OR(B394="-",N394="",AND(P394="",T394="")),"-",IF(I394="Richtig!",1,IF(I394="Formel: OK",0.5,IF(OR(I394="Falsch",I394="Fehlt"),0,""))))</f>
        <v>0</v>
      </c>
      <c r="K394" s="23" t="str">
        <f t="shared" ref="K394:K457" si="100">IF(L394="","","│")</f>
        <v>│</v>
      </c>
      <c r="L394" s="24">
        <f t="shared" si="99"/>
        <v>1</v>
      </c>
      <c r="M394" s="1"/>
      <c r="N394" s="882" t="str">
        <f>IF($L$1="","",$L$1)</f>
        <v>x</v>
      </c>
      <c r="P394" s="55">
        <f t="shared" si="87"/>
        <v>400.33499999999998</v>
      </c>
      <c r="Q394" s="51" t="str">
        <f t="shared" ref="Q394:Q457" si="101">IF(ISTEXT(E394),E394,IF(E394="","",ROUND(E394,$R$1)))</f>
        <v/>
      </c>
      <c r="R394" s="56" t="str">
        <f t="shared" ref="R394:R457" si="102">IF(ISTEXT(F394),F394,IF(F394="","",ROUND(F394,$R$1)))</f>
        <v>-</v>
      </c>
      <c r="S394" s="46" t="str">
        <f t="shared" ref="S394:S457" si="103">IF(ISTEXT(G394),G394,IF(G394="","",ROUND(G394,$R$1)))</f>
        <v/>
      </c>
      <c r="T394" s="57" t="str">
        <f t="shared" ref="T394:T457" si="104">IF(ISTEXT(H394),H394,IF(H394="","",ROUND(H394,$R$1)))</f>
        <v/>
      </c>
    </row>
    <row r="395" spans="1:20" s="46" customFormat="1" ht="12.75" hidden="1" customHeight="1" x14ac:dyDescent="0.2">
      <c r="B395" s="49" t="str">
        <f>IF('1xDgl'!B31="","-",'1xDgl'!B31)</f>
        <v>-</v>
      </c>
      <c r="C395" s="44"/>
      <c r="D395" s="55" t="str">
        <f>IF('[1]E-ILeist'!$I31="","",'[1]E-ILeist'!$I31)</f>
        <v/>
      </c>
      <c r="E395" s="51"/>
      <c r="F395" s="51" t="str">
        <f>IF(OR('1xDgl'!G31="",'1xDgl'!H31="",'1xDgl'!G31="noch leer",'1xDgl'!H31="noch leer"),"-",'1xDgl'!G31*'1xDgl'!H31)</f>
        <v>-</v>
      </c>
      <c r="H395" s="57" t="str">
        <f>IF('1xDgl'!$I31="","",'1xDgl'!$I31)</f>
        <v/>
      </c>
      <c r="I395" s="53" t="str">
        <f t="shared" si="97"/>
        <v/>
      </c>
      <c r="J395" s="30" t="str">
        <f>IF(OR(B395="-",N395="",AND(P395="",T395="")),"-",IF(I395="Richtig!",1,IF(I395="Formel: OK",0.5,IF(OR(I395="Falsch",I395="Fehlt"),0,""))))</f>
        <v>-</v>
      </c>
      <c r="K395" s="23" t="str">
        <f t="shared" si="100"/>
        <v/>
      </c>
      <c r="L395" s="24" t="str">
        <f t="shared" si="99"/>
        <v/>
      </c>
      <c r="M395" s="1"/>
      <c r="N395" s="882"/>
      <c r="P395" s="55" t="str">
        <f t="shared" ref="P395:P458" si="105">IF(ISTEXT(D395),D395,IF(D395="","",ROUND(D395,$R$1)))</f>
        <v/>
      </c>
      <c r="Q395" s="51" t="str">
        <f t="shared" si="101"/>
        <v/>
      </c>
      <c r="R395" s="51" t="str">
        <f t="shared" si="102"/>
        <v>-</v>
      </c>
      <c r="S395" s="46" t="str">
        <f t="shared" si="103"/>
        <v/>
      </c>
      <c r="T395" s="57" t="str">
        <f t="shared" si="104"/>
        <v/>
      </c>
    </row>
    <row r="396" spans="1:20" s="46" customFormat="1" ht="12.75" hidden="1" customHeight="1" x14ac:dyDescent="0.2">
      <c r="A396" s="58"/>
      <c r="B396" s="54" t="s">
        <v>55</v>
      </c>
      <c r="C396" s="44"/>
      <c r="D396" s="55">
        <f>IF('[1]E-ILeist'!$I32="","",'[1]E-ILeist'!$I32)</f>
        <v>567.70000000000005</v>
      </c>
      <c r="E396" s="51"/>
      <c r="F396" s="56" t="str">
        <f>IF(AND('1xDgl'!I29="",'1xDgl'!I30="",'1xDgl'!I31=""),"-",SUM('1xDgl'!I29:I31))</f>
        <v>-</v>
      </c>
      <c r="H396" s="57">
        <f>IF('1xDgl'!$I32="","",'1xDgl'!$I32)</f>
        <v>0</v>
      </c>
      <c r="I396" s="53" t="str">
        <f t="shared" si="97"/>
        <v>Falsch</v>
      </c>
      <c r="J396" s="30" t="str">
        <f>IF(OR(B396="-",N396="",AND(P396="",T396="")),"-",IF(I396="Richtig!",1,IF(I396="Formel: OK",0.5,IF(OR(I396="Falsch",I396="Fehlt"),0,""))))</f>
        <v>-</v>
      </c>
      <c r="K396" s="23" t="str">
        <f t="shared" si="100"/>
        <v/>
      </c>
      <c r="L396" s="24" t="str">
        <f t="shared" si="99"/>
        <v/>
      </c>
      <c r="M396" s="1"/>
      <c r="N396" s="882"/>
      <c r="P396" s="55">
        <f t="shared" si="105"/>
        <v>567.70000000000005</v>
      </c>
      <c r="Q396" s="51" t="str">
        <f t="shared" si="101"/>
        <v/>
      </c>
      <c r="R396" s="56" t="str">
        <f t="shared" si="102"/>
        <v>-</v>
      </c>
      <c r="S396" s="46" t="str">
        <f t="shared" si="103"/>
        <v/>
      </c>
      <c r="T396" s="57">
        <f t="shared" si="104"/>
        <v>0</v>
      </c>
    </row>
    <row r="397" spans="1:20" ht="12.75" x14ac:dyDescent="0.2">
      <c r="A397" s="18"/>
      <c r="B397" s="18"/>
      <c r="C397" s="18"/>
      <c r="D397" s="19"/>
      <c r="H397" s="17"/>
      <c r="I397" s="21" t="str">
        <f t="shared" si="97"/>
        <v/>
      </c>
      <c r="J397" s="21"/>
      <c r="K397" s="23" t="str">
        <f t="shared" si="100"/>
        <v/>
      </c>
      <c r="L397" s="24" t="str">
        <f t="shared" si="99"/>
        <v/>
      </c>
      <c r="N397" s="883" t="str">
        <f>IF($L$1="","",$L$1)</f>
        <v>x</v>
      </c>
      <c r="P397" s="19" t="str">
        <f t="shared" si="105"/>
        <v/>
      </c>
      <c r="Q397" s="1" t="str">
        <f t="shared" si="101"/>
        <v/>
      </c>
      <c r="R397" s="1" t="str">
        <f t="shared" si="102"/>
        <v/>
      </c>
      <c r="S397" s="1" t="str">
        <f t="shared" si="103"/>
        <v/>
      </c>
      <c r="T397" s="17" t="str">
        <f t="shared" si="104"/>
        <v/>
      </c>
    </row>
    <row r="398" spans="1:20" ht="12.75" x14ac:dyDescent="0.2">
      <c r="A398" s="17" t="s">
        <v>17</v>
      </c>
      <c r="B398" s="17" t="s">
        <v>56</v>
      </c>
      <c r="C398" s="18"/>
      <c r="D398" s="19"/>
      <c r="H398" s="17"/>
      <c r="I398" s="21" t="str">
        <f t="shared" si="97"/>
        <v/>
      </c>
      <c r="J398" s="21"/>
      <c r="K398" s="23" t="str">
        <f t="shared" si="100"/>
        <v/>
      </c>
      <c r="L398" s="24" t="str">
        <f t="shared" si="99"/>
        <v/>
      </c>
      <c r="N398" s="880" t="str">
        <f>IF($L$1="","",$L$1)</f>
        <v>x</v>
      </c>
      <c r="P398" s="19" t="str">
        <f t="shared" si="105"/>
        <v/>
      </c>
      <c r="Q398" s="1" t="str">
        <f t="shared" si="101"/>
        <v/>
      </c>
      <c r="R398" s="1" t="str">
        <f t="shared" si="102"/>
        <v/>
      </c>
      <c r="S398" s="1" t="str">
        <f t="shared" si="103"/>
        <v/>
      </c>
      <c r="T398" s="17" t="str">
        <f t="shared" si="104"/>
        <v/>
      </c>
    </row>
    <row r="399" spans="1:20" s="46" customFormat="1" ht="12.75" x14ac:dyDescent="0.2">
      <c r="B399" s="49" t="str">
        <f>IF('1xDgl'!B34="","-",MID('1xDgl'!B34,1,17)&amp;'1xDgl'!I9)</f>
        <v>Belüftungskosten € gesamt</v>
      </c>
      <c r="C399" s="44"/>
      <c r="D399" s="50">
        <f>IF('[1]E-ILeist'!$I34="","",'[1]E-ILeist'!$I34)</f>
        <v>505.78</v>
      </c>
      <c r="E399" s="51"/>
      <c r="F399" s="51" t="s">
        <v>223</v>
      </c>
      <c r="H399" s="52" t="str">
        <f>IF('1xDgl'!$I34="","",'1xDgl'!$I34)</f>
        <v/>
      </c>
      <c r="I399" s="53" t="str">
        <f t="shared" si="97"/>
        <v>Fehlt</v>
      </c>
      <c r="J399" s="30">
        <f>IF(OR(B399="-",N399="",AND(P399="",T399="")),"-",IF(I399="Richtig!",1,IF(I399="Formel: OK",0.5,IF(OR(I399="Falsch",I399="Fehlt"),0,""))))</f>
        <v>0</v>
      </c>
      <c r="K399" s="23" t="str">
        <f t="shared" si="100"/>
        <v>│</v>
      </c>
      <c r="L399" s="24">
        <f t="shared" si="99"/>
        <v>1</v>
      </c>
      <c r="M399" s="1"/>
      <c r="N399" s="882" t="str">
        <f>IF($L$1="","",$L$1)</f>
        <v>x</v>
      </c>
      <c r="P399" s="50">
        <f t="shared" si="105"/>
        <v>505.78</v>
      </c>
      <c r="Q399" s="51" t="str">
        <f t="shared" si="101"/>
        <v/>
      </c>
      <c r="R399" s="51" t="str">
        <f t="shared" si="102"/>
        <v>-</v>
      </c>
      <c r="S399" s="46" t="str">
        <f t="shared" si="103"/>
        <v/>
      </c>
      <c r="T399" s="52" t="str">
        <f t="shared" si="104"/>
        <v/>
      </c>
    </row>
    <row r="400" spans="1:20" s="46" customFormat="1" ht="12.75" hidden="1" customHeight="1" x14ac:dyDescent="0.2">
      <c r="A400" s="58"/>
      <c r="B400" s="54" t="str">
        <f>IF('1xDgl'!B35="","-",'1xDgl'!B35)</f>
        <v>Zwischensumme IV</v>
      </c>
      <c r="C400" s="44"/>
      <c r="D400" s="55">
        <f>IF('[1]E-ILeist'!$I35="","",'[1]E-ILeist'!$I35)</f>
        <v>505.78</v>
      </c>
      <c r="E400" s="51"/>
      <c r="F400" s="56" t="str">
        <f>IF('1xDgl'!I34="","-",SUM('1xDgl'!I34))</f>
        <v>-</v>
      </c>
      <c r="H400" s="57">
        <f>IF('1xDgl'!$I35="","",'1xDgl'!$I35)</f>
        <v>0</v>
      </c>
      <c r="I400" s="53" t="str">
        <f t="shared" si="97"/>
        <v>Falsch</v>
      </c>
      <c r="J400" s="30" t="str">
        <f>IF(OR(B400="-",N400="",AND(P400="",T400="")),"-",IF(I400="Richtig!",1,IF(I400="Formel: OK",0.5,IF(OR(I400="Falsch",I400="Fehlt"),0,""))))</f>
        <v>-</v>
      </c>
      <c r="K400" s="23" t="str">
        <f t="shared" si="100"/>
        <v/>
      </c>
      <c r="L400" s="24" t="str">
        <f t="shared" si="99"/>
        <v/>
      </c>
      <c r="M400" s="1"/>
      <c r="N400" s="882"/>
      <c r="P400" s="55">
        <f t="shared" si="105"/>
        <v>505.78</v>
      </c>
      <c r="Q400" s="51" t="str">
        <f t="shared" si="101"/>
        <v/>
      </c>
      <c r="R400" s="56" t="str">
        <f t="shared" si="102"/>
        <v>-</v>
      </c>
      <c r="S400" s="46" t="str">
        <f t="shared" si="103"/>
        <v/>
      </c>
      <c r="T400" s="57">
        <f t="shared" si="104"/>
        <v>0</v>
      </c>
    </row>
    <row r="401" spans="1:20" s="46" customFormat="1" ht="12.75" x14ac:dyDescent="0.2">
      <c r="A401" s="43"/>
      <c r="B401" s="54" t="str">
        <f>IF('1xDgl'!B36="","-",'1xDgl'!B36&amp;" "&amp;'1xDgl'!C36&amp;'1xDgl'!D36)</f>
        <v>Variable Kosten insgesamt bei 3 Schnitten (exkl. MWSt)</v>
      </c>
      <c r="C401" s="44"/>
      <c r="D401" s="55">
        <f>IF('[1]E-ILeist'!$I36="","",'[1]E-ILeist'!$I36)</f>
        <v>1328.0379094428572</v>
      </c>
      <c r="E401" s="51"/>
      <c r="F401" s="56">
        <f>IF(AND('1xDgl'!I16="",OR('1xDgl'!I27="",'1xDgl'!C36=""),'1xDgl'!I32="",'1xDgl'!I35=""),"-",SUM('1xDgl'!I16,'1xDgl'!I27*'1xDgl'!C36,'1xDgl'!I32,'1xDgl'!I35))</f>
        <v>0</v>
      </c>
      <c r="H401" s="57" t="str">
        <f>IF('1xDgl'!$I36="","",'1xDgl'!$I36)</f>
        <v/>
      </c>
      <c r="I401" s="53" t="str">
        <f t="shared" si="97"/>
        <v>Fehlt</v>
      </c>
      <c r="J401" s="30">
        <f>IF(OR(B401="-",N401="",AND(P401="",T401="")),"-",IF(I401="Richtig!",1,IF(I401="Formel: OK",0.5,IF(OR(I401="Falsch",I401="Fehlt"),0,""))))</f>
        <v>0</v>
      </c>
      <c r="K401" s="23" t="str">
        <f t="shared" si="100"/>
        <v>│</v>
      </c>
      <c r="L401" s="24">
        <f t="shared" si="99"/>
        <v>1</v>
      </c>
      <c r="M401" s="1"/>
      <c r="N401" s="882" t="str">
        <f t="shared" ref="N401:N408" si="106">IF($L$1="","",$L$1)</f>
        <v>x</v>
      </c>
      <c r="P401" s="55">
        <f t="shared" si="105"/>
        <v>1328.03791</v>
      </c>
      <c r="Q401" s="51" t="str">
        <f t="shared" si="101"/>
        <v/>
      </c>
      <c r="R401" s="56">
        <f t="shared" si="102"/>
        <v>0</v>
      </c>
      <c r="S401" s="46" t="str">
        <f t="shared" si="103"/>
        <v/>
      </c>
      <c r="T401" s="57" t="str">
        <f t="shared" si="104"/>
        <v/>
      </c>
    </row>
    <row r="402" spans="1:20" s="46" customFormat="1" ht="12.75" x14ac:dyDescent="0.2">
      <c r="A402" s="58"/>
      <c r="B402" s="54" t="str">
        <f>IF('1xDgl'!B37="","-",'1xDgl'!B37&amp;" "&amp;FIXED('1xDgl'!C37*100,0)&amp;" %"&amp;'1xDgl'!D37)</f>
        <v>Variable Kosten insgesamt (inkl. 20 % MWSt)</v>
      </c>
      <c r="C402" s="44"/>
      <c r="D402" s="55">
        <f>IF('[1]E-ILeist'!$I37="","",'[1]E-ILeist'!$I37)</f>
        <v>1593.6454913314287</v>
      </c>
      <c r="E402" s="51"/>
      <c r="F402" s="56" t="str">
        <f>IF(OR('1xDgl'!I36="",'1xDgl'!C37=""),"-",'1xDgl'!I36+'1xDgl'!I36*'1xDgl'!C37)</f>
        <v>-</v>
      </c>
      <c r="H402" s="57" t="str">
        <f>IF('1xDgl'!$I37="","",'1xDgl'!$I37)</f>
        <v/>
      </c>
      <c r="I402" s="53" t="str">
        <f t="shared" si="97"/>
        <v>Fehlt</v>
      </c>
      <c r="J402" s="30">
        <f>IF(OR(B402="-",N402="",AND(P402="",T402="")),"-",IF(I402="Richtig!",1,IF(I402="Formel: OK",0.5,IF(OR(I402="Falsch",I402="Fehlt"),0,""))))</f>
        <v>0</v>
      </c>
      <c r="K402" s="23" t="str">
        <f t="shared" si="100"/>
        <v>│</v>
      </c>
      <c r="L402" s="24">
        <f t="shared" si="99"/>
        <v>1</v>
      </c>
      <c r="M402" s="1"/>
      <c r="N402" s="882" t="str">
        <f t="shared" si="106"/>
        <v>x</v>
      </c>
      <c r="P402" s="55">
        <f t="shared" si="105"/>
        <v>1593.6454900000001</v>
      </c>
      <c r="Q402" s="51" t="str">
        <f t="shared" si="101"/>
        <v/>
      </c>
      <c r="R402" s="56" t="str">
        <f t="shared" si="102"/>
        <v>-</v>
      </c>
      <c r="S402" s="46" t="str">
        <f t="shared" si="103"/>
        <v/>
      </c>
      <c r="T402" s="57" t="str">
        <f t="shared" si="104"/>
        <v/>
      </c>
    </row>
    <row r="403" spans="1:20" ht="12.75" x14ac:dyDescent="0.2">
      <c r="A403" s="18"/>
      <c r="B403" s="18"/>
      <c r="C403" s="18"/>
      <c r="D403" s="19"/>
      <c r="H403" s="17"/>
      <c r="I403" s="21" t="str">
        <f t="shared" si="97"/>
        <v/>
      </c>
      <c r="J403" s="21"/>
      <c r="K403" s="23" t="str">
        <f t="shared" si="100"/>
        <v/>
      </c>
      <c r="L403" s="24" t="str">
        <f t="shared" si="99"/>
        <v/>
      </c>
      <c r="N403" s="883" t="str">
        <f t="shared" si="106"/>
        <v>x</v>
      </c>
      <c r="P403" s="19" t="str">
        <f t="shared" si="105"/>
        <v/>
      </c>
      <c r="Q403" s="1" t="str">
        <f t="shared" si="101"/>
        <v/>
      </c>
      <c r="R403" s="1" t="str">
        <f t="shared" si="102"/>
        <v/>
      </c>
      <c r="S403" s="1" t="str">
        <f t="shared" si="103"/>
        <v/>
      </c>
      <c r="T403" s="17" t="str">
        <f t="shared" si="104"/>
        <v/>
      </c>
    </row>
    <row r="404" spans="1:20" ht="12.75" x14ac:dyDescent="0.2">
      <c r="A404" s="17" t="s">
        <v>19</v>
      </c>
      <c r="B404" s="17" t="s">
        <v>57</v>
      </c>
      <c r="C404" s="18"/>
      <c r="D404" s="19"/>
      <c r="H404" s="17"/>
      <c r="I404" s="21" t="str">
        <f t="shared" si="97"/>
        <v/>
      </c>
      <c r="J404" s="21"/>
      <c r="K404" s="23" t="str">
        <f t="shared" si="100"/>
        <v/>
      </c>
      <c r="L404" s="24" t="str">
        <f t="shared" si="99"/>
        <v/>
      </c>
      <c r="N404" s="880" t="str">
        <f t="shared" si="106"/>
        <v>x</v>
      </c>
      <c r="P404" s="19" t="str">
        <f t="shared" si="105"/>
        <v/>
      </c>
      <c r="Q404" s="1" t="str">
        <f t="shared" si="101"/>
        <v/>
      </c>
      <c r="R404" s="1" t="str">
        <f t="shared" si="102"/>
        <v/>
      </c>
      <c r="S404" s="1" t="str">
        <f t="shared" si="103"/>
        <v/>
      </c>
      <c r="T404" s="17" t="str">
        <f t="shared" si="104"/>
        <v/>
      </c>
    </row>
    <row r="405" spans="1:20" s="46" customFormat="1" ht="12.75" x14ac:dyDescent="0.2">
      <c r="A405" s="43"/>
      <c r="B405" s="54" t="s">
        <v>58</v>
      </c>
      <c r="C405" s="44"/>
      <c r="D405" s="55">
        <f>IF('[1]E-ILeist'!$H41="","",'[1]E-ILeist'!$H41)</f>
        <v>6.0060000000000002</v>
      </c>
      <c r="E405" s="51"/>
      <c r="F405" s="51" t="s">
        <v>223</v>
      </c>
      <c r="H405" s="57" t="str">
        <f>IF('1xDgl'!$H41="","",'1xDgl'!$H41)</f>
        <v/>
      </c>
      <c r="I405" s="53" t="str">
        <f t="shared" si="97"/>
        <v>Fehlt</v>
      </c>
      <c r="J405" s="30">
        <f>IF(OR(B405="-",N405="",AND(P405="",T405="")),"-",IF(I405="Richtig!",1,IF(I405="Formel: OK",0.5,IF(OR(I405="Falsch",I405="Fehlt"),0,""))))</f>
        <v>0</v>
      </c>
      <c r="K405" s="23" t="str">
        <f t="shared" si="100"/>
        <v>│</v>
      </c>
      <c r="L405" s="24">
        <f t="shared" si="99"/>
        <v>1</v>
      </c>
      <c r="M405" s="1"/>
      <c r="N405" s="882" t="str">
        <f t="shared" si="106"/>
        <v>x</v>
      </c>
      <c r="P405" s="55">
        <f t="shared" si="105"/>
        <v>6.0060000000000002</v>
      </c>
      <c r="Q405" s="51" t="str">
        <f t="shared" si="101"/>
        <v/>
      </c>
      <c r="R405" s="51" t="str">
        <f t="shared" si="102"/>
        <v>-</v>
      </c>
      <c r="S405" s="46" t="str">
        <f t="shared" si="103"/>
        <v/>
      </c>
      <c r="T405" s="57" t="str">
        <f t="shared" si="104"/>
        <v/>
      </c>
    </row>
    <row r="406" spans="1:20" s="46" customFormat="1" ht="12.75" x14ac:dyDescent="0.2">
      <c r="A406" s="58"/>
      <c r="B406" s="54" t="s">
        <v>59</v>
      </c>
      <c r="C406" s="44"/>
      <c r="D406" s="55">
        <f>IF('[1]E-ILeist'!$I41="","",'[1]E-ILeist'!$I41)</f>
        <v>276155.88</v>
      </c>
      <c r="E406" s="51"/>
      <c r="F406" s="51" t="s">
        <v>223</v>
      </c>
      <c r="H406" s="57" t="str">
        <f>IF('1xDgl'!$I41="","",'1xDgl'!$I41)</f>
        <v/>
      </c>
      <c r="I406" s="53" t="str">
        <f t="shared" si="97"/>
        <v>Fehlt</v>
      </c>
      <c r="J406" s="30">
        <f>IF(OR(B406="-",N406="",AND(P406="",T406="")),"-",IF(I406="Richtig!",1,IF(I406="Formel: OK",0.5,IF(OR(I406="Falsch",I406="Fehlt"),0,""))))</f>
        <v>0</v>
      </c>
      <c r="K406" s="23" t="str">
        <f t="shared" si="100"/>
        <v>│</v>
      </c>
      <c r="L406" s="24">
        <f t="shared" si="99"/>
        <v>1</v>
      </c>
      <c r="M406" s="1"/>
      <c r="N406" s="882" t="str">
        <f t="shared" si="106"/>
        <v>x</v>
      </c>
      <c r="P406" s="55">
        <f t="shared" si="105"/>
        <v>276155.88</v>
      </c>
      <c r="Q406" s="51" t="str">
        <f t="shared" si="101"/>
        <v/>
      </c>
      <c r="R406" s="51" t="str">
        <f t="shared" si="102"/>
        <v>-</v>
      </c>
      <c r="S406" s="46" t="str">
        <f t="shared" si="103"/>
        <v/>
      </c>
      <c r="T406" s="57" t="str">
        <f t="shared" si="104"/>
        <v/>
      </c>
    </row>
    <row r="407" spans="1:20" ht="12.75" x14ac:dyDescent="0.2">
      <c r="A407" s="18"/>
      <c r="B407" s="18"/>
      <c r="C407" s="18"/>
      <c r="D407" s="19"/>
      <c r="H407" s="17"/>
      <c r="I407" s="21" t="str">
        <f t="shared" si="97"/>
        <v/>
      </c>
      <c r="J407" s="21"/>
      <c r="K407" s="23" t="str">
        <f t="shared" si="100"/>
        <v/>
      </c>
      <c r="L407" s="24" t="str">
        <f t="shared" si="99"/>
        <v/>
      </c>
      <c r="N407" s="883" t="str">
        <f t="shared" si="106"/>
        <v>x</v>
      </c>
      <c r="P407" s="19" t="str">
        <f t="shared" si="105"/>
        <v/>
      </c>
      <c r="Q407" s="1" t="str">
        <f t="shared" si="101"/>
        <v/>
      </c>
      <c r="R407" s="1" t="str">
        <f t="shared" si="102"/>
        <v/>
      </c>
      <c r="S407" s="1" t="str">
        <f t="shared" si="103"/>
        <v/>
      </c>
      <c r="T407" s="17" t="str">
        <f t="shared" si="104"/>
        <v/>
      </c>
    </row>
    <row r="408" spans="1:20" ht="12.75" x14ac:dyDescent="0.2">
      <c r="A408" s="17" t="s">
        <v>23</v>
      </c>
      <c r="B408" s="17" t="s">
        <v>60</v>
      </c>
      <c r="C408" s="18"/>
      <c r="D408" s="19"/>
      <c r="H408" s="17"/>
      <c r="I408" s="21" t="str">
        <f t="shared" si="97"/>
        <v/>
      </c>
      <c r="J408" s="21"/>
      <c r="K408" s="23" t="str">
        <f t="shared" si="100"/>
        <v/>
      </c>
      <c r="L408" s="24" t="str">
        <f t="shared" si="99"/>
        <v/>
      </c>
      <c r="N408" s="880" t="str">
        <f t="shared" si="106"/>
        <v>x</v>
      </c>
      <c r="P408" s="19" t="str">
        <f t="shared" si="105"/>
        <v/>
      </c>
      <c r="Q408" s="1" t="str">
        <f t="shared" si="101"/>
        <v/>
      </c>
      <c r="R408" s="1" t="str">
        <f t="shared" si="102"/>
        <v/>
      </c>
      <c r="S408" s="1" t="str">
        <f t="shared" si="103"/>
        <v/>
      </c>
      <c r="T408" s="17" t="str">
        <f t="shared" si="104"/>
        <v/>
      </c>
    </row>
    <row r="409" spans="1:20" s="46" customFormat="1" ht="12.75" hidden="1" customHeight="1" x14ac:dyDescent="0.2">
      <c r="B409" s="49" t="str">
        <f>IF('1xDgl'!B44="","-",'1xDgl'!B44)</f>
        <v>VK Maschinen</v>
      </c>
      <c r="C409" s="44"/>
      <c r="D409" s="55">
        <f>IF('[1]E-ILeist'!$E44="","",'[1]E-ILeist'!$E44)</f>
        <v>1593.6454913314287</v>
      </c>
      <c r="E409" s="51"/>
      <c r="F409" s="56" t="str">
        <f>IF('1xDgl'!I37="","-",'1xDgl'!I37)</f>
        <v>-</v>
      </c>
      <c r="H409" s="57">
        <f>IF('1xDgl'!$E44="","",'1xDgl'!$E44)</f>
        <v>0</v>
      </c>
      <c r="I409" s="53" t="str">
        <f t="shared" si="97"/>
        <v>Falsch</v>
      </c>
      <c r="J409" s="30" t="str">
        <f t="shared" ref="J409:J421" si="107">IF(OR(B409="-",N409="",AND(P409="",T409="")),"-",IF(I409="Richtig!",1,IF(I409="Formel: OK",0.5,IF(OR(I409="Falsch",I409="Fehlt"),0,""))))</f>
        <v>-</v>
      </c>
      <c r="K409" s="23" t="str">
        <f t="shared" si="100"/>
        <v/>
      </c>
      <c r="L409" s="24" t="str">
        <f t="shared" si="99"/>
        <v/>
      </c>
      <c r="M409" s="1"/>
      <c r="N409" s="882"/>
      <c r="P409" s="55">
        <f t="shared" si="105"/>
        <v>1593.6454900000001</v>
      </c>
      <c r="Q409" s="51" t="str">
        <f t="shared" si="101"/>
        <v/>
      </c>
      <c r="R409" s="56" t="str">
        <f t="shared" si="102"/>
        <v>-</v>
      </c>
      <c r="S409" s="46" t="str">
        <f t="shared" si="103"/>
        <v/>
      </c>
      <c r="T409" s="57">
        <f t="shared" si="104"/>
        <v>0</v>
      </c>
    </row>
    <row r="410" spans="1:20" s="46" customFormat="1" ht="12.75" hidden="1" customHeight="1" x14ac:dyDescent="0.2">
      <c r="B410" s="49" t="str">
        <f>IF('1xDgl'!B47="","-",'1xDgl'!B47)</f>
        <v>-</v>
      </c>
      <c r="C410" s="44"/>
      <c r="D410" s="50" t="str">
        <f>IF('[1]E-ILeist'!$E47="","",'[1]E-ILeist'!$E47)</f>
        <v/>
      </c>
      <c r="E410" s="51"/>
      <c r="F410" s="51"/>
      <c r="H410" s="52" t="str">
        <f>IF('1xDgl'!$E47="","",'1xDgl'!$E47)</f>
        <v/>
      </c>
      <c r="I410" s="53" t="str">
        <f t="shared" si="97"/>
        <v/>
      </c>
      <c r="J410" s="30" t="str">
        <f t="shared" si="107"/>
        <v>-</v>
      </c>
      <c r="K410" s="23" t="str">
        <f t="shared" si="100"/>
        <v/>
      </c>
      <c r="L410" s="24" t="str">
        <f t="shared" si="99"/>
        <v/>
      </c>
      <c r="M410" s="1"/>
      <c r="N410" s="882"/>
      <c r="P410" s="50" t="str">
        <f t="shared" si="105"/>
        <v/>
      </c>
      <c r="Q410" s="51" t="str">
        <f t="shared" si="101"/>
        <v/>
      </c>
      <c r="R410" s="51" t="str">
        <f t="shared" si="102"/>
        <v/>
      </c>
      <c r="S410" s="46" t="str">
        <f t="shared" si="103"/>
        <v/>
      </c>
      <c r="T410" s="52" t="str">
        <f t="shared" si="104"/>
        <v/>
      </c>
    </row>
    <row r="411" spans="1:20" s="46" customFormat="1" ht="12.75" hidden="1" customHeight="1" x14ac:dyDescent="0.2">
      <c r="B411" s="49" t="str">
        <f>IF('1xDgl'!B48="","-",'1xDgl'!B48)</f>
        <v>-</v>
      </c>
      <c r="C411" s="44"/>
      <c r="D411" s="50" t="str">
        <f>IF('[1]E-ILeist'!$E48="","",'[1]E-ILeist'!$E48)</f>
        <v/>
      </c>
      <c r="E411" s="51"/>
      <c r="F411" s="51"/>
      <c r="H411" s="52" t="str">
        <f>IF('1xDgl'!$E48="","",'1xDgl'!$E48)</f>
        <v/>
      </c>
      <c r="I411" s="53" t="str">
        <f t="shared" si="97"/>
        <v/>
      </c>
      <c r="J411" s="30" t="str">
        <f t="shared" si="107"/>
        <v>-</v>
      </c>
      <c r="K411" s="23" t="str">
        <f t="shared" si="100"/>
        <v/>
      </c>
      <c r="L411" s="24" t="str">
        <f t="shared" si="99"/>
        <v/>
      </c>
      <c r="M411" s="1"/>
      <c r="N411" s="882"/>
      <c r="P411" s="50" t="str">
        <f t="shared" si="105"/>
        <v/>
      </c>
      <c r="Q411" s="51" t="str">
        <f t="shared" si="101"/>
        <v/>
      </c>
      <c r="R411" s="51" t="str">
        <f t="shared" si="102"/>
        <v/>
      </c>
      <c r="S411" s="46" t="str">
        <f t="shared" si="103"/>
        <v/>
      </c>
      <c r="T411" s="52" t="str">
        <f t="shared" si="104"/>
        <v/>
      </c>
    </row>
    <row r="412" spans="1:20" s="46" customFormat="1" ht="12.75" hidden="1" customHeight="1" x14ac:dyDescent="0.2">
      <c r="B412" s="54" t="str">
        <f>IF('1xDgl'!B49="","-",'1xDgl'!B49)</f>
        <v>Summe Aussaat/Übersaat</v>
      </c>
      <c r="C412" s="44"/>
      <c r="D412" s="55" t="str">
        <f>IF('[1]E-ILeist'!$E49="","",'[1]E-ILeist'!$E49)</f>
        <v/>
      </c>
      <c r="E412" s="51"/>
      <c r="F412" s="56" t="str">
        <f>IF(AND('1xDgl'!E47="",'1xDgl'!E48=""),"-",SUM('1xDgl'!E47:E48))</f>
        <v>-</v>
      </c>
      <c r="H412" s="57" t="str">
        <f>IF('1xDgl'!$E49="","",'1xDgl'!$E49)</f>
        <v/>
      </c>
      <c r="I412" s="53" t="str">
        <f t="shared" si="97"/>
        <v/>
      </c>
      <c r="J412" s="30" t="str">
        <f t="shared" si="107"/>
        <v>-</v>
      </c>
      <c r="K412" s="23" t="str">
        <f t="shared" si="100"/>
        <v/>
      </c>
      <c r="L412" s="24" t="str">
        <f t="shared" si="99"/>
        <v/>
      </c>
      <c r="M412" s="1"/>
      <c r="N412" s="882"/>
      <c r="P412" s="55" t="str">
        <f t="shared" si="105"/>
        <v/>
      </c>
      <c r="Q412" s="51" t="str">
        <f t="shared" si="101"/>
        <v/>
      </c>
      <c r="R412" s="56" t="str">
        <f t="shared" si="102"/>
        <v>-</v>
      </c>
      <c r="S412" s="46" t="str">
        <f t="shared" si="103"/>
        <v/>
      </c>
      <c r="T412" s="57" t="str">
        <f t="shared" si="104"/>
        <v/>
      </c>
    </row>
    <row r="413" spans="1:20" s="46" customFormat="1" ht="12.75" hidden="1" customHeight="1" x14ac:dyDescent="0.2">
      <c r="B413" s="49" t="str">
        <f>IF('1xDgl'!B52="","-",'1xDgl'!B52)</f>
        <v>-</v>
      </c>
      <c r="C413" s="44"/>
      <c r="D413" s="50" t="str">
        <f>IF('[1]E-ILeist'!$E52="","",'[1]E-ILeist'!$E52)</f>
        <v/>
      </c>
      <c r="E413" s="51"/>
      <c r="F413" s="51"/>
      <c r="H413" s="52" t="str">
        <f>IF('1xDgl'!$E52="","",'1xDgl'!$E52)</f>
        <v/>
      </c>
      <c r="I413" s="53" t="str">
        <f t="shared" si="97"/>
        <v/>
      </c>
      <c r="J413" s="30" t="str">
        <f t="shared" si="107"/>
        <v>-</v>
      </c>
      <c r="K413" s="23" t="str">
        <f t="shared" si="100"/>
        <v/>
      </c>
      <c r="L413" s="24" t="str">
        <f t="shared" si="99"/>
        <v/>
      </c>
      <c r="M413" s="1"/>
      <c r="N413" s="882"/>
      <c r="P413" s="50" t="str">
        <f t="shared" si="105"/>
        <v/>
      </c>
      <c r="Q413" s="51" t="str">
        <f t="shared" si="101"/>
        <v/>
      </c>
      <c r="R413" s="51" t="str">
        <f t="shared" si="102"/>
        <v/>
      </c>
      <c r="S413" s="46" t="str">
        <f t="shared" si="103"/>
        <v/>
      </c>
      <c r="T413" s="52" t="str">
        <f t="shared" si="104"/>
        <v/>
      </c>
    </row>
    <row r="414" spans="1:20" s="46" customFormat="1" ht="12.75" hidden="1" customHeight="1" x14ac:dyDescent="0.2">
      <c r="B414" s="49" t="str">
        <f>IF('1xDgl'!B53="","-",'1xDgl'!B53)</f>
        <v>-</v>
      </c>
      <c r="C414" s="44"/>
      <c r="D414" s="50" t="str">
        <f>IF('[1]E-ILeist'!$E53="","",'[1]E-ILeist'!$E53)</f>
        <v/>
      </c>
      <c r="E414" s="51"/>
      <c r="F414" s="51"/>
      <c r="H414" s="52" t="str">
        <f>IF('1xDgl'!$E53="","",'1xDgl'!$E53)</f>
        <v/>
      </c>
      <c r="I414" s="53" t="str">
        <f t="shared" si="97"/>
        <v/>
      </c>
      <c r="J414" s="30" t="str">
        <f t="shared" si="107"/>
        <v>-</v>
      </c>
      <c r="K414" s="23" t="str">
        <f t="shared" si="100"/>
        <v/>
      </c>
      <c r="L414" s="24" t="str">
        <f t="shared" si="99"/>
        <v/>
      </c>
      <c r="M414" s="1"/>
      <c r="N414" s="882"/>
      <c r="P414" s="50" t="str">
        <f t="shared" si="105"/>
        <v/>
      </c>
      <c r="Q414" s="51" t="str">
        <f t="shared" si="101"/>
        <v/>
      </c>
      <c r="R414" s="51" t="str">
        <f t="shared" si="102"/>
        <v/>
      </c>
      <c r="S414" s="46" t="str">
        <f t="shared" si="103"/>
        <v/>
      </c>
      <c r="T414" s="52" t="str">
        <f t="shared" si="104"/>
        <v/>
      </c>
    </row>
    <row r="415" spans="1:20" s="46" customFormat="1" ht="12.75" hidden="1" customHeight="1" x14ac:dyDescent="0.2">
      <c r="B415" s="49" t="str">
        <f>IF('1xDgl'!B54="","-",'1xDgl'!B54)</f>
        <v>-</v>
      </c>
      <c r="C415" s="44"/>
      <c r="D415" s="50" t="str">
        <f>IF('[1]E-ILeist'!$E54="","",'[1]E-ILeist'!$E54)</f>
        <v/>
      </c>
      <c r="E415" s="51"/>
      <c r="F415" s="51"/>
      <c r="H415" s="52" t="str">
        <f>IF('1xDgl'!$E54="","",'1xDgl'!$E54)</f>
        <v/>
      </c>
      <c r="I415" s="53" t="str">
        <f t="shared" si="97"/>
        <v/>
      </c>
      <c r="J415" s="30" t="str">
        <f t="shared" si="107"/>
        <v>-</v>
      </c>
      <c r="K415" s="23" t="str">
        <f t="shared" si="100"/>
        <v/>
      </c>
      <c r="L415" s="24" t="str">
        <f t="shared" si="99"/>
        <v/>
      </c>
      <c r="M415" s="1"/>
      <c r="N415" s="882"/>
      <c r="P415" s="50" t="str">
        <f t="shared" si="105"/>
        <v/>
      </c>
      <c r="Q415" s="51" t="str">
        <f t="shared" si="101"/>
        <v/>
      </c>
      <c r="R415" s="51" t="str">
        <f t="shared" si="102"/>
        <v/>
      </c>
      <c r="S415" s="46" t="str">
        <f t="shared" si="103"/>
        <v/>
      </c>
      <c r="T415" s="52" t="str">
        <f t="shared" si="104"/>
        <v/>
      </c>
    </row>
    <row r="416" spans="1:20" s="46" customFormat="1" ht="12.75" hidden="1" customHeight="1" x14ac:dyDescent="0.2">
      <c r="B416" s="54" t="str">
        <f>IF('1xDgl'!B55="","-",'1xDgl'!B55)</f>
        <v>Summe Mineraldünger</v>
      </c>
      <c r="C416" s="44"/>
      <c r="D416" s="55" t="str">
        <f>IF('[1]E-ILeist'!$E55="","",'[1]E-ILeist'!$E55)</f>
        <v/>
      </c>
      <c r="E416" s="51"/>
      <c r="F416" s="56" t="str">
        <f>IF(AND('1xDgl'!E52="",'1xDgl'!E53="",'1xDgl'!E54=""),"-",SUM('1xDgl'!E52:E54))</f>
        <v>-</v>
      </c>
      <c r="H416" s="57" t="str">
        <f>IF('1xDgl'!$E55="","",'1xDgl'!$E55)</f>
        <v/>
      </c>
      <c r="I416" s="53" t="str">
        <f t="shared" si="97"/>
        <v/>
      </c>
      <c r="J416" s="30" t="str">
        <f t="shared" si="107"/>
        <v>-</v>
      </c>
      <c r="K416" s="23" t="str">
        <f t="shared" si="100"/>
        <v/>
      </c>
      <c r="L416" s="24" t="str">
        <f t="shared" si="99"/>
        <v/>
      </c>
      <c r="M416" s="1"/>
      <c r="N416" s="882"/>
      <c r="P416" s="55" t="str">
        <f t="shared" si="105"/>
        <v/>
      </c>
      <c r="Q416" s="51" t="str">
        <f t="shared" si="101"/>
        <v/>
      </c>
      <c r="R416" s="56" t="str">
        <f t="shared" si="102"/>
        <v>-</v>
      </c>
      <c r="S416" s="46" t="str">
        <f t="shared" si="103"/>
        <v/>
      </c>
      <c r="T416" s="57" t="str">
        <f t="shared" si="104"/>
        <v/>
      </c>
    </row>
    <row r="417" spans="1:20" s="46" customFormat="1" ht="12.75" hidden="1" customHeight="1" x14ac:dyDescent="0.2">
      <c r="B417" s="54" t="str">
        <f>IF('1xDgl'!B61="","-",'1xDgl'!B61)</f>
        <v>Summe sonstige variable Kosten</v>
      </c>
      <c r="C417" s="44"/>
      <c r="D417" s="50" t="str">
        <f>IF('[1]E-ILeist'!$E61="","",'[1]E-ILeist'!$E61)</f>
        <v/>
      </c>
      <c r="E417" s="51"/>
      <c r="F417" s="51"/>
      <c r="H417" s="52" t="str">
        <f>IF('1xDgl'!$E61="","",'1xDgl'!$E61)</f>
        <v/>
      </c>
      <c r="I417" s="53" t="str">
        <f t="shared" si="97"/>
        <v/>
      </c>
      <c r="J417" s="30" t="str">
        <f t="shared" si="107"/>
        <v>-</v>
      </c>
      <c r="K417" s="23" t="str">
        <f t="shared" si="100"/>
        <v/>
      </c>
      <c r="L417" s="24" t="str">
        <f t="shared" si="99"/>
        <v/>
      </c>
      <c r="M417" s="1"/>
      <c r="N417" s="882"/>
      <c r="P417" s="50" t="str">
        <f t="shared" si="105"/>
        <v/>
      </c>
      <c r="Q417" s="51" t="str">
        <f t="shared" si="101"/>
        <v/>
      </c>
      <c r="R417" s="51" t="str">
        <f t="shared" si="102"/>
        <v/>
      </c>
      <c r="S417" s="46" t="str">
        <f t="shared" si="103"/>
        <v/>
      </c>
      <c r="T417" s="52" t="str">
        <f t="shared" si="104"/>
        <v/>
      </c>
    </row>
    <row r="418" spans="1:20" s="46" customFormat="1" ht="12.75" x14ac:dyDescent="0.2">
      <c r="B418" s="54" t="str">
        <f>IF('1xDgl'!B64="","-",'1xDgl'!B64)</f>
        <v>Summe variable Kosten</v>
      </c>
      <c r="C418" s="44"/>
      <c r="D418" s="55">
        <f>IF('[1]E-ILeist'!$E64="","",'[1]E-ILeist'!$E64)</f>
        <v>1593.6454913314287</v>
      </c>
      <c r="E418" s="51"/>
      <c r="F418" s="56">
        <f>IF(AND('1xDgl'!E44="",'1xDgl'!E49="",'1xDgl'!E55="",'1xDgl'!E61=""),"-",SUM('1xDgl'!E44,'1xDgl'!E49,'1xDgl'!E55,'1xDgl'!E61))</f>
        <v>0</v>
      </c>
      <c r="H418" s="57" t="str">
        <f>IF('1xDgl'!$E64="","",'1xDgl'!$E64)</f>
        <v/>
      </c>
      <c r="I418" s="53" t="str">
        <f t="shared" si="97"/>
        <v>Fehlt</v>
      </c>
      <c r="J418" s="30">
        <f t="shared" si="107"/>
        <v>0</v>
      </c>
      <c r="K418" s="23" t="str">
        <f t="shared" si="100"/>
        <v>│</v>
      </c>
      <c r="L418" s="24">
        <f t="shared" si="99"/>
        <v>1</v>
      </c>
      <c r="M418" s="1"/>
      <c r="N418" s="882" t="str">
        <f>IF($L$1="","",$L$1)</f>
        <v>x</v>
      </c>
      <c r="P418" s="55">
        <f t="shared" si="105"/>
        <v>1593.6454900000001</v>
      </c>
      <c r="Q418" s="51" t="str">
        <f t="shared" si="101"/>
        <v/>
      </c>
      <c r="R418" s="56">
        <f t="shared" si="102"/>
        <v>0</v>
      </c>
      <c r="S418" s="46" t="str">
        <f t="shared" si="103"/>
        <v/>
      </c>
      <c r="T418" s="57" t="str">
        <f t="shared" si="104"/>
        <v/>
      </c>
    </row>
    <row r="419" spans="1:20" s="46" customFormat="1" ht="12.75" x14ac:dyDescent="0.2">
      <c r="B419" s="54" t="str">
        <f>IF('1xDgl'!B65="","-",'1xDgl'!B65)</f>
        <v>AK-Stunden/ha</v>
      </c>
      <c r="C419" s="44"/>
      <c r="D419" s="55">
        <f>IF('[1]E-ILeist'!$E65="","",'[1]E-ILeist'!$E65)</f>
        <v>67.484999999999999</v>
      </c>
      <c r="E419" s="51"/>
      <c r="F419" s="56">
        <f>IF('1xDgl'!C36="","-",SUM('1xDgl'!C16,'1xDgl'!C27*'1xDgl'!C36))</f>
        <v>67.484999999999999</v>
      </c>
      <c r="H419" s="57" t="str">
        <f>IF('1xDgl'!$E65="","",'1xDgl'!$E65)</f>
        <v/>
      </c>
      <c r="I419" s="53" t="str">
        <f t="shared" si="97"/>
        <v>Fehlt</v>
      </c>
      <c r="J419" s="30">
        <f t="shared" si="107"/>
        <v>0</v>
      </c>
      <c r="K419" s="23" t="str">
        <f t="shared" si="100"/>
        <v>│</v>
      </c>
      <c r="L419" s="24">
        <f t="shared" si="99"/>
        <v>1</v>
      </c>
      <c r="M419" s="1"/>
      <c r="N419" s="882" t="str">
        <f>IF($L$1="","",$L$1)</f>
        <v>x</v>
      </c>
      <c r="P419" s="55">
        <f t="shared" si="105"/>
        <v>67.484999999999999</v>
      </c>
      <c r="Q419" s="51" t="str">
        <f t="shared" si="101"/>
        <v/>
      </c>
      <c r="R419" s="56">
        <f t="shared" si="102"/>
        <v>67.484999999999999</v>
      </c>
      <c r="S419" s="46" t="str">
        <f t="shared" si="103"/>
        <v/>
      </c>
      <c r="T419" s="57" t="str">
        <f t="shared" si="104"/>
        <v/>
      </c>
    </row>
    <row r="420" spans="1:20" s="46" customFormat="1" ht="12.75" x14ac:dyDescent="0.2">
      <c r="B420" s="54" t="str">
        <f>IF('1xDgl'!B66="","-",'1xDgl'!B66)</f>
        <v>Kosten je MJ NEL/Nettoertrag</v>
      </c>
      <c r="C420" s="44"/>
      <c r="D420" s="59">
        <f>IF('[1]E-ILeist'!$E66="","",'[1]E-ILeist'!$E66)</f>
        <v>5.7708186091544695E-3</v>
      </c>
      <c r="E420" s="51"/>
      <c r="F420" s="60" t="str">
        <f>IF(OR('1xDgl'!E64="",'1xDgl'!I41=""),"-",'1xDgl'!E64/'1xDgl'!I41)</f>
        <v>-</v>
      </c>
      <c r="H420" s="61" t="str">
        <f>IF('1xDgl'!$E66="","",'1xDgl'!$E66)</f>
        <v/>
      </c>
      <c r="I420" s="53" t="str">
        <f t="shared" si="97"/>
        <v>Fehlt</v>
      </c>
      <c r="J420" s="30">
        <f t="shared" si="107"/>
        <v>0</v>
      </c>
      <c r="K420" s="23" t="str">
        <f t="shared" si="100"/>
        <v>│</v>
      </c>
      <c r="L420" s="24">
        <f t="shared" si="99"/>
        <v>1</v>
      </c>
      <c r="M420" s="1"/>
      <c r="N420" s="882" t="str">
        <f>IF($L$1="","",$L$1)</f>
        <v>x</v>
      </c>
      <c r="P420" s="59">
        <f t="shared" si="105"/>
        <v>5.77E-3</v>
      </c>
      <c r="Q420" s="51" t="str">
        <f t="shared" si="101"/>
        <v/>
      </c>
      <c r="R420" s="60" t="str">
        <f t="shared" si="102"/>
        <v>-</v>
      </c>
      <c r="S420" s="46" t="str">
        <f t="shared" si="103"/>
        <v/>
      </c>
      <c r="T420" s="61" t="str">
        <f t="shared" si="104"/>
        <v/>
      </c>
    </row>
    <row r="421" spans="1:20" s="46" customFormat="1" ht="12.75" hidden="1" customHeight="1" x14ac:dyDescent="0.2">
      <c r="B421" s="54" t="str">
        <f>IF('1xDgl'!G64="","-",MID('1xDgl'!G63,1,13)&amp;'1xDgl'!G64&amp;" "&amp;FIXED('1xDgl'!G65*100,0)&amp;" % Trocksnmasse")</f>
        <v>Umgelegt auf 1kg Heu bei 86 % Trocksnmasse</v>
      </c>
      <c r="D421" s="59">
        <f>IF('[1]E-ILeist'!$G66="","",'[1]E-ILeist'!$G66)</f>
        <v>2.98072014472603E-2</v>
      </c>
      <c r="E421" s="51"/>
      <c r="F421" s="60" t="str">
        <f>IF(OR('1xDgl'!E64="",'1xDgl'!C40="",'1xDgl'!G65=""),"-",'1xDgl'!E64/('1xDgl'!C40/'1xDgl'!G65))</f>
        <v>-</v>
      </c>
      <c r="H421" s="61">
        <f>IF('1xDgl'!$G66="","",'1xDgl'!$G66)</f>
        <v>0</v>
      </c>
      <c r="I421" s="53" t="str">
        <f t="shared" si="97"/>
        <v>Falsch</v>
      </c>
      <c r="J421" s="30" t="str">
        <f t="shared" si="107"/>
        <v>-</v>
      </c>
      <c r="K421" s="23" t="str">
        <f t="shared" si="100"/>
        <v/>
      </c>
      <c r="L421" s="24" t="str">
        <f t="shared" si="99"/>
        <v/>
      </c>
      <c r="M421" s="1"/>
      <c r="N421" s="882"/>
      <c r="P421" s="59">
        <f t="shared" si="105"/>
        <v>2.981E-2</v>
      </c>
      <c r="Q421" s="51" t="str">
        <f t="shared" si="101"/>
        <v/>
      </c>
      <c r="R421" s="60" t="str">
        <f t="shared" si="102"/>
        <v>-</v>
      </c>
      <c r="S421" s="46" t="str">
        <f t="shared" si="103"/>
        <v/>
      </c>
      <c r="T421" s="61">
        <f t="shared" si="104"/>
        <v>0</v>
      </c>
    </row>
    <row r="422" spans="1:20" ht="12.75" customHeight="1" x14ac:dyDescent="0.2">
      <c r="A422" s="18"/>
      <c r="B422" s="18"/>
      <c r="C422" s="18"/>
      <c r="D422" s="19"/>
      <c r="H422" s="20"/>
      <c r="I422" s="21"/>
      <c r="J422" s="21"/>
      <c r="K422" s="23" t="str">
        <f t="shared" si="100"/>
        <v/>
      </c>
      <c r="L422" s="24" t="str">
        <f t="shared" si="99"/>
        <v/>
      </c>
      <c r="N422" s="883" t="str">
        <f t="shared" ref="N422:N473" si="108">IF($L$1="","",$L$1)</f>
        <v>x</v>
      </c>
      <c r="P422" s="19" t="str">
        <f t="shared" si="105"/>
        <v/>
      </c>
      <c r="Q422" s="1" t="str">
        <f t="shared" si="101"/>
        <v/>
      </c>
      <c r="R422" s="1" t="str">
        <f t="shared" si="102"/>
        <v/>
      </c>
      <c r="S422" s="1" t="str">
        <f t="shared" si="103"/>
        <v/>
      </c>
      <c r="T422" s="20" t="str">
        <f t="shared" si="104"/>
        <v/>
      </c>
    </row>
    <row r="423" spans="1:20" ht="22.5" x14ac:dyDescent="0.2">
      <c r="A423" s="10" t="s">
        <v>61</v>
      </c>
      <c r="B423" s="11"/>
      <c r="C423" s="12"/>
      <c r="D423" s="13" t="s">
        <v>4</v>
      </c>
      <c r="E423" s="13"/>
      <c r="F423" s="14" t="s">
        <v>5</v>
      </c>
      <c r="G423" s="12"/>
      <c r="H423" s="14" t="s">
        <v>6</v>
      </c>
      <c r="I423" s="15" t="str">
        <f>"Fehler"</f>
        <v>Fehler</v>
      </c>
      <c r="J423" s="16" t="s">
        <v>7</v>
      </c>
      <c r="K423" s="16"/>
      <c r="L423" s="16"/>
      <c r="N423" s="881" t="str">
        <f t="shared" si="108"/>
        <v>x</v>
      </c>
      <c r="P423" s="13" t="str">
        <f t="shared" si="105"/>
        <v>Ergebnis</v>
      </c>
      <c r="Q423" s="13" t="str">
        <f t="shared" si="101"/>
        <v/>
      </c>
      <c r="R423" s="14" t="str">
        <f t="shared" si="102"/>
        <v>Formel-
prüfung</v>
      </c>
      <c r="S423" s="12" t="str">
        <f t="shared" si="103"/>
        <v/>
      </c>
      <c r="T423" s="14" t="str">
        <f t="shared" si="104"/>
        <v>Deine Be-rechnung</v>
      </c>
    </row>
    <row r="424" spans="1:20" ht="12.75" customHeight="1" x14ac:dyDescent="0.2">
      <c r="A424" s="62" t="s">
        <v>9</v>
      </c>
      <c r="B424" s="62" t="s">
        <v>62</v>
      </c>
      <c r="C424" s="63"/>
      <c r="D424" s="64"/>
      <c r="E424" s="65"/>
      <c r="F424" s="65"/>
      <c r="G424" s="65"/>
      <c r="H424" s="66"/>
      <c r="I424" s="67"/>
      <c r="J424" s="67"/>
      <c r="K424" s="23" t="str">
        <f t="shared" si="100"/>
        <v/>
      </c>
      <c r="L424" s="24" t="str">
        <f t="shared" ref="L424:L445" si="109">IF(OR(B424="-",N424="",AND(P424="",T424="")),"",1)</f>
        <v/>
      </c>
      <c r="N424" s="880" t="str">
        <f t="shared" si="108"/>
        <v>x</v>
      </c>
      <c r="P424" s="64" t="str">
        <f t="shared" si="105"/>
        <v/>
      </c>
      <c r="Q424" s="65" t="str">
        <f t="shared" si="101"/>
        <v/>
      </c>
      <c r="R424" s="65" t="str">
        <f t="shared" si="102"/>
        <v/>
      </c>
      <c r="S424" s="65" t="str">
        <f t="shared" si="103"/>
        <v/>
      </c>
      <c r="T424" s="66" t="str">
        <f t="shared" si="104"/>
        <v/>
      </c>
    </row>
    <row r="425" spans="1:20" ht="12.75" customHeight="1" x14ac:dyDescent="0.2">
      <c r="A425" s="63"/>
      <c r="B425" s="63" t="s">
        <v>63</v>
      </c>
      <c r="C425" s="63"/>
      <c r="D425" s="68">
        <f>IF('[1]E-MKK1'!$E12="","",'[1]E-MKK1'!$E12)</f>
        <v>5</v>
      </c>
      <c r="E425" s="69"/>
      <c r="F425" s="69"/>
      <c r="G425" s="65"/>
      <c r="H425" s="70" t="str">
        <f>IF('MKK1'!$D8="","",'MKK1'!$D8)</f>
        <v/>
      </c>
      <c r="I425" s="71" t="str">
        <f>IF(T425=P425,"Richtig!",IF(T425="","Fehlt","Falsch"))</f>
        <v>Fehlt</v>
      </c>
      <c r="J425" s="30">
        <f>IF(OR(B425="-",N425="",AND(P425="",T425="")),"-",IF(I425="Richtig!",1,IF(I425="Formel: OK",0.5,IF(OR(I425="Falsch",I425="Fehlt"),0,""))))</f>
        <v>0</v>
      </c>
      <c r="K425" s="23" t="str">
        <f t="shared" si="100"/>
        <v>│</v>
      </c>
      <c r="L425" s="24">
        <f t="shared" si="109"/>
        <v>1</v>
      </c>
      <c r="N425" s="882" t="str">
        <f t="shared" si="108"/>
        <v>x</v>
      </c>
      <c r="P425" s="68">
        <f t="shared" si="105"/>
        <v>5</v>
      </c>
      <c r="Q425" s="69" t="str">
        <f t="shared" si="101"/>
        <v/>
      </c>
      <c r="R425" s="69" t="str">
        <f t="shared" si="102"/>
        <v/>
      </c>
      <c r="S425" s="65" t="str">
        <f t="shared" si="103"/>
        <v/>
      </c>
      <c r="T425" s="70" t="str">
        <f t="shared" si="104"/>
        <v/>
      </c>
    </row>
    <row r="426" spans="1:20" ht="12.75" customHeight="1" x14ac:dyDescent="0.2">
      <c r="A426" s="63"/>
      <c r="B426" s="63" t="str">
        <f>"Zeitwert am 1. 1."&amp;[1]MKK1!G21</f>
        <v>Zeitwert am 1. 1.2019</v>
      </c>
      <c r="C426" s="63"/>
      <c r="D426" s="68">
        <f>IF('[1]E-MKK1'!$E13="","",'[1]E-MKK1'!$E13)</f>
        <v>19046.666666666664</v>
      </c>
      <c r="E426" s="69"/>
      <c r="F426" s="69"/>
      <c r="G426" s="65"/>
      <c r="H426" s="70" t="str">
        <f>IF('MKK1'!$D9="","",'MKK1'!$D9)</f>
        <v/>
      </c>
      <c r="I426" s="71" t="str">
        <f>IF(T426=P426,"Richtig!",IF(T426="","Fehlt","Falsch"))</f>
        <v>Fehlt</v>
      </c>
      <c r="J426" s="30">
        <f>IF(OR(B426="-",N426="",AND(P426="",T426="")),"-",IF(I426="Richtig!",1,IF(I426="Formel: OK",0.5,IF(OR(I426="Falsch",I426="Fehlt"),0,""))))</f>
        <v>0</v>
      </c>
      <c r="K426" s="23" t="str">
        <f t="shared" si="100"/>
        <v>│</v>
      </c>
      <c r="L426" s="24">
        <f t="shared" si="109"/>
        <v>1</v>
      </c>
      <c r="N426" s="882" t="str">
        <f t="shared" si="108"/>
        <v>x</v>
      </c>
      <c r="P426" s="68">
        <f t="shared" si="105"/>
        <v>19046.666669999999</v>
      </c>
      <c r="Q426" s="69" t="str">
        <f t="shared" si="101"/>
        <v/>
      </c>
      <c r="R426" s="69" t="str">
        <f t="shared" si="102"/>
        <v/>
      </c>
      <c r="S426" s="65" t="str">
        <f t="shared" si="103"/>
        <v/>
      </c>
      <c r="T426" s="70" t="str">
        <f t="shared" si="104"/>
        <v/>
      </c>
    </row>
    <row r="427" spans="1:20" ht="12.75" x14ac:dyDescent="0.2">
      <c r="A427" s="18"/>
      <c r="B427" s="18"/>
      <c r="C427" s="18"/>
      <c r="D427" s="19"/>
      <c r="H427" s="17"/>
      <c r="I427" s="21"/>
      <c r="J427" s="21"/>
      <c r="K427" s="23" t="str">
        <f t="shared" si="100"/>
        <v/>
      </c>
      <c r="L427" s="24" t="str">
        <f t="shared" si="109"/>
        <v/>
      </c>
      <c r="N427" s="883" t="str">
        <f t="shared" si="108"/>
        <v>x</v>
      </c>
      <c r="P427" s="19" t="str">
        <f t="shared" si="105"/>
        <v/>
      </c>
      <c r="Q427" s="1" t="str">
        <f t="shared" si="101"/>
        <v/>
      </c>
      <c r="R427" s="1" t="str">
        <f t="shared" si="102"/>
        <v/>
      </c>
      <c r="S427" s="1" t="str">
        <f t="shared" si="103"/>
        <v/>
      </c>
      <c r="T427" s="17" t="str">
        <f t="shared" si="104"/>
        <v/>
      </c>
    </row>
    <row r="428" spans="1:20" ht="12.75" x14ac:dyDescent="0.2">
      <c r="A428" s="17" t="s">
        <v>12</v>
      </c>
      <c r="B428" s="17" t="s">
        <v>64</v>
      </c>
      <c r="C428" s="18"/>
      <c r="D428" s="19"/>
      <c r="H428" s="17"/>
      <c r="I428" s="21"/>
      <c r="J428" s="21"/>
      <c r="K428" s="23" t="str">
        <f t="shared" si="100"/>
        <v/>
      </c>
      <c r="L428" s="24" t="str">
        <f t="shared" si="109"/>
        <v/>
      </c>
      <c r="N428" s="880" t="str">
        <f t="shared" si="108"/>
        <v>x</v>
      </c>
      <c r="P428" s="19" t="str">
        <f t="shared" si="105"/>
        <v/>
      </c>
      <c r="Q428" s="1" t="str">
        <f t="shared" si="101"/>
        <v/>
      </c>
      <c r="R428" s="1" t="str">
        <f t="shared" si="102"/>
        <v/>
      </c>
      <c r="S428" s="1" t="str">
        <f t="shared" si="103"/>
        <v/>
      </c>
      <c r="T428" s="17" t="str">
        <f t="shared" si="104"/>
        <v/>
      </c>
    </row>
    <row r="429" spans="1:20" ht="12.75" customHeight="1" x14ac:dyDescent="0.2">
      <c r="A429" s="63"/>
      <c r="B429" s="63" t="s">
        <v>65</v>
      </c>
      <c r="C429" s="63"/>
      <c r="D429" s="68">
        <f>IF('[1]E-MKK1'!$E16="","",'[1]E-MKK1'!$E16)</f>
        <v>1904.6666666666667</v>
      </c>
      <c r="E429" s="69"/>
      <c r="F429" s="69"/>
      <c r="G429" s="65"/>
      <c r="H429" s="70" t="str">
        <f>IF('MKK1'!$D12="","",'MKK1'!$D12)</f>
        <v/>
      </c>
      <c r="I429" s="71" t="str">
        <f>IF(T429=P429,"Richtig!",IF(T429="","Fehlt","Falsch"))</f>
        <v>Fehlt</v>
      </c>
      <c r="J429" s="30">
        <f>IF(OR(B429="-",N429="",AND(P429="",T429="")),"-",IF(I429="Richtig!",1,IF(I429="Formel: OK",0.5,IF(OR(I429="Falsch",I429="Fehlt"),0,""))))</f>
        <v>0</v>
      </c>
      <c r="K429" s="23" t="str">
        <f t="shared" si="100"/>
        <v>│</v>
      </c>
      <c r="L429" s="24">
        <f t="shared" si="109"/>
        <v>1</v>
      </c>
      <c r="N429" s="882" t="str">
        <f t="shared" si="108"/>
        <v>x</v>
      </c>
      <c r="P429" s="68">
        <f t="shared" si="105"/>
        <v>1904.6666700000001</v>
      </c>
      <c r="Q429" s="69" t="str">
        <f t="shared" si="101"/>
        <v/>
      </c>
      <c r="R429" s="69" t="str">
        <f t="shared" si="102"/>
        <v/>
      </c>
      <c r="S429" s="65" t="str">
        <f t="shared" si="103"/>
        <v/>
      </c>
      <c r="T429" s="70" t="str">
        <f t="shared" si="104"/>
        <v/>
      </c>
    </row>
    <row r="430" spans="1:20" ht="12.75" customHeight="1" x14ac:dyDescent="0.2">
      <c r="A430" s="63"/>
      <c r="B430" s="63" t="s">
        <v>66</v>
      </c>
      <c r="C430" s="63"/>
      <c r="D430" s="68">
        <f>IF('[1]E-MKK1'!$E17="","",'[1]E-MKK1'!$E17)</f>
        <v>285.7</v>
      </c>
      <c r="E430" s="69"/>
      <c r="F430" s="69"/>
      <c r="G430" s="65"/>
      <c r="H430" s="70" t="str">
        <f>IF('MKK1'!$D13="","",'MKK1'!$D13)</f>
        <v/>
      </c>
      <c r="I430" s="71" t="str">
        <f>IF(T430=P430,"Richtig!",IF(T430="","Fehlt","Falsch"))</f>
        <v>Fehlt</v>
      </c>
      <c r="J430" s="30">
        <f>IF(OR(B430="-",N430="",AND(P430="",T430="")),"-",IF(I430="Richtig!",1,IF(I430="Formel: OK",0.5,IF(OR(I430="Falsch",I430="Fehlt"),0,""))))</f>
        <v>0</v>
      </c>
      <c r="K430" s="23" t="str">
        <f t="shared" si="100"/>
        <v>│</v>
      </c>
      <c r="L430" s="24">
        <f t="shared" si="109"/>
        <v>1</v>
      </c>
      <c r="N430" s="882" t="str">
        <f t="shared" si="108"/>
        <v>x</v>
      </c>
      <c r="P430" s="68">
        <f t="shared" si="105"/>
        <v>285.7</v>
      </c>
      <c r="Q430" s="69" t="str">
        <f t="shared" si="101"/>
        <v/>
      </c>
      <c r="R430" s="69" t="str">
        <f t="shared" si="102"/>
        <v/>
      </c>
      <c r="S430" s="65" t="str">
        <f t="shared" si="103"/>
        <v/>
      </c>
      <c r="T430" s="70" t="str">
        <f t="shared" si="104"/>
        <v/>
      </c>
    </row>
    <row r="431" spans="1:20" ht="12.75" customHeight="1" x14ac:dyDescent="0.2">
      <c r="A431" s="63"/>
      <c r="B431" s="63" t="s">
        <v>67</v>
      </c>
      <c r="C431" s="63"/>
      <c r="D431" s="68">
        <f>IF('[1]E-MKK1'!$E18="","",'[1]E-MKK1'!$E18)</f>
        <v>285.7</v>
      </c>
      <c r="E431" s="69"/>
      <c r="F431" s="69"/>
      <c r="G431" s="65"/>
      <c r="H431" s="70" t="str">
        <f>IF('MKK1'!$D14="","",'MKK1'!$D14)</f>
        <v/>
      </c>
      <c r="I431" s="71" t="str">
        <f>IF(T431=P431,"Richtig!",IF(T431="","Fehlt","Falsch"))</f>
        <v>Fehlt</v>
      </c>
      <c r="J431" s="30">
        <f>IF(OR(B431="-",N431="",AND(P431="",T431="")),"-",IF(I431="Richtig!",1,IF(I431="Formel: OK",0.5,IF(OR(I431="Falsch",I431="Fehlt"),0,""))))</f>
        <v>0</v>
      </c>
      <c r="K431" s="23" t="str">
        <f t="shared" si="100"/>
        <v>│</v>
      </c>
      <c r="L431" s="24">
        <f t="shared" si="109"/>
        <v>1</v>
      </c>
      <c r="N431" s="882" t="str">
        <f t="shared" si="108"/>
        <v>x</v>
      </c>
      <c r="P431" s="68">
        <f t="shared" si="105"/>
        <v>285.7</v>
      </c>
      <c r="Q431" s="69" t="str">
        <f t="shared" si="101"/>
        <v/>
      </c>
      <c r="R431" s="69" t="str">
        <f t="shared" si="102"/>
        <v/>
      </c>
      <c r="S431" s="65" t="str">
        <f t="shared" si="103"/>
        <v/>
      </c>
      <c r="T431" s="70" t="str">
        <f t="shared" si="104"/>
        <v/>
      </c>
    </row>
    <row r="432" spans="1:20" ht="12.75" customHeight="1" x14ac:dyDescent="0.2">
      <c r="A432" s="63"/>
      <c r="B432" s="63" t="s">
        <v>68</v>
      </c>
      <c r="C432" s="63"/>
      <c r="D432" s="68">
        <f>IF('[1]E-MKK1'!$E19="","",'[1]E-MKK1'!$E19)</f>
        <v>857.1</v>
      </c>
      <c r="E432" s="69"/>
      <c r="F432" s="69"/>
      <c r="G432" s="65"/>
      <c r="H432" s="70" t="str">
        <f>IF('MKK1'!$D15="","",'MKK1'!$D15)</f>
        <v/>
      </c>
      <c r="I432" s="71" t="str">
        <f>IF(T432=P432,"Richtig!",IF(T432="","Fehlt","Falsch"))</f>
        <v>Fehlt</v>
      </c>
      <c r="J432" s="30">
        <f>IF(OR(B432="-",N432="",AND(P432="",T432="")),"-",IF(I432="Richtig!",1,IF(I432="Formel: OK",0.5,IF(OR(I432="Falsch",I432="Fehlt"),0,""))))</f>
        <v>0</v>
      </c>
      <c r="K432" s="23" t="str">
        <f t="shared" si="100"/>
        <v>│</v>
      </c>
      <c r="L432" s="24">
        <f t="shared" si="109"/>
        <v>1</v>
      </c>
      <c r="N432" s="882" t="str">
        <f t="shared" si="108"/>
        <v>x</v>
      </c>
      <c r="P432" s="68">
        <f t="shared" si="105"/>
        <v>857.1</v>
      </c>
      <c r="Q432" s="69" t="str">
        <f t="shared" si="101"/>
        <v/>
      </c>
      <c r="R432" s="69" t="str">
        <f t="shared" si="102"/>
        <v/>
      </c>
      <c r="S432" s="65" t="str">
        <f t="shared" si="103"/>
        <v/>
      </c>
      <c r="T432" s="70" t="str">
        <f t="shared" si="104"/>
        <v/>
      </c>
    </row>
    <row r="433" spans="1:20" ht="12.75" customHeight="1" x14ac:dyDescent="0.2">
      <c r="A433" s="63"/>
      <c r="B433" s="62" t="s">
        <v>69</v>
      </c>
      <c r="C433" s="63"/>
      <c r="D433" s="72">
        <f>IF('[1]E-MKK1'!$G20="","",'[1]E-MKK1'!$G20)</f>
        <v>3333.1666666666665</v>
      </c>
      <c r="E433" s="69"/>
      <c r="F433" s="73" t="str">
        <f>IF(AND('MKK1'!D12="",'MKK1'!D13="",'MKK1'!D14="",'MKK1'!D15=""),"-",SUM('MKK1'!D12:D15))</f>
        <v>-</v>
      </c>
      <c r="G433" s="65"/>
      <c r="H433" s="74" t="str">
        <f>IF('MKK1'!$F16="","",'MKK1'!$F16)</f>
        <v/>
      </c>
      <c r="I433" s="71" t="str">
        <f>IF(T433=P433,"Richtig!",IF(AND(R433&lt;&gt;"",T433&lt;&gt;P433,T433=R433),"Formel: OK",IF(T433="","Fehlt","Falsch")))</f>
        <v>Fehlt</v>
      </c>
      <c r="J433" s="30">
        <f>IF(OR(B433="-",N433="",AND(P433="",T433="")),"-",IF(I433="Richtig!",1,IF(I433="Formel: OK",0.5,IF(OR(I433="Falsch",I433="Fehlt"),0,""))))</f>
        <v>0</v>
      </c>
      <c r="K433" s="23" t="str">
        <f t="shared" si="100"/>
        <v>│</v>
      </c>
      <c r="L433" s="24">
        <f t="shared" si="109"/>
        <v>1</v>
      </c>
      <c r="N433" s="882" t="str">
        <f t="shared" si="108"/>
        <v>x</v>
      </c>
      <c r="P433" s="72">
        <f t="shared" si="105"/>
        <v>3333.1666700000001</v>
      </c>
      <c r="Q433" s="69" t="str">
        <f t="shared" si="101"/>
        <v/>
      </c>
      <c r="R433" s="73" t="str">
        <f t="shared" si="102"/>
        <v>-</v>
      </c>
      <c r="S433" s="65" t="str">
        <f t="shared" si="103"/>
        <v/>
      </c>
      <c r="T433" s="74" t="str">
        <f t="shared" si="104"/>
        <v/>
      </c>
    </row>
    <row r="434" spans="1:20" ht="12.75" x14ac:dyDescent="0.2">
      <c r="A434" s="18"/>
      <c r="B434" s="18"/>
      <c r="C434" s="18"/>
      <c r="D434" s="19"/>
      <c r="H434" s="17"/>
      <c r="I434" s="21"/>
      <c r="J434" s="21"/>
      <c r="K434" s="23" t="str">
        <f t="shared" si="100"/>
        <v/>
      </c>
      <c r="L434" s="24" t="str">
        <f t="shared" si="109"/>
        <v/>
      </c>
      <c r="N434" s="883" t="str">
        <f t="shared" si="108"/>
        <v>x</v>
      </c>
      <c r="P434" s="19" t="str">
        <f t="shared" si="105"/>
        <v/>
      </c>
      <c r="Q434" s="1" t="str">
        <f t="shared" si="101"/>
        <v/>
      </c>
      <c r="R434" s="1" t="str">
        <f t="shared" si="102"/>
        <v/>
      </c>
      <c r="S434" s="1" t="str">
        <f t="shared" si="103"/>
        <v/>
      </c>
      <c r="T434" s="17" t="str">
        <f t="shared" si="104"/>
        <v/>
      </c>
    </row>
    <row r="435" spans="1:20" ht="12.75" x14ac:dyDescent="0.2">
      <c r="A435" s="17" t="s">
        <v>14</v>
      </c>
      <c r="B435" s="17" t="s">
        <v>60</v>
      </c>
      <c r="C435" s="18"/>
      <c r="D435" s="19"/>
      <c r="H435" s="17"/>
      <c r="I435" s="21"/>
      <c r="J435" s="21"/>
      <c r="K435" s="23" t="str">
        <f t="shared" si="100"/>
        <v/>
      </c>
      <c r="L435" s="24" t="str">
        <f t="shared" si="109"/>
        <v/>
      </c>
      <c r="N435" s="880" t="str">
        <f t="shared" si="108"/>
        <v>x</v>
      </c>
      <c r="P435" s="19" t="str">
        <f t="shared" si="105"/>
        <v/>
      </c>
      <c r="Q435" s="1" t="str">
        <f t="shared" si="101"/>
        <v/>
      </c>
      <c r="R435" s="1" t="str">
        <f t="shared" si="102"/>
        <v/>
      </c>
      <c r="S435" s="1" t="str">
        <f t="shared" si="103"/>
        <v/>
      </c>
      <c r="T435" s="17" t="str">
        <f t="shared" si="104"/>
        <v/>
      </c>
    </row>
    <row r="436" spans="1:20" ht="12.75" customHeight="1" x14ac:dyDescent="0.2">
      <c r="A436" s="63"/>
      <c r="B436" s="63" t="s">
        <v>70</v>
      </c>
      <c r="C436" s="63"/>
      <c r="D436" s="26">
        <f>IF('[1]E-MKK1'!$G23="","",'[1]E-MKK1'!$G23)</f>
        <v>1602.49</v>
      </c>
      <c r="E436" s="27"/>
      <c r="F436" s="27"/>
      <c r="H436" s="28" t="str">
        <f>IF('MKK1'!$F19="","",'MKK1'!$F19)</f>
        <v/>
      </c>
      <c r="I436" s="29" t="str">
        <f>IF(AND(P436="",T436=""),"",IF(T436=P436,"Richtig!",IF(T436="","Fehlt","Falsch")))</f>
        <v>Fehlt</v>
      </c>
      <c r="J436" s="30">
        <f>IF(OR(B436="-",N436="",AND(P436="",T436="")),"-",IF(I436="Richtig!",1,IF(I436="Formel: OK",0.5,IF(OR(I436="Falsch",I436="Fehlt"),0,""))))</f>
        <v>0</v>
      </c>
      <c r="K436" s="23" t="str">
        <f t="shared" si="100"/>
        <v>│</v>
      </c>
      <c r="L436" s="24">
        <f t="shared" si="109"/>
        <v>1</v>
      </c>
      <c r="N436" s="882" t="str">
        <f t="shared" si="108"/>
        <v>x</v>
      </c>
      <c r="P436" s="26">
        <f t="shared" si="105"/>
        <v>1602.49</v>
      </c>
      <c r="Q436" s="27" t="str">
        <f t="shared" si="101"/>
        <v/>
      </c>
      <c r="R436" s="27" t="str">
        <f t="shared" si="102"/>
        <v/>
      </c>
      <c r="S436" s="1" t="str">
        <f t="shared" si="103"/>
        <v/>
      </c>
      <c r="T436" s="28" t="str">
        <f t="shared" si="104"/>
        <v/>
      </c>
    </row>
    <row r="437" spans="1:20" ht="12.75" customHeight="1" x14ac:dyDescent="0.2">
      <c r="A437" s="63"/>
      <c r="B437" s="63" t="s">
        <v>71</v>
      </c>
      <c r="C437" s="63"/>
      <c r="D437" s="68">
        <f>IF('[1]E-MKK1'!$E24="","",'[1]E-MKK1'!$E24)</f>
        <v>228.56</v>
      </c>
      <c r="E437" s="69"/>
      <c r="F437" s="69"/>
      <c r="G437" s="65"/>
      <c r="H437" s="70" t="str">
        <f>IF('MKK1'!$D20="","",'MKK1'!$D20)</f>
        <v/>
      </c>
      <c r="I437" s="71" t="str">
        <f>IF(T437=P437,"Richtig!",IF(T437="","Fehlt","Falsch"))</f>
        <v>Fehlt</v>
      </c>
      <c r="J437" s="30">
        <f>IF(OR(B437="-",N437="",AND(P437="",T437="")),"-",IF(I437="Richtig!",1,IF(I437="Formel: OK",0.5,IF(OR(I437="Falsch",I437="Fehlt"),0,""))))</f>
        <v>0</v>
      </c>
      <c r="K437" s="23" t="str">
        <f t="shared" si="100"/>
        <v>│</v>
      </c>
      <c r="L437" s="24">
        <f t="shared" si="109"/>
        <v>1</v>
      </c>
      <c r="N437" s="882" t="str">
        <f t="shared" si="108"/>
        <v>x</v>
      </c>
      <c r="P437" s="68">
        <f t="shared" si="105"/>
        <v>228.56</v>
      </c>
      <c r="Q437" s="69" t="str">
        <f t="shared" si="101"/>
        <v/>
      </c>
      <c r="R437" s="69" t="str">
        <f t="shared" si="102"/>
        <v/>
      </c>
      <c r="S437" s="65" t="str">
        <f t="shared" si="103"/>
        <v/>
      </c>
      <c r="T437" s="70" t="str">
        <f t="shared" si="104"/>
        <v/>
      </c>
    </row>
    <row r="438" spans="1:20" ht="12.75" customHeight="1" x14ac:dyDescent="0.2">
      <c r="A438" s="63"/>
      <c r="B438" s="63" t="s">
        <v>72</v>
      </c>
      <c r="C438" s="63"/>
      <c r="D438" s="72">
        <f>IF('[1]E-MKK1'!$G24="","",'[1]E-MKK1'!$G24)</f>
        <v>436.5496</v>
      </c>
      <c r="E438" s="69"/>
      <c r="F438" s="73" t="str">
        <f>IF(OR('MKK1'!D20="",[1]MKK1!G19=""),"-",'MKK1'!D20/100*[1]MKK1!G19)</f>
        <v>-</v>
      </c>
      <c r="G438" s="65"/>
      <c r="H438" s="74" t="str">
        <f>IF('MKK1'!$F20="","",'MKK1'!$F20)</f>
        <v/>
      </c>
      <c r="I438" s="71" t="str">
        <f>IF(T438=P438,"Richtig!",IF(AND(R438&lt;&gt;"",T438&lt;&gt;P438,T438=R438),"Formel: OK",IF(T438="","Fehlt","Falsch")))</f>
        <v>Fehlt</v>
      </c>
      <c r="J438" s="30">
        <f>IF(OR(B438="-",N438="",AND(P438="",T438="")),"-",IF(I438="Richtig!",1,IF(I438="Formel: OK",0.5,IF(OR(I438="Falsch",I438="Fehlt"),0,""))))</f>
        <v>0</v>
      </c>
      <c r="K438" s="23" t="str">
        <f t="shared" si="100"/>
        <v>│</v>
      </c>
      <c r="L438" s="24">
        <f t="shared" si="109"/>
        <v>1</v>
      </c>
      <c r="N438" s="882" t="str">
        <f t="shared" si="108"/>
        <v>x</v>
      </c>
      <c r="P438" s="72">
        <f t="shared" si="105"/>
        <v>436.5496</v>
      </c>
      <c r="Q438" s="69" t="str">
        <f t="shared" si="101"/>
        <v/>
      </c>
      <c r="R438" s="73" t="str">
        <f t="shared" si="102"/>
        <v>-</v>
      </c>
      <c r="S438" s="65" t="str">
        <f t="shared" si="103"/>
        <v/>
      </c>
      <c r="T438" s="74" t="str">
        <f t="shared" si="104"/>
        <v/>
      </c>
    </row>
    <row r="439" spans="1:20" ht="12.75" customHeight="1" x14ac:dyDescent="0.2">
      <c r="A439" s="63"/>
      <c r="B439" s="62" t="s">
        <v>73</v>
      </c>
      <c r="C439" s="63"/>
      <c r="D439" s="72">
        <f>IF('[1]E-MKK1'!$G25="","",'[1]E-MKK1'!$G25)</f>
        <v>2039.0396000000001</v>
      </c>
      <c r="E439" s="69"/>
      <c r="F439" s="73" t="str">
        <f>IF(AND('MKK1'!F19="",'MKK1'!F20=""),"-",SUM('MKK1'!F19:F20))</f>
        <v>-</v>
      </c>
      <c r="G439" s="65"/>
      <c r="H439" s="74" t="str">
        <f>IF('MKK1'!$F21="","",'MKK1'!$F21)</f>
        <v/>
      </c>
      <c r="I439" s="71" t="str">
        <f>IF(T439=P439,"Richtig!",IF(AND(R439&lt;&gt;"",T439&lt;&gt;P439,T439=R439),"Formel: OK",IF(T439="","Fehlt","Falsch")))</f>
        <v>Fehlt</v>
      </c>
      <c r="J439" s="30">
        <f>IF(OR(B439="-",N439="",AND(P439="",T439="")),"-",IF(I439="Richtig!",1,IF(I439="Formel: OK",0.5,IF(OR(I439="Falsch",I439="Fehlt"),0,""))))</f>
        <v>0</v>
      </c>
      <c r="K439" s="23" t="str">
        <f t="shared" si="100"/>
        <v>│</v>
      </c>
      <c r="L439" s="24">
        <f t="shared" si="109"/>
        <v>1</v>
      </c>
      <c r="N439" s="882" t="str">
        <f t="shared" si="108"/>
        <v>x</v>
      </c>
      <c r="P439" s="72">
        <f t="shared" si="105"/>
        <v>2039.0396000000001</v>
      </c>
      <c r="Q439" s="69" t="str">
        <f t="shared" si="101"/>
        <v/>
      </c>
      <c r="R439" s="73" t="str">
        <f t="shared" si="102"/>
        <v>-</v>
      </c>
      <c r="S439" s="65" t="str">
        <f t="shared" si="103"/>
        <v/>
      </c>
      <c r="T439" s="74" t="str">
        <f t="shared" si="104"/>
        <v/>
      </c>
    </row>
    <row r="440" spans="1:20" ht="12.75" x14ac:dyDescent="0.2">
      <c r="A440" s="18"/>
      <c r="B440" s="18"/>
      <c r="C440" s="18"/>
      <c r="D440" s="19"/>
      <c r="H440" s="17"/>
      <c r="I440" s="21"/>
      <c r="J440" s="21"/>
      <c r="K440" s="23" t="str">
        <f t="shared" si="100"/>
        <v/>
      </c>
      <c r="L440" s="24" t="str">
        <f t="shared" si="109"/>
        <v/>
      </c>
      <c r="N440" s="883" t="str">
        <f t="shared" si="108"/>
        <v>x</v>
      </c>
      <c r="P440" s="19" t="str">
        <f t="shared" si="105"/>
        <v/>
      </c>
      <c r="Q440" s="1" t="str">
        <f t="shared" si="101"/>
        <v/>
      </c>
      <c r="R440" s="1" t="str">
        <f t="shared" si="102"/>
        <v/>
      </c>
      <c r="S440" s="1" t="str">
        <f t="shared" si="103"/>
        <v/>
      </c>
      <c r="T440" s="17" t="str">
        <f t="shared" si="104"/>
        <v/>
      </c>
    </row>
    <row r="441" spans="1:20" ht="12.75" x14ac:dyDescent="0.2">
      <c r="A441" s="17" t="s">
        <v>17</v>
      </c>
      <c r="B441" s="17" t="s">
        <v>74</v>
      </c>
      <c r="C441" s="18"/>
      <c r="D441" s="19"/>
      <c r="H441" s="17"/>
      <c r="I441" s="21"/>
      <c r="J441" s="21"/>
      <c r="K441" s="23" t="str">
        <f t="shared" si="100"/>
        <v/>
      </c>
      <c r="L441" s="24" t="str">
        <f t="shared" si="109"/>
        <v/>
      </c>
      <c r="N441" s="880" t="str">
        <f t="shared" si="108"/>
        <v>x</v>
      </c>
      <c r="P441" s="19" t="str">
        <f t="shared" si="105"/>
        <v/>
      </c>
      <c r="Q441" s="1" t="str">
        <f t="shared" si="101"/>
        <v/>
      </c>
      <c r="R441" s="1" t="str">
        <f t="shared" si="102"/>
        <v/>
      </c>
      <c r="S441" s="1" t="str">
        <f t="shared" si="103"/>
        <v/>
      </c>
      <c r="T441" s="17" t="str">
        <f t="shared" si="104"/>
        <v/>
      </c>
    </row>
    <row r="442" spans="1:20" ht="12.75" customHeight="1" x14ac:dyDescent="0.2">
      <c r="A442" s="63"/>
      <c r="B442" s="63" t="s">
        <v>75</v>
      </c>
      <c r="C442" s="63"/>
      <c r="D442" s="72">
        <f>IF('[1]E-MKK1'!$G28="","",'[1]E-MKK1'!$G28)</f>
        <v>17.451134380453752</v>
      </c>
      <c r="E442" s="69"/>
      <c r="F442" s="73" t="str">
        <f>IF(OR('MKK1'!F16="",[1]MKK1!G19=""),"-",'MKK1'!F16/[1]MKK1!G19)</f>
        <v>-</v>
      </c>
      <c r="G442" s="65"/>
      <c r="H442" s="74" t="str">
        <f>IF('MKK1'!$F24="","",'MKK1'!$F24)</f>
        <v/>
      </c>
      <c r="I442" s="71" t="str">
        <f>IF(T442=P442,"Richtig!",IF(AND(R442&lt;&gt;"",T442&lt;&gt;P442,T442=R442),"Formel: OK",IF(T442="","Fehlt","Falsch")))</f>
        <v>Fehlt</v>
      </c>
      <c r="J442" s="30">
        <f>IF(OR(B442="-",N442="",AND(P442="",T442="")),"-",IF(I442="Richtig!",1,IF(I442="Formel: OK",0.5,IF(OR(I442="Falsch",I442="Fehlt"),0,""))))</f>
        <v>0</v>
      </c>
      <c r="K442" s="23" t="str">
        <f t="shared" si="100"/>
        <v>│</v>
      </c>
      <c r="L442" s="24">
        <f t="shared" si="109"/>
        <v>1</v>
      </c>
      <c r="N442" s="882" t="str">
        <f t="shared" si="108"/>
        <v>x</v>
      </c>
      <c r="P442" s="72">
        <f t="shared" si="105"/>
        <v>17.451129999999999</v>
      </c>
      <c r="Q442" s="69" t="str">
        <f t="shared" si="101"/>
        <v/>
      </c>
      <c r="R442" s="73" t="str">
        <f t="shared" si="102"/>
        <v>-</v>
      </c>
      <c r="S442" s="65" t="str">
        <f t="shared" si="103"/>
        <v/>
      </c>
      <c r="T442" s="74" t="str">
        <f t="shared" si="104"/>
        <v/>
      </c>
    </row>
    <row r="443" spans="1:20" ht="12.75" customHeight="1" x14ac:dyDescent="0.2">
      <c r="A443" s="63"/>
      <c r="B443" s="63" t="s">
        <v>76</v>
      </c>
      <c r="C443" s="63"/>
      <c r="D443" s="72">
        <f>IF('[1]E-MKK1'!$G29="","",'[1]E-MKK1'!$G29)</f>
        <v>10.675600000000001</v>
      </c>
      <c r="E443" s="69"/>
      <c r="F443" s="73" t="str">
        <f>IF(OR('MKK1'!F21="",[1]MKK1!G19=""),"-",'MKK1'!F21/[1]MKK1!G19)</f>
        <v>-</v>
      </c>
      <c r="G443" s="65"/>
      <c r="H443" s="74" t="str">
        <f>IF('MKK1'!$F25="","",'MKK1'!$F25)</f>
        <v/>
      </c>
      <c r="I443" s="71" t="str">
        <f>IF(T443=P443,"Richtig!",IF(AND(R443&lt;&gt;"",T443&lt;&gt;P443,T443=R443),"Formel: OK",IF(T443="","Fehlt","Falsch")))</f>
        <v>Fehlt</v>
      </c>
      <c r="J443" s="30">
        <f>IF(OR(B443="-",N443="",AND(P443="",T443="")),"-",IF(I443="Richtig!",1,IF(I443="Formel: OK",0.5,IF(OR(I443="Falsch",I443="Fehlt"),0,""))))</f>
        <v>0</v>
      </c>
      <c r="K443" s="23" t="str">
        <f t="shared" si="100"/>
        <v>│</v>
      </c>
      <c r="L443" s="24">
        <f t="shared" si="109"/>
        <v>1</v>
      </c>
      <c r="N443" s="882" t="str">
        <f t="shared" si="108"/>
        <v>x</v>
      </c>
      <c r="P443" s="72">
        <f t="shared" si="105"/>
        <v>10.675599999999999</v>
      </c>
      <c r="Q443" s="69" t="str">
        <f t="shared" si="101"/>
        <v/>
      </c>
      <c r="R443" s="73" t="str">
        <f t="shared" si="102"/>
        <v>-</v>
      </c>
      <c r="S443" s="65" t="str">
        <f t="shared" si="103"/>
        <v/>
      </c>
      <c r="T443" s="74" t="str">
        <f t="shared" si="104"/>
        <v/>
      </c>
    </row>
    <row r="444" spans="1:20" ht="12.75" customHeight="1" x14ac:dyDescent="0.2">
      <c r="A444" s="63"/>
      <c r="B444" s="62" t="s">
        <v>77</v>
      </c>
      <c r="C444" s="63"/>
      <c r="D444" s="72">
        <f>IF('[1]E-MKK1'!$G30="","",'[1]E-MKK1'!$G30)</f>
        <v>28.126734380453755</v>
      </c>
      <c r="E444" s="69"/>
      <c r="F444" s="73" t="str">
        <f>IF(AND('MKK1'!F24="",'MKK1'!F25=""),"-",SUM('MKK1'!F24:F25))</f>
        <v>-</v>
      </c>
      <c r="G444" s="65"/>
      <c r="H444" s="74" t="str">
        <f>IF('MKK1'!$F26="","",'MKK1'!$F26)</f>
        <v/>
      </c>
      <c r="I444" s="71" t="str">
        <f>IF(T444=P444,"Richtig!",IF(AND(R444&lt;&gt;"",T444&lt;&gt;P444,T444=R444),"Formel: OK",IF(T444="","Fehlt","Falsch")))</f>
        <v>Fehlt</v>
      </c>
      <c r="J444" s="30">
        <f>IF(OR(B444="-",N444="",AND(P444="",T444="")),"-",IF(I444="Richtig!",1,IF(I444="Formel: OK",0.5,IF(OR(I444="Falsch",I444="Fehlt"),0,""))))</f>
        <v>0</v>
      </c>
      <c r="K444" s="23" t="str">
        <f t="shared" si="100"/>
        <v>│</v>
      </c>
      <c r="L444" s="24">
        <f t="shared" si="109"/>
        <v>1</v>
      </c>
      <c r="N444" s="882" t="str">
        <f t="shared" si="108"/>
        <v>x</v>
      </c>
      <c r="P444" s="72">
        <f t="shared" si="105"/>
        <v>28.126729999999998</v>
      </c>
      <c r="Q444" s="69" t="str">
        <f t="shared" si="101"/>
        <v/>
      </c>
      <c r="R444" s="73" t="str">
        <f t="shared" si="102"/>
        <v>-</v>
      </c>
      <c r="S444" s="65" t="str">
        <f t="shared" si="103"/>
        <v/>
      </c>
      <c r="T444" s="74" t="str">
        <f t="shared" si="104"/>
        <v/>
      </c>
    </row>
    <row r="445" spans="1:20" ht="12.75" customHeight="1" x14ac:dyDescent="0.2">
      <c r="A445" s="65"/>
      <c r="B445" s="65"/>
      <c r="C445" s="65"/>
      <c r="D445" s="64"/>
      <c r="E445" s="65"/>
      <c r="F445" s="65"/>
      <c r="G445" s="65"/>
      <c r="H445" s="75"/>
      <c r="I445" s="67"/>
      <c r="J445" s="67"/>
      <c r="K445" s="23" t="str">
        <f t="shared" si="100"/>
        <v/>
      </c>
      <c r="L445" s="24" t="str">
        <f t="shared" si="109"/>
        <v/>
      </c>
      <c r="N445" s="883" t="str">
        <f t="shared" si="108"/>
        <v>x</v>
      </c>
      <c r="P445" s="64" t="str">
        <f t="shared" si="105"/>
        <v/>
      </c>
      <c r="Q445" s="65" t="str">
        <f t="shared" si="101"/>
        <v/>
      </c>
      <c r="R445" s="65" t="str">
        <f t="shared" si="102"/>
        <v/>
      </c>
      <c r="S445" s="65" t="str">
        <f t="shared" si="103"/>
        <v/>
      </c>
      <c r="T445" s="75" t="str">
        <f t="shared" si="104"/>
        <v/>
      </c>
    </row>
    <row r="446" spans="1:20" ht="22.5" x14ac:dyDescent="0.2">
      <c r="A446" s="10" t="s">
        <v>78</v>
      </c>
      <c r="B446" s="11"/>
      <c r="C446" s="12"/>
      <c r="D446" s="13" t="s">
        <v>4</v>
      </c>
      <c r="E446" s="13"/>
      <c r="F446" s="14" t="s">
        <v>5</v>
      </c>
      <c r="G446" s="12"/>
      <c r="H446" s="14" t="s">
        <v>6</v>
      </c>
      <c r="I446" s="15" t="str">
        <f>"Fehler"</f>
        <v>Fehler</v>
      </c>
      <c r="J446" s="16" t="s">
        <v>7</v>
      </c>
      <c r="K446" s="16"/>
      <c r="L446" s="16"/>
      <c r="N446" s="881" t="str">
        <f t="shared" si="108"/>
        <v>x</v>
      </c>
      <c r="P446" s="13" t="str">
        <f t="shared" si="105"/>
        <v>Ergebnis</v>
      </c>
      <c r="Q446" s="13" t="str">
        <f t="shared" si="101"/>
        <v/>
      </c>
      <c r="R446" s="14" t="str">
        <f t="shared" si="102"/>
        <v>Formel-
prüfung</v>
      </c>
      <c r="S446" s="12" t="str">
        <f t="shared" si="103"/>
        <v/>
      </c>
      <c r="T446" s="14" t="str">
        <f t="shared" si="104"/>
        <v>Deine Be-rechnung</v>
      </c>
    </row>
    <row r="447" spans="1:20" ht="12.75" customHeight="1" x14ac:dyDescent="0.2">
      <c r="A447" s="62" t="s">
        <v>9</v>
      </c>
      <c r="B447" s="62" t="s">
        <v>62</v>
      </c>
      <c r="C447" s="63"/>
      <c r="D447" s="64"/>
      <c r="E447" s="65"/>
      <c r="F447" s="65"/>
      <c r="G447" s="65"/>
      <c r="H447" s="66"/>
      <c r="I447" s="67"/>
      <c r="J447" s="67"/>
      <c r="K447" s="23" t="str">
        <f t="shared" si="100"/>
        <v/>
      </c>
      <c r="L447" s="24" t="str">
        <f t="shared" ref="L447:L468" si="110">IF(OR(B447="-",N447="",AND(P447="",T447="")),"",1)</f>
        <v/>
      </c>
      <c r="N447" s="880" t="str">
        <f t="shared" si="108"/>
        <v>x</v>
      </c>
      <c r="P447" s="64" t="str">
        <f t="shared" si="105"/>
        <v/>
      </c>
      <c r="Q447" s="65" t="str">
        <f t="shared" si="101"/>
        <v/>
      </c>
      <c r="R447" s="65" t="str">
        <f t="shared" si="102"/>
        <v/>
      </c>
      <c r="S447" s="65" t="str">
        <f t="shared" si="103"/>
        <v/>
      </c>
      <c r="T447" s="66" t="str">
        <f t="shared" si="104"/>
        <v/>
      </c>
    </row>
    <row r="448" spans="1:20" ht="12.75" customHeight="1" x14ac:dyDescent="0.2">
      <c r="A448" s="63"/>
      <c r="B448" s="63" t="s">
        <v>63</v>
      </c>
      <c r="C448" s="63"/>
      <c r="D448" s="68">
        <f>IF('[1]E-MKK2'!$E12="","",'[1]E-MKK2'!$E12)</f>
        <v>9</v>
      </c>
      <c r="E448" s="69"/>
      <c r="F448" s="69"/>
      <c r="G448" s="65"/>
      <c r="H448" s="70" t="str">
        <f>IF('MKK2'!D8="","",'MKK2'!D8)</f>
        <v/>
      </c>
      <c r="I448" s="71" t="str">
        <f>IF(T448=P448,"Richtig!",IF(T448="","Fehlt","Falsch"))</f>
        <v>Fehlt</v>
      </c>
      <c r="J448" s="30">
        <f>IF(OR(B448="-",N448="",AND(P448="",T448="")),"-",IF(I448="Richtig!",1,IF(I448="Formel: OK",0.5,IF(OR(I448="Falsch",I448="Fehlt"),0,""))))</f>
        <v>0</v>
      </c>
      <c r="K448" s="23" t="str">
        <f t="shared" si="100"/>
        <v>│</v>
      </c>
      <c r="L448" s="24">
        <f t="shared" si="110"/>
        <v>1</v>
      </c>
      <c r="N448" s="882" t="str">
        <f t="shared" si="108"/>
        <v>x</v>
      </c>
      <c r="P448" s="68">
        <f t="shared" si="105"/>
        <v>9</v>
      </c>
      <c r="Q448" s="69" t="str">
        <f t="shared" si="101"/>
        <v/>
      </c>
      <c r="R448" s="69" t="str">
        <f t="shared" si="102"/>
        <v/>
      </c>
      <c r="S448" s="65" t="str">
        <f t="shared" si="103"/>
        <v/>
      </c>
      <c r="T448" s="70" t="str">
        <f t="shared" si="104"/>
        <v/>
      </c>
    </row>
    <row r="449" spans="1:20" ht="12.75" customHeight="1" x14ac:dyDescent="0.2">
      <c r="A449" s="63"/>
      <c r="B449" s="63" t="str">
        <f>"Zeitwert am 1. 1."&amp;[1]MKK2!G21</f>
        <v>Zeitwert am 1. 1.2019</v>
      </c>
      <c r="C449" s="63"/>
      <c r="D449" s="68">
        <f>IF('[1]E-MKK2'!$E13="","",'[1]E-MKK2'!$E13)</f>
        <v>235</v>
      </c>
      <c r="E449" s="69"/>
      <c r="F449" s="69"/>
      <c r="G449" s="65"/>
      <c r="H449" s="70" t="str">
        <f>IF('MKK2'!D9="","",'MKK2'!D9)</f>
        <v/>
      </c>
      <c r="I449" s="71" t="str">
        <f>IF(T449=P449,"Richtig!",IF(T449="","Fehlt","Falsch"))</f>
        <v>Fehlt</v>
      </c>
      <c r="J449" s="30">
        <f>IF(OR(B449="-",N449="",AND(P449="",T449="")),"-",IF(I449="Richtig!",1,IF(I449="Formel: OK",0.5,IF(OR(I449="Falsch",I449="Fehlt"),0,""))))</f>
        <v>0</v>
      </c>
      <c r="K449" s="23" t="str">
        <f t="shared" si="100"/>
        <v>│</v>
      </c>
      <c r="L449" s="24">
        <f t="shared" si="110"/>
        <v>1</v>
      </c>
      <c r="N449" s="882" t="str">
        <f t="shared" si="108"/>
        <v>x</v>
      </c>
      <c r="P449" s="68">
        <f t="shared" si="105"/>
        <v>235</v>
      </c>
      <c r="Q449" s="69" t="str">
        <f t="shared" si="101"/>
        <v/>
      </c>
      <c r="R449" s="69" t="str">
        <f t="shared" si="102"/>
        <v/>
      </c>
      <c r="S449" s="65" t="str">
        <f t="shared" si="103"/>
        <v/>
      </c>
      <c r="T449" s="70" t="str">
        <f t="shared" si="104"/>
        <v/>
      </c>
    </row>
    <row r="450" spans="1:20" ht="12.75" x14ac:dyDescent="0.2">
      <c r="A450" s="18"/>
      <c r="B450" s="18"/>
      <c r="C450" s="18"/>
      <c r="D450" s="19"/>
      <c r="H450" s="17"/>
      <c r="I450" s="21"/>
      <c r="J450" s="21"/>
      <c r="K450" s="23" t="str">
        <f t="shared" si="100"/>
        <v/>
      </c>
      <c r="L450" s="24" t="str">
        <f t="shared" si="110"/>
        <v/>
      </c>
      <c r="N450" s="883" t="str">
        <f t="shared" si="108"/>
        <v>x</v>
      </c>
      <c r="P450" s="19" t="str">
        <f t="shared" si="105"/>
        <v/>
      </c>
      <c r="Q450" s="1" t="str">
        <f t="shared" si="101"/>
        <v/>
      </c>
      <c r="R450" s="1" t="str">
        <f t="shared" si="102"/>
        <v/>
      </c>
      <c r="S450" s="1" t="str">
        <f t="shared" si="103"/>
        <v/>
      </c>
      <c r="T450" s="17" t="str">
        <f t="shared" si="104"/>
        <v/>
      </c>
    </row>
    <row r="451" spans="1:20" ht="12.75" x14ac:dyDescent="0.2">
      <c r="A451" s="17" t="s">
        <v>12</v>
      </c>
      <c r="B451" s="17" t="s">
        <v>64</v>
      </c>
      <c r="C451" s="18"/>
      <c r="D451" s="19"/>
      <c r="H451" s="17"/>
      <c r="I451" s="21"/>
      <c r="J451" s="21"/>
      <c r="K451" s="23" t="str">
        <f t="shared" si="100"/>
        <v/>
      </c>
      <c r="L451" s="24" t="str">
        <f t="shared" si="110"/>
        <v/>
      </c>
      <c r="N451" s="880" t="str">
        <f t="shared" si="108"/>
        <v>x</v>
      </c>
      <c r="P451" s="19" t="str">
        <f t="shared" si="105"/>
        <v/>
      </c>
      <c r="Q451" s="1" t="str">
        <f t="shared" si="101"/>
        <v/>
      </c>
      <c r="R451" s="1" t="str">
        <f t="shared" si="102"/>
        <v/>
      </c>
      <c r="S451" s="1" t="str">
        <f t="shared" si="103"/>
        <v/>
      </c>
      <c r="T451" s="17" t="str">
        <f t="shared" si="104"/>
        <v/>
      </c>
    </row>
    <row r="452" spans="1:20" ht="12.75" customHeight="1" x14ac:dyDescent="0.2">
      <c r="A452" s="63"/>
      <c r="B452" s="63" t="s">
        <v>65</v>
      </c>
      <c r="C452" s="63"/>
      <c r="D452" s="68">
        <f>IF('[1]E-MKK2'!$E16="","",'[1]E-MKK2'!$E16)</f>
        <v>78.333333333333329</v>
      </c>
      <c r="E452" s="69"/>
      <c r="F452" s="69"/>
      <c r="G452" s="65"/>
      <c r="H452" s="70" t="str">
        <f>IF('MKK2'!D12="","",'MKK2'!D12)</f>
        <v/>
      </c>
      <c r="I452" s="71" t="str">
        <f>IF(T452=P452,"Richtig!",IF(T452="","Fehlt","Falsch"))</f>
        <v>Fehlt</v>
      </c>
      <c r="J452" s="30">
        <f>IF(OR(B452="-",N452="",AND(P452="",T452="")),"-",IF(I452="Richtig!",1,IF(I452="Formel: OK",0.5,IF(OR(I452="Falsch",I452="Fehlt"),0,""))))</f>
        <v>0</v>
      </c>
      <c r="K452" s="23" t="str">
        <f t="shared" si="100"/>
        <v>│</v>
      </c>
      <c r="L452" s="24">
        <f t="shared" si="110"/>
        <v>1</v>
      </c>
      <c r="N452" s="882" t="str">
        <f t="shared" si="108"/>
        <v>x</v>
      </c>
      <c r="P452" s="68">
        <f t="shared" si="105"/>
        <v>78.333330000000004</v>
      </c>
      <c r="Q452" s="69" t="str">
        <f t="shared" si="101"/>
        <v/>
      </c>
      <c r="R452" s="69" t="str">
        <f t="shared" si="102"/>
        <v/>
      </c>
      <c r="S452" s="65" t="str">
        <f t="shared" si="103"/>
        <v/>
      </c>
      <c r="T452" s="70" t="str">
        <f t="shared" si="104"/>
        <v/>
      </c>
    </row>
    <row r="453" spans="1:20" ht="12.75" customHeight="1" x14ac:dyDescent="0.2">
      <c r="A453" s="63"/>
      <c r="B453" s="63" t="s">
        <v>66</v>
      </c>
      <c r="C453" s="63"/>
      <c r="D453" s="68">
        <f>IF('[1]E-MKK2'!$E17="","",'[1]E-MKK2'!$E17)</f>
        <v>9.4</v>
      </c>
      <c r="E453" s="69"/>
      <c r="F453" s="69"/>
      <c r="G453" s="65"/>
      <c r="H453" s="70" t="str">
        <f>IF('MKK2'!D13="","",'MKK2'!D13)</f>
        <v/>
      </c>
      <c r="I453" s="71" t="str">
        <f>IF(T453=P453,"Richtig!",IF(T453="","Fehlt","Falsch"))</f>
        <v>Fehlt</v>
      </c>
      <c r="J453" s="30">
        <f>IF(OR(B453="-",N453="",AND(P453="",T453="")),"-",IF(I453="Richtig!",1,IF(I453="Formel: OK",0.5,IF(OR(I453="Falsch",I453="Fehlt"),0,""))))</f>
        <v>0</v>
      </c>
      <c r="K453" s="23" t="str">
        <f t="shared" si="100"/>
        <v>│</v>
      </c>
      <c r="L453" s="24">
        <f t="shared" si="110"/>
        <v>1</v>
      </c>
      <c r="N453" s="882" t="str">
        <f t="shared" si="108"/>
        <v>x</v>
      </c>
      <c r="P453" s="68">
        <f t="shared" si="105"/>
        <v>9.4</v>
      </c>
      <c r="Q453" s="69" t="str">
        <f t="shared" si="101"/>
        <v/>
      </c>
      <c r="R453" s="69" t="str">
        <f t="shared" si="102"/>
        <v/>
      </c>
      <c r="S453" s="65" t="str">
        <f t="shared" si="103"/>
        <v/>
      </c>
      <c r="T453" s="70" t="str">
        <f t="shared" si="104"/>
        <v/>
      </c>
    </row>
    <row r="454" spans="1:20" ht="12.75" customHeight="1" x14ac:dyDescent="0.2">
      <c r="A454" s="63"/>
      <c r="B454" s="63" t="s">
        <v>67</v>
      </c>
      <c r="C454" s="63"/>
      <c r="D454" s="68">
        <f>IF('[1]E-MKK2'!$E18="","",'[1]E-MKK2'!$E18)</f>
        <v>10.199999999999999</v>
      </c>
      <c r="E454" s="69"/>
      <c r="F454" s="69"/>
      <c r="G454" s="65"/>
      <c r="H454" s="70" t="str">
        <f>IF('MKK2'!D14="","",'MKK2'!D14)</f>
        <v/>
      </c>
      <c r="I454" s="71" t="str">
        <f>IF(T454=P454,"Richtig!",IF(T454="","Fehlt","Falsch"))</f>
        <v>Fehlt</v>
      </c>
      <c r="J454" s="30">
        <f>IF(OR(B454="-",N454="",AND(P454="",T454="")),"-",IF(I454="Richtig!",1,IF(I454="Formel: OK",0.5,IF(OR(I454="Falsch",I454="Fehlt"),0,""))))</f>
        <v>0</v>
      </c>
      <c r="K454" s="23" t="str">
        <f t="shared" si="100"/>
        <v>│</v>
      </c>
      <c r="L454" s="24">
        <f t="shared" si="110"/>
        <v>1</v>
      </c>
      <c r="N454" s="882" t="str">
        <f t="shared" si="108"/>
        <v>x</v>
      </c>
      <c r="P454" s="68">
        <f t="shared" si="105"/>
        <v>10.199999999999999</v>
      </c>
      <c r="Q454" s="69" t="str">
        <f t="shared" si="101"/>
        <v/>
      </c>
      <c r="R454" s="69" t="str">
        <f t="shared" si="102"/>
        <v/>
      </c>
      <c r="S454" s="65" t="str">
        <f t="shared" si="103"/>
        <v/>
      </c>
      <c r="T454" s="70" t="str">
        <f t="shared" si="104"/>
        <v/>
      </c>
    </row>
    <row r="455" spans="1:20" ht="12.75" customHeight="1" x14ac:dyDescent="0.2">
      <c r="A455" s="63"/>
      <c r="B455" s="63" t="s">
        <v>68</v>
      </c>
      <c r="C455" s="63"/>
      <c r="D455" s="68">
        <f>IF('[1]E-MKK2'!$E19="","",'[1]E-MKK2'!$E19)</f>
        <v>28.2</v>
      </c>
      <c r="E455" s="69"/>
      <c r="F455" s="69"/>
      <c r="G455" s="65"/>
      <c r="H455" s="70" t="str">
        <f>IF('MKK2'!D15="","",'MKK2'!D15)</f>
        <v/>
      </c>
      <c r="I455" s="71" t="str">
        <f>IF(T455=P455,"Richtig!",IF(T455="","Fehlt","Falsch"))</f>
        <v>Fehlt</v>
      </c>
      <c r="J455" s="30">
        <f>IF(OR(B455="-",N455="",AND(P455="",T455="")),"-",IF(I455="Richtig!",1,IF(I455="Formel: OK",0.5,IF(OR(I455="Falsch",I455="Fehlt"),0,""))))</f>
        <v>0</v>
      </c>
      <c r="K455" s="23" t="str">
        <f t="shared" si="100"/>
        <v>│</v>
      </c>
      <c r="L455" s="24">
        <f t="shared" si="110"/>
        <v>1</v>
      </c>
      <c r="N455" s="882" t="str">
        <f t="shared" si="108"/>
        <v>x</v>
      </c>
      <c r="P455" s="68">
        <f t="shared" si="105"/>
        <v>28.2</v>
      </c>
      <c r="Q455" s="69" t="str">
        <f t="shared" si="101"/>
        <v/>
      </c>
      <c r="R455" s="69" t="str">
        <f t="shared" si="102"/>
        <v/>
      </c>
      <c r="S455" s="65" t="str">
        <f t="shared" si="103"/>
        <v/>
      </c>
      <c r="T455" s="70" t="str">
        <f t="shared" si="104"/>
        <v/>
      </c>
    </row>
    <row r="456" spans="1:20" ht="12.75" customHeight="1" x14ac:dyDescent="0.2">
      <c r="A456" s="63"/>
      <c r="B456" s="62" t="s">
        <v>69</v>
      </c>
      <c r="C456" s="63"/>
      <c r="D456" s="72">
        <f>IF('[1]E-MKK2'!$G20="","",'[1]E-MKK2'!$G20)</f>
        <v>126.13333333333334</v>
      </c>
      <c r="E456" s="69"/>
      <c r="F456" s="73">
        <f>IF(AND('MKK2'!D12="",'MKK2'!D13="",'MKK2'!D14="",'MKK2'!D15="")="","-",SUM('MKK2'!D12:D15))</f>
        <v>0</v>
      </c>
      <c r="G456" s="65"/>
      <c r="H456" s="74" t="str">
        <f>IF('MKK2'!F16="","",'MKK2'!F16)</f>
        <v/>
      </c>
      <c r="I456" s="71" t="str">
        <f>IF(T456=P456,"Richtig!",IF(AND(R456&lt;&gt;"",T456&lt;&gt;P456,T456=R456),"Formel: OK",IF(T456="","Fehlt","Falsch")))</f>
        <v>Fehlt</v>
      </c>
      <c r="J456" s="30">
        <f>IF(OR(B456="-",N456="",AND(P456="",T456="")),"-",IF(I456="Richtig!",1,IF(I456="Formel: OK",0.5,IF(OR(I456="Falsch",I456="Fehlt"),0,""))))</f>
        <v>0</v>
      </c>
      <c r="K456" s="23" t="str">
        <f t="shared" si="100"/>
        <v>│</v>
      </c>
      <c r="L456" s="24">
        <f t="shared" si="110"/>
        <v>1</v>
      </c>
      <c r="N456" s="882" t="str">
        <f t="shared" si="108"/>
        <v>x</v>
      </c>
      <c r="P456" s="72">
        <f t="shared" si="105"/>
        <v>126.13333</v>
      </c>
      <c r="Q456" s="69" t="str">
        <f t="shared" si="101"/>
        <v/>
      </c>
      <c r="R456" s="73">
        <f t="shared" si="102"/>
        <v>0</v>
      </c>
      <c r="S456" s="65" t="str">
        <f t="shared" si="103"/>
        <v/>
      </c>
      <c r="T456" s="74" t="str">
        <f t="shared" si="104"/>
        <v/>
      </c>
    </row>
    <row r="457" spans="1:20" ht="12.75" x14ac:dyDescent="0.2">
      <c r="A457" s="18"/>
      <c r="B457" s="18"/>
      <c r="C457" s="18"/>
      <c r="D457" s="19"/>
      <c r="H457" s="17"/>
      <c r="I457" s="21"/>
      <c r="J457" s="21"/>
      <c r="K457" s="23" t="str">
        <f t="shared" si="100"/>
        <v/>
      </c>
      <c r="L457" s="24" t="str">
        <f t="shared" si="110"/>
        <v/>
      </c>
      <c r="N457" s="883" t="str">
        <f t="shared" si="108"/>
        <v>x</v>
      </c>
      <c r="P457" s="19" t="str">
        <f t="shared" si="105"/>
        <v/>
      </c>
      <c r="Q457" s="1" t="str">
        <f t="shared" si="101"/>
        <v/>
      </c>
      <c r="R457" s="1" t="str">
        <f t="shared" si="102"/>
        <v/>
      </c>
      <c r="S457" s="1" t="str">
        <f t="shared" si="103"/>
        <v/>
      </c>
      <c r="T457" s="17" t="str">
        <f t="shared" si="104"/>
        <v/>
      </c>
    </row>
    <row r="458" spans="1:20" ht="12.75" x14ac:dyDescent="0.2">
      <c r="A458" s="17" t="s">
        <v>14</v>
      </c>
      <c r="B458" s="17" t="s">
        <v>60</v>
      </c>
      <c r="C458" s="18"/>
      <c r="D458" s="19"/>
      <c r="H458" s="17"/>
      <c r="I458" s="21"/>
      <c r="J458" s="21"/>
      <c r="K458" s="23" t="str">
        <f t="shared" ref="K458:K521" si="111">IF(L458="","","│")</f>
        <v/>
      </c>
      <c r="L458" s="24" t="str">
        <f t="shared" si="110"/>
        <v/>
      </c>
      <c r="N458" s="880" t="str">
        <f t="shared" si="108"/>
        <v>x</v>
      </c>
      <c r="P458" s="19" t="str">
        <f t="shared" si="105"/>
        <v/>
      </c>
      <c r="Q458" s="1" t="str">
        <f t="shared" ref="Q458:Q521" si="112">IF(ISTEXT(E458),E458,IF(E458="","",ROUND(E458,$R$1)))</f>
        <v/>
      </c>
      <c r="R458" s="1" t="str">
        <f t="shared" ref="R458:R521" si="113">IF(ISTEXT(F458),F458,IF(F458="","",ROUND(F458,$R$1)))</f>
        <v/>
      </c>
      <c r="S458" s="1" t="str">
        <f t="shared" ref="S458:S521" si="114">IF(ISTEXT(G458),G458,IF(G458="","",ROUND(G458,$R$1)))</f>
        <v/>
      </c>
      <c r="T458" s="17" t="str">
        <f t="shared" ref="T458:T521" si="115">IF(ISTEXT(H458),H458,IF(H458="","",ROUND(H458,$R$1)))</f>
        <v/>
      </c>
    </row>
    <row r="459" spans="1:20" ht="12.75" hidden="1" customHeight="1" x14ac:dyDescent="0.2">
      <c r="A459" s="63"/>
      <c r="B459" s="63" t="s">
        <v>70</v>
      </c>
      <c r="C459" s="63"/>
      <c r="D459" s="26">
        <f>IF('[1]E-MKK2'!$G23="","",'[1]E-MKK2'!$G23)</f>
        <v>0</v>
      </c>
      <c r="E459" s="27"/>
      <c r="F459" s="27"/>
      <c r="H459" s="28" t="str">
        <f>IF('MKK2'!F19="","",'MKK2'!F19)</f>
        <v/>
      </c>
      <c r="I459" s="29" t="str">
        <f>IF(AND(P459="",T459=""),"",IF(T459=P459,"Richtig!",IF(T459="","Fehlt","Falsch")))</f>
        <v>Fehlt</v>
      </c>
      <c r="J459" s="30" t="str">
        <f>IF(OR(B459="-",N459="",AND(P459="",T459="")),"-",IF(I459="Richtig!",1,IF(I459="Formel: OK",0.5,IF(OR(I459="Falsch",I459="Fehlt"),0,""))))</f>
        <v>-</v>
      </c>
      <c r="K459" s="23" t="str">
        <f t="shared" si="111"/>
        <v/>
      </c>
      <c r="L459" s="24" t="str">
        <f t="shared" si="110"/>
        <v/>
      </c>
      <c r="N459" s="882"/>
      <c r="P459" s="26">
        <f t="shared" ref="P459:P522" si="116">IF(ISTEXT(D459),D459,IF(D459="","",ROUND(D459,$R$1)))</f>
        <v>0</v>
      </c>
      <c r="Q459" s="27" t="str">
        <f t="shared" si="112"/>
        <v/>
      </c>
      <c r="R459" s="27" t="str">
        <f t="shared" si="113"/>
        <v/>
      </c>
      <c r="S459" s="1" t="str">
        <f t="shared" si="114"/>
        <v/>
      </c>
      <c r="T459" s="28" t="str">
        <f t="shared" si="115"/>
        <v/>
      </c>
    </row>
    <row r="460" spans="1:20" ht="12.75" customHeight="1" x14ac:dyDescent="0.2">
      <c r="A460" s="63"/>
      <c r="B460" s="63" t="s">
        <v>71</v>
      </c>
      <c r="C460" s="63"/>
      <c r="D460" s="68">
        <f>IF('[1]E-MKK2'!$E24="","",'[1]E-MKK2'!$E24)</f>
        <v>28.2</v>
      </c>
      <c r="E460" s="69"/>
      <c r="F460" s="69"/>
      <c r="G460" s="65"/>
      <c r="H460" s="70" t="str">
        <f>IF('MKK2'!D20="","",'MKK2'!D20)</f>
        <v/>
      </c>
      <c r="I460" s="71" t="str">
        <f>IF(T460=P460,"Richtig!",IF(T460="","Fehlt","Falsch"))</f>
        <v>Fehlt</v>
      </c>
      <c r="J460" s="30">
        <f>IF(OR(B460="-",N460="",AND(P460="",T460="")),"-",IF(I460="Richtig!",1,IF(I460="Formel: OK",0.5,IF(OR(I460="Falsch",I460="Fehlt"),0,""))))</f>
        <v>0</v>
      </c>
      <c r="K460" s="23" t="str">
        <f t="shared" si="111"/>
        <v>│</v>
      </c>
      <c r="L460" s="24">
        <f t="shared" si="110"/>
        <v>1</v>
      </c>
      <c r="N460" s="882" t="str">
        <f t="shared" si="108"/>
        <v>x</v>
      </c>
      <c r="P460" s="68">
        <f t="shared" si="116"/>
        <v>28.2</v>
      </c>
      <c r="Q460" s="69" t="str">
        <f t="shared" si="112"/>
        <v/>
      </c>
      <c r="R460" s="69" t="str">
        <f t="shared" si="113"/>
        <v/>
      </c>
      <c r="S460" s="65" t="str">
        <f t="shared" si="114"/>
        <v/>
      </c>
      <c r="T460" s="70" t="str">
        <f t="shared" si="115"/>
        <v/>
      </c>
    </row>
    <row r="461" spans="1:20" ht="12.75" customHeight="1" x14ac:dyDescent="0.2">
      <c r="A461" s="63"/>
      <c r="B461" s="63" t="s">
        <v>72</v>
      </c>
      <c r="C461" s="63"/>
      <c r="D461" s="72">
        <f>IF('[1]E-MKK2'!$G24="","",'[1]E-MKK2'!$G24)</f>
        <v>19.175999999999998</v>
      </c>
      <c r="E461" s="69"/>
      <c r="F461" s="73" t="str">
        <f>IF(OR('MKK2'!D20="",[1]MKK2!G19=""),"-",'MKK2'!D20/100*[1]MKK2!G19)</f>
        <v>-</v>
      </c>
      <c r="G461" s="65"/>
      <c r="H461" s="74" t="str">
        <f>IF('MKK2'!F20="","",'MKK2'!F20)</f>
        <v/>
      </c>
      <c r="I461" s="71" t="str">
        <f>IF(T461=P461,"Richtig!",IF(AND(R461&lt;&gt;"",T461&lt;&gt;P461,T461=R461),"Formel: OK",IF(T461="","Fehlt","Falsch")))</f>
        <v>Fehlt</v>
      </c>
      <c r="J461" s="30">
        <f>IF(OR(B461="-",N461="",AND(P461="",T461="")),"-",IF(I461="Richtig!",1,IF(I461="Formel: OK",0.5,IF(OR(I461="Falsch",I461="Fehlt"),0,""))))</f>
        <v>0</v>
      </c>
      <c r="K461" s="23" t="str">
        <f t="shared" si="111"/>
        <v>│</v>
      </c>
      <c r="L461" s="24">
        <f t="shared" si="110"/>
        <v>1</v>
      </c>
      <c r="N461" s="882" t="str">
        <f t="shared" si="108"/>
        <v>x</v>
      </c>
      <c r="P461" s="72">
        <f t="shared" si="116"/>
        <v>19.175999999999998</v>
      </c>
      <c r="Q461" s="69" t="str">
        <f t="shared" si="112"/>
        <v/>
      </c>
      <c r="R461" s="73" t="str">
        <f t="shared" si="113"/>
        <v>-</v>
      </c>
      <c r="S461" s="65" t="str">
        <f t="shared" si="114"/>
        <v/>
      </c>
      <c r="T461" s="74" t="str">
        <f t="shared" si="115"/>
        <v/>
      </c>
    </row>
    <row r="462" spans="1:20" ht="12.75" customHeight="1" x14ac:dyDescent="0.2">
      <c r="A462" s="63"/>
      <c r="B462" s="62" t="s">
        <v>73</v>
      </c>
      <c r="C462" s="63"/>
      <c r="D462" s="72">
        <f>IF('[1]E-MKK2'!$G25="","",'[1]E-MKK2'!$G25)</f>
        <v>19.175999999999998</v>
      </c>
      <c r="E462" s="69"/>
      <c r="F462" s="73" t="str">
        <f>IF(AND('MKK2'!F19="",'MKK2'!F20=""),"-",SUM('MKK2'!F19:F20))</f>
        <v>-</v>
      </c>
      <c r="G462" s="65"/>
      <c r="H462" s="74" t="str">
        <f>IF('MKK2'!F21="","",'MKK2'!F21)</f>
        <v/>
      </c>
      <c r="I462" s="71" t="str">
        <f>IF(T462=P462,"Richtig!",IF(AND(R462&lt;&gt;"",T462&lt;&gt;P462,T462=R462),"Formel: OK",IF(T462="","Fehlt","Falsch")))</f>
        <v>Fehlt</v>
      </c>
      <c r="J462" s="30">
        <f>IF(OR(B462="-",N462="",AND(P462="",T462="")),"-",IF(I462="Richtig!",1,IF(I462="Formel: OK",0.5,IF(OR(I462="Falsch",I462="Fehlt"),0,""))))</f>
        <v>0</v>
      </c>
      <c r="K462" s="23" t="str">
        <f t="shared" si="111"/>
        <v>│</v>
      </c>
      <c r="L462" s="24">
        <f t="shared" si="110"/>
        <v>1</v>
      </c>
      <c r="N462" s="882" t="str">
        <f t="shared" si="108"/>
        <v>x</v>
      </c>
      <c r="P462" s="72">
        <f t="shared" si="116"/>
        <v>19.175999999999998</v>
      </c>
      <c r="Q462" s="69" t="str">
        <f t="shared" si="112"/>
        <v/>
      </c>
      <c r="R462" s="73" t="str">
        <f t="shared" si="113"/>
        <v>-</v>
      </c>
      <c r="S462" s="65" t="str">
        <f t="shared" si="114"/>
        <v/>
      </c>
      <c r="T462" s="74" t="str">
        <f t="shared" si="115"/>
        <v/>
      </c>
    </row>
    <row r="463" spans="1:20" ht="12.75" x14ac:dyDescent="0.2">
      <c r="A463" s="18"/>
      <c r="B463" s="18"/>
      <c r="C463" s="18"/>
      <c r="D463" s="19"/>
      <c r="H463" s="17"/>
      <c r="I463" s="21"/>
      <c r="J463" s="21"/>
      <c r="K463" s="23" t="str">
        <f t="shared" si="111"/>
        <v/>
      </c>
      <c r="L463" s="24" t="str">
        <f t="shared" si="110"/>
        <v/>
      </c>
      <c r="N463" s="883" t="str">
        <f t="shared" si="108"/>
        <v>x</v>
      </c>
      <c r="P463" s="19" t="str">
        <f t="shared" si="116"/>
        <v/>
      </c>
      <c r="Q463" s="1" t="str">
        <f t="shared" si="112"/>
        <v/>
      </c>
      <c r="R463" s="1" t="str">
        <f t="shared" si="113"/>
        <v/>
      </c>
      <c r="S463" s="1" t="str">
        <f t="shared" si="114"/>
        <v/>
      </c>
      <c r="T463" s="17" t="str">
        <f t="shared" si="115"/>
        <v/>
      </c>
    </row>
    <row r="464" spans="1:20" ht="12.75" x14ac:dyDescent="0.2">
      <c r="A464" s="17" t="s">
        <v>17</v>
      </c>
      <c r="B464" s="17" t="s">
        <v>74</v>
      </c>
      <c r="C464" s="18"/>
      <c r="D464" s="19"/>
      <c r="H464" s="17"/>
      <c r="I464" s="21"/>
      <c r="J464" s="21"/>
      <c r="K464" s="23" t="str">
        <f t="shared" si="111"/>
        <v/>
      </c>
      <c r="L464" s="24" t="str">
        <f t="shared" si="110"/>
        <v/>
      </c>
      <c r="N464" s="880" t="str">
        <f t="shared" si="108"/>
        <v>x</v>
      </c>
      <c r="P464" s="19" t="str">
        <f t="shared" si="116"/>
        <v/>
      </c>
      <c r="Q464" s="1" t="str">
        <f t="shared" si="112"/>
        <v/>
      </c>
      <c r="R464" s="1" t="str">
        <f t="shared" si="113"/>
        <v/>
      </c>
      <c r="S464" s="1" t="str">
        <f t="shared" si="114"/>
        <v/>
      </c>
      <c r="T464" s="17" t="str">
        <f t="shared" si="115"/>
        <v/>
      </c>
    </row>
    <row r="465" spans="1:20" ht="12.75" customHeight="1" x14ac:dyDescent="0.2">
      <c r="A465" s="63"/>
      <c r="B465" s="63" t="s">
        <v>75</v>
      </c>
      <c r="C465" s="63"/>
      <c r="D465" s="72">
        <f>IF('[1]E-MKK2'!$G28="","",'[1]E-MKK2'!$G28)</f>
        <v>1.8549019607843138</v>
      </c>
      <c r="E465" s="69"/>
      <c r="F465" s="73" t="str">
        <f>IF(OR('MKK2'!F16="",[1]MKK2!G19=""),"-",'MKK2'!F16/[1]MKK2!G19)</f>
        <v>-</v>
      </c>
      <c r="G465" s="65"/>
      <c r="H465" s="74" t="str">
        <f>IF('MKK2'!F24="","",'MKK2'!F24)</f>
        <v/>
      </c>
      <c r="I465" s="71" t="str">
        <f>IF(T465=P465,"Richtig!",IF(AND(R465&lt;&gt;"",T465&lt;&gt;P465,T465=R465),"Formel: OK",IF(T465="","Fehlt","Falsch")))</f>
        <v>Fehlt</v>
      </c>
      <c r="J465" s="30">
        <f>IF(OR(B465="-",N465="",AND(P465="",T465="")),"-",IF(I465="Richtig!",1,IF(I465="Formel: OK",0.5,IF(OR(I465="Falsch",I465="Fehlt"),0,""))))</f>
        <v>0</v>
      </c>
      <c r="K465" s="23" t="str">
        <f t="shared" si="111"/>
        <v>│</v>
      </c>
      <c r="L465" s="24">
        <f t="shared" si="110"/>
        <v>1</v>
      </c>
      <c r="N465" s="882" t="str">
        <f t="shared" si="108"/>
        <v>x</v>
      </c>
      <c r="P465" s="72">
        <f t="shared" si="116"/>
        <v>1.8549</v>
      </c>
      <c r="Q465" s="69" t="str">
        <f t="shared" si="112"/>
        <v/>
      </c>
      <c r="R465" s="73" t="str">
        <f t="shared" si="113"/>
        <v>-</v>
      </c>
      <c r="S465" s="65" t="str">
        <f t="shared" si="114"/>
        <v/>
      </c>
      <c r="T465" s="74" t="str">
        <f t="shared" si="115"/>
        <v/>
      </c>
    </row>
    <row r="466" spans="1:20" ht="12.75" customHeight="1" x14ac:dyDescent="0.2">
      <c r="A466" s="63"/>
      <c r="B466" s="63" t="s">
        <v>76</v>
      </c>
      <c r="C466" s="63"/>
      <c r="D466" s="72">
        <f>IF('[1]E-MKK2'!$G29="","",'[1]E-MKK2'!$G29)</f>
        <v>0.28199999999999997</v>
      </c>
      <c r="E466" s="69"/>
      <c r="F466" s="73" t="str">
        <f>IF(OR('MKK2'!F21="",[1]MKK2!G19=""),"-",'MKK2'!F21/[1]MKK2!G19)</f>
        <v>-</v>
      </c>
      <c r="G466" s="65"/>
      <c r="H466" s="74" t="str">
        <f>IF('MKK2'!F25="","",'MKK2'!F25)</f>
        <v/>
      </c>
      <c r="I466" s="71" t="str">
        <f>IF(T466=P466,"Richtig!",IF(AND(R466&lt;&gt;"",T466&lt;&gt;P466,T466=R466),"Formel: OK",IF(T466="","Fehlt","Falsch")))</f>
        <v>Fehlt</v>
      </c>
      <c r="J466" s="30">
        <f>IF(OR(B466="-",N466="",AND(P466="",T466="")),"-",IF(I466="Richtig!",1,IF(I466="Formel: OK",0.5,IF(OR(I466="Falsch",I466="Fehlt"),0,""))))</f>
        <v>0</v>
      </c>
      <c r="K466" s="23" t="str">
        <f t="shared" si="111"/>
        <v>│</v>
      </c>
      <c r="L466" s="24">
        <f t="shared" si="110"/>
        <v>1</v>
      </c>
      <c r="N466" s="882" t="str">
        <f t="shared" si="108"/>
        <v>x</v>
      </c>
      <c r="P466" s="72">
        <f t="shared" si="116"/>
        <v>0.28199999999999997</v>
      </c>
      <c r="Q466" s="69" t="str">
        <f t="shared" si="112"/>
        <v/>
      </c>
      <c r="R466" s="73" t="str">
        <f t="shared" si="113"/>
        <v>-</v>
      </c>
      <c r="S466" s="65" t="str">
        <f t="shared" si="114"/>
        <v/>
      </c>
      <c r="T466" s="74" t="str">
        <f t="shared" si="115"/>
        <v/>
      </c>
    </row>
    <row r="467" spans="1:20" ht="12.75" customHeight="1" x14ac:dyDescent="0.2">
      <c r="A467" s="63"/>
      <c r="B467" s="62" t="s">
        <v>77</v>
      </c>
      <c r="C467" s="63"/>
      <c r="D467" s="72">
        <f>IF('[1]E-MKK2'!$G30="","",'[1]E-MKK2'!$G30)</f>
        <v>2.1369019607843138</v>
      </c>
      <c r="E467" s="69"/>
      <c r="F467" s="73" t="str">
        <f>IF(AND('MKK2'!F24="",'MKK2'!F25=""),"-",SUM('MKK2'!F24:F25))</f>
        <v>-</v>
      </c>
      <c r="G467" s="65"/>
      <c r="H467" s="74" t="str">
        <f>IF('MKK2'!F26="","",'MKK2'!F26)</f>
        <v/>
      </c>
      <c r="I467" s="71" t="str">
        <f>IF(T467=P467,"Richtig!",IF(AND(R467&lt;&gt;"",T467&lt;&gt;P467,T467=R467),"Formel: OK",IF(T467="","Fehlt","Falsch")))</f>
        <v>Fehlt</v>
      </c>
      <c r="J467" s="30">
        <f>IF(OR(B467="-",N467="",AND(P467="",T467="")),"-",IF(I467="Richtig!",1,IF(I467="Formel: OK",0.5,IF(OR(I467="Falsch",I467="Fehlt"),0,""))))</f>
        <v>0</v>
      </c>
      <c r="K467" s="23" t="str">
        <f t="shared" si="111"/>
        <v>│</v>
      </c>
      <c r="L467" s="24">
        <f t="shared" si="110"/>
        <v>1</v>
      </c>
      <c r="N467" s="882" t="str">
        <f t="shared" si="108"/>
        <v>x</v>
      </c>
      <c r="P467" s="72">
        <f t="shared" si="116"/>
        <v>2.1368999999999998</v>
      </c>
      <c r="Q467" s="69" t="str">
        <f t="shared" si="112"/>
        <v/>
      </c>
      <c r="R467" s="73" t="str">
        <f t="shared" si="113"/>
        <v>-</v>
      </c>
      <c r="S467" s="65" t="str">
        <f t="shared" si="114"/>
        <v/>
      </c>
      <c r="T467" s="74" t="str">
        <f t="shared" si="115"/>
        <v/>
      </c>
    </row>
    <row r="468" spans="1:20" ht="12.75" customHeight="1" x14ac:dyDescent="0.2">
      <c r="A468" s="65"/>
      <c r="B468" s="65"/>
      <c r="C468" s="65"/>
      <c r="D468" s="64"/>
      <c r="E468" s="65"/>
      <c r="F468" s="65"/>
      <c r="G468" s="65"/>
      <c r="H468" s="75"/>
      <c r="I468" s="67"/>
      <c r="J468" s="67"/>
      <c r="K468" s="23" t="str">
        <f t="shared" si="111"/>
        <v/>
      </c>
      <c r="L468" s="24" t="str">
        <f t="shared" si="110"/>
        <v/>
      </c>
      <c r="N468" s="883" t="str">
        <f t="shared" si="108"/>
        <v>x</v>
      </c>
      <c r="P468" s="64" t="str">
        <f t="shared" si="116"/>
        <v/>
      </c>
      <c r="Q468" s="65" t="str">
        <f t="shared" si="112"/>
        <v/>
      </c>
      <c r="R468" s="65" t="str">
        <f t="shared" si="113"/>
        <v/>
      </c>
      <c r="S468" s="65" t="str">
        <f t="shared" si="114"/>
        <v/>
      </c>
      <c r="T468" s="75" t="str">
        <f t="shared" si="115"/>
        <v/>
      </c>
    </row>
    <row r="469" spans="1:20" ht="22.5" x14ac:dyDescent="0.2">
      <c r="A469" s="10" t="s">
        <v>79</v>
      </c>
      <c r="B469" s="11"/>
      <c r="C469" s="12"/>
      <c r="D469" s="13" t="s">
        <v>4</v>
      </c>
      <c r="E469" s="13"/>
      <c r="F469" s="14" t="s">
        <v>5</v>
      </c>
      <c r="G469" s="12"/>
      <c r="H469" s="14" t="s">
        <v>6</v>
      </c>
      <c r="I469" s="15" t="str">
        <f>"Fehler"</f>
        <v>Fehler</v>
      </c>
      <c r="J469" s="16" t="s">
        <v>7</v>
      </c>
      <c r="K469" s="16"/>
      <c r="L469" s="16"/>
      <c r="N469" s="881" t="str">
        <f t="shared" si="108"/>
        <v>x</v>
      </c>
      <c r="P469" s="13" t="str">
        <f t="shared" si="116"/>
        <v>Ergebnis</v>
      </c>
      <c r="Q469" s="13" t="str">
        <f t="shared" si="112"/>
        <v/>
      </c>
      <c r="R469" s="14" t="str">
        <f t="shared" si="113"/>
        <v>Formel-
prüfung</v>
      </c>
      <c r="S469" s="12" t="str">
        <f t="shared" si="114"/>
        <v/>
      </c>
      <c r="T469" s="14" t="str">
        <f t="shared" si="115"/>
        <v>Deine Be-rechnung</v>
      </c>
    </row>
    <row r="470" spans="1:20" s="79" customFormat="1" ht="12.75" customHeight="1" x14ac:dyDescent="0.2">
      <c r="A470" s="76" t="s">
        <v>30</v>
      </c>
      <c r="B470" s="76" t="str">
        <f>Jog!B5</f>
        <v>LEISTUNG</v>
      </c>
      <c r="C470" s="77"/>
      <c r="D470" s="78"/>
      <c r="H470" s="80"/>
      <c r="I470" s="81"/>
      <c r="J470" s="81"/>
      <c r="K470" s="23" t="str">
        <f t="shared" si="111"/>
        <v/>
      </c>
      <c r="L470" s="24" t="str">
        <f t="shared" ref="L470:L515" si="117">IF(OR(B470="-",N470="",AND(P470="",T470="")),"",1)</f>
        <v/>
      </c>
      <c r="M470" s="1"/>
      <c r="N470" s="880" t="str">
        <f t="shared" si="108"/>
        <v>x</v>
      </c>
      <c r="P470" s="78" t="str">
        <f t="shared" si="116"/>
        <v/>
      </c>
      <c r="Q470" s="79" t="str">
        <f t="shared" si="112"/>
        <v/>
      </c>
      <c r="R470" s="79" t="str">
        <f t="shared" si="113"/>
        <v/>
      </c>
      <c r="S470" s="79" t="str">
        <f t="shared" si="114"/>
        <v/>
      </c>
      <c r="T470" s="80" t="str">
        <f t="shared" si="115"/>
        <v/>
      </c>
    </row>
    <row r="471" spans="1:20" s="79" customFormat="1" ht="12.75" customHeight="1" x14ac:dyDescent="0.2">
      <c r="B471" s="82" t="str">
        <f>MID(Jog!C8,4,6)&amp;" "&amp;Jog!F5</f>
        <v xml:space="preserve">Gläser </v>
      </c>
      <c r="C471" s="77"/>
      <c r="D471" s="83">
        <f>IF('[1]E-Jog'!$F8="","",'[1]E-Jog'!$F8)</f>
        <v>807.40740740740739</v>
      </c>
      <c r="E471" s="84"/>
      <c r="F471" s="84"/>
      <c r="H471" s="85" t="str">
        <f>IF(Jog!$F8="","",Jog!$F8)</f>
        <v/>
      </c>
      <c r="I471" s="86" t="str">
        <f>IF(T471=P471,"Richtig!",IF(T471="","Fehlt","Falsch"))</f>
        <v>Fehlt</v>
      </c>
      <c r="J471" s="30">
        <f>IF(OR(B471="-",N471="",AND(P471="",T471="")),"-",IF(I471="Richtig!",1,IF(I471="Formel: OK",0.5,IF(OR(I471="Falsch",I471="Fehlt"),0,""))))</f>
        <v>0</v>
      </c>
      <c r="K471" s="23" t="str">
        <f t="shared" si="111"/>
        <v>│</v>
      </c>
      <c r="L471" s="24">
        <f t="shared" si="117"/>
        <v>1</v>
      </c>
      <c r="M471" s="1"/>
      <c r="N471" s="882" t="str">
        <f t="shared" si="108"/>
        <v>x</v>
      </c>
      <c r="P471" s="83">
        <f t="shared" si="116"/>
        <v>807.40741000000003</v>
      </c>
      <c r="Q471" s="84" t="str">
        <f t="shared" si="112"/>
        <v/>
      </c>
      <c r="R471" s="84" t="str">
        <f t="shared" si="113"/>
        <v/>
      </c>
      <c r="S471" s="79" t="str">
        <f t="shared" si="114"/>
        <v/>
      </c>
      <c r="T471" s="85" t="str">
        <f t="shared" si="115"/>
        <v/>
      </c>
    </row>
    <row r="472" spans="1:20" s="79" customFormat="1" ht="12.75" customHeight="1" x14ac:dyDescent="0.2">
      <c r="B472" s="82" t="str">
        <f>Jog!B9&amp;" "&amp;Jog!F5</f>
        <v xml:space="preserve">Verkaufserlös </v>
      </c>
      <c r="C472" s="77"/>
      <c r="D472" s="83">
        <f>IF('[1]E-Jog'!$F9="","",'[1]E-Jog'!$F9)</f>
        <v>403.7037037037037</v>
      </c>
      <c r="E472" s="84"/>
      <c r="F472" s="84"/>
      <c r="H472" s="85" t="str">
        <f>IF(Jog!$F9="","",Jog!$F9)</f>
        <v/>
      </c>
      <c r="I472" s="86" t="str">
        <f>IF(T472=P472,"Richtig!",IF(T472="","Fehlt","Falsch"))</f>
        <v>Fehlt</v>
      </c>
      <c r="J472" s="30">
        <f>IF(OR(B472="-",N472="",AND(P472="",T472="")),"-",IF(I472="Richtig!",1,IF(I472="Formel: OK",0.5,IF(OR(I472="Falsch",I472="Fehlt"),0,""))))</f>
        <v>0</v>
      </c>
      <c r="K472" s="23" t="str">
        <f t="shared" si="111"/>
        <v>│</v>
      </c>
      <c r="L472" s="24">
        <f t="shared" si="117"/>
        <v>1</v>
      </c>
      <c r="M472" s="1"/>
      <c r="N472" s="882" t="str">
        <f t="shared" si="108"/>
        <v>x</v>
      </c>
      <c r="P472" s="83">
        <f t="shared" si="116"/>
        <v>403.70370000000003</v>
      </c>
      <c r="Q472" s="84" t="str">
        <f t="shared" si="112"/>
        <v/>
      </c>
      <c r="R472" s="84" t="str">
        <f t="shared" si="113"/>
        <v/>
      </c>
      <c r="S472" s="79" t="str">
        <f t="shared" si="114"/>
        <v/>
      </c>
      <c r="T472" s="85" t="str">
        <f t="shared" si="115"/>
        <v/>
      </c>
    </row>
    <row r="473" spans="1:20" s="79" customFormat="1" ht="15" x14ac:dyDescent="0.2">
      <c r="A473" s="77"/>
      <c r="B473" s="87" t="str">
        <f>Jog!B10&amp;" "&amp;Jog!F5</f>
        <v xml:space="preserve">Berechnung fehlt! </v>
      </c>
      <c r="C473" s="77"/>
      <c r="D473" s="88">
        <f>IF('[1]E-Jog'!$F10="","",'[1]E-Jog'!$F10)</f>
        <v>-141.33396822222221</v>
      </c>
      <c r="E473" s="84"/>
      <c r="F473" s="89" t="str">
        <f>IF(OR(H472="",H510=""),"-",H472-H510)</f>
        <v>-</v>
      </c>
      <c r="H473" s="90" t="str">
        <f>IF(Jog!$F10="","",Jog!$F10)</f>
        <v/>
      </c>
      <c r="I473" s="86" t="str">
        <f>IF(B473="-","",IF(T473=P473,"Richtig!",IF(AND(P473&lt;&gt;T473,R473=T473),"Formel: OK",IF(T473="","Fehlt","Falsch"))))</f>
        <v>Fehlt</v>
      </c>
      <c r="J473" s="30">
        <f>IF(OR(B473="-",N473="",AND(P473="",T473="")),"-",IF(I473="Richtig!",1,IF(I473="Formel: OK",0.5,IF(OR(I473="Falsch",I473="Fehlt"),0,""))))</f>
        <v>0</v>
      </c>
      <c r="K473" s="23" t="str">
        <f t="shared" si="111"/>
        <v>│</v>
      </c>
      <c r="L473" s="24">
        <f t="shared" si="117"/>
        <v>1</v>
      </c>
      <c r="M473" s="1"/>
      <c r="N473" s="882" t="str">
        <f t="shared" si="108"/>
        <v>x</v>
      </c>
      <c r="P473" s="88">
        <f t="shared" si="116"/>
        <v>-141.33396999999999</v>
      </c>
      <c r="Q473" s="84" t="str">
        <f t="shared" si="112"/>
        <v/>
      </c>
      <c r="R473" s="89" t="str">
        <f t="shared" si="113"/>
        <v>-</v>
      </c>
      <c r="S473" s="79" t="str">
        <f t="shared" si="114"/>
        <v/>
      </c>
      <c r="T473" s="90" t="str">
        <f t="shared" si="115"/>
        <v/>
      </c>
    </row>
    <row r="474" spans="1:20" s="79" customFormat="1" ht="15" hidden="1" customHeight="1" x14ac:dyDescent="0.2">
      <c r="A474" s="77"/>
      <c r="B474" s="87" t="str">
        <f>Jog!B10&amp;" "&amp;Jog!H19</f>
        <v>Berechnung fehlt! pro Stk.</v>
      </c>
      <c r="C474" s="77"/>
      <c r="D474" s="88">
        <f>IF('[1]E-Jog'!$H10="","",'[1]E-Jog'!$H10)</f>
        <v>-0.17504665788990825</v>
      </c>
      <c r="E474" s="84"/>
      <c r="F474" s="89" t="str">
        <f>IF(OR(H473="",$H$471=""),"-",H473/$H$471)</f>
        <v>-</v>
      </c>
      <c r="H474" s="90" t="str">
        <f>IF(Jog!$H10="","",Jog!$H10)</f>
        <v>noch leer</v>
      </c>
      <c r="I474" s="86" t="str">
        <f>IF(B474="-","",IF(T474=P474,"Richtig!",IF(AND(P474&lt;&gt;T474,R474=T474),"Formel: OK",IF(T474="","Fehlt","Falsch"))))</f>
        <v>Falsch</v>
      </c>
      <c r="J474" s="30" t="str">
        <f>IF(OR(B474="-",N474="",AND(P474="",T474="")),"-",IF(I474="Richtig!",1,IF(I474="Formel: OK",0.5,IF(OR(I474="Falsch",I474="Fehlt"),0,""))))</f>
        <v>-</v>
      </c>
      <c r="K474" s="23" t="str">
        <f t="shared" si="111"/>
        <v/>
      </c>
      <c r="L474" s="24" t="str">
        <f t="shared" si="117"/>
        <v/>
      </c>
      <c r="M474" s="1"/>
      <c r="N474" s="882"/>
      <c r="P474" s="88">
        <f t="shared" si="116"/>
        <v>-0.17505000000000001</v>
      </c>
      <c r="Q474" s="84" t="str">
        <f t="shared" si="112"/>
        <v/>
      </c>
      <c r="R474" s="89" t="str">
        <f t="shared" si="113"/>
        <v>-</v>
      </c>
      <c r="S474" s="79" t="str">
        <f t="shared" si="114"/>
        <v/>
      </c>
      <c r="T474" s="90" t="str">
        <f t="shared" si="115"/>
        <v>noch leer</v>
      </c>
    </row>
    <row r="475" spans="1:20" ht="12.75" x14ac:dyDescent="0.2">
      <c r="A475" s="18"/>
      <c r="B475" s="18"/>
      <c r="C475" s="18"/>
      <c r="D475" s="19"/>
      <c r="H475" s="17"/>
      <c r="I475" s="21"/>
      <c r="J475" s="21"/>
      <c r="K475" s="23" t="str">
        <f t="shared" si="111"/>
        <v/>
      </c>
      <c r="L475" s="24" t="str">
        <f t="shared" si="117"/>
        <v/>
      </c>
      <c r="N475" s="883" t="str">
        <f>IF($L$1="","",$L$1)</f>
        <v>x</v>
      </c>
      <c r="P475" s="19" t="str">
        <f t="shared" si="116"/>
        <v/>
      </c>
      <c r="Q475" s="1" t="str">
        <f t="shared" si="112"/>
        <v/>
      </c>
      <c r="R475" s="1" t="str">
        <f t="shared" si="113"/>
        <v/>
      </c>
      <c r="S475" s="1" t="str">
        <f t="shared" si="114"/>
        <v/>
      </c>
      <c r="T475" s="17" t="str">
        <f t="shared" si="115"/>
        <v/>
      </c>
    </row>
    <row r="476" spans="1:20" ht="12.75" x14ac:dyDescent="0.2">
      <c r="A476" s="17" t="s">
        <v>12</v>
      </c>
      <c r="B476" s="17" t="str">
        <f>Jog!B15</f>
        <v>Rohstoffkosten</v>
      </c>
      <c r="C476" s="18"/>
      <c r="D476" s="19"/>
      <c r="H476" s="17"/>
      <c r="I476" s="21"/>
      <c r="J476" s="21"/>
      <c r="K476" s="23" t="str">
        <f t="shared" si="111"/>
        <v/>
      </c>
      <c r="L476" s="24" t="str">
        <f t="shared" si="117"/>
        <v/>
      </c>
      <c r="N476" s="880" t="str">
        <f>IF($L$1="","",$L$1)</f>
        <v>x</v>
      </c>
      <c r="P476" s="19" t="str">
        <f t="shared" si="116"/>
        <v/>
      </c>
      <c r="Q476" s="1" t="str">
        <f t="shared" si="112"/>
        <v/>
      </c>
      <c r="R476" s="1" t="str">
        <f t="shared" si="113"/>
        <v/>
      </c>
      <c r="S476" s="1" t="str">
        <f t="shared" si="114"/>
        <v/>
      </c>
      <c r="T476" s="17" t="str">
        <f t="shared" si="115"/>
        <v/>
      </c>
    </row>
    <row r="477" spans="1:20" s="79" customFormat="1" ht="12.75" customHeight="1" x14ac:dyDescent="0.2">
      <c r="A477" s="77"/>
      <c r="B477" s="87" t="str">
        <f>Jog!B16&amp;"kosten "&amp;Jog!F5</f>
        <v xml:space="preserve">Rohmilchkosten </v>
      </c>
      <c r="C477" s="77"/>
      <c r="D477" s="83">
        <f>IF('[1]E-Jog'!$G16="","",'[1]E-Jog'!$G16)</f>
        <v>80.66</v>
      </c>
      <c r="E477" s="84"/>
      <c r="F477" s="84"/>
      <c r="H477" s="85" t="str">
        <f>IF(Jog!$G16="","",Jog!$G16)</f>
        <v/>
      </c>
      <c r="I477" s="86" t="str">
        <f>IF(B477="-","",IF(T477=P477,"Richtig!",IF(T477="","Fehlt","Falsch")))</f>
        <v>Fehlt</v>
      </c>
      <c r="J477" s="30">
        <f>IF(OR(B477="-",N477="",AND(P477="",T477="")),"-",IF(I477="Richtig!",1,IF(I477="Formel: OK",0.5,IF(OR(I477="Falsch",I477="Fehlt"),0,""))))</f>
        <v>0</v>
      </c>
      <c r="K477" s="23" t="str">
        <f t="shared" si="111"/>
        <v>│</v>
      </c>
      <c r="L477" s="24">
        <f t="shared" si="117"/>
        <v>1</v>
      </c>
      <c r="M477" s="1"/>
      <c r="N477" s="882" t="str">
        <f>IF($L$1="","",$L$1)</f>
        <v>x</v>
      </c>
      <c r="P477" s="83">
        <f t="shared" si="116"/>
        <v>80.66</v>
      </c>
      <c r="Q477" s="84" t="str">
        <f t="shared" si="112"/>
        <v/>
      </c>
      <c r="R477" s="84" t="str">
        <f t="shared" si="113"/>
        <v/>
      </c>
      <c r="S477" s="79" t="str">
        <f t="shared" si="114"/>
        <v/>
      </c>
      <c r="T477" s="85" t="str">
        <f t="shared" si="115"/>
        <v/>
      </c>
    </row>
    <row r="478" spans="1:20" s="79" customFormat="1" ht="15" hidden="1" customHeight="1" x14ac:dyDescent="0.2">
      <c r="A478" s="77"/>
      <c r="B478" s="91" t="str">
        <f>Jog!B17&amp;" "&amp;Jog!F5</f>
        <v xml:space="preserve">Summe Rohstoffkosten </v>
      </c>
      <c r="C478" s="77"/>
      <c r="D478" s="88">
        <f>IF('[1]E-Jog'!$G17="","",'[1]E-Jog'!$G17)</f>
        <v>80.66</v>
      </c>
      <c r="E478" s="84"/>
      <c r="F478" s="89" t="str">
        <f>IF(H477="","-",H477)</f>
        <v>-</v>
      </c>
      <c r="H478" s="90">
        <f>IF(Jog!$G17="","",Jog!$G17)</f>
        <v>0</v>
      </c>
      <c r="I478" s="86" t="str">
        <f>IF(B478="-","",IF(T478=P478,"Richtig!",IF(AND(P478&lt;&gt;T478,R478=T478),"Formel: OK",IF(T478="","Fehlt","Falsch"))))</f>
        <v>Falsch</v>
      </c>
      <c r="J478" s="30" t="str">
        <f>IF(OR(B478="-",N478="",AND(P478="",T478="")),"-",IF(I478="Richtig!",1,IF(I478="Formel: OK",0.5,IF(OR(I478="Falsch",I478="Fehlt"),0,""))))</f>
        <v>-</v>
      </c>
      <c r="K478" s="23" t="str">
        <f t="shared" si="111"/>
        <v/>
      </c>
      <c r="L478" s="24" t="str">
        <f t="shared" si="117"/>
        <v/>
      </c>
      <c r="M478" s="1"/>
      <c r="N478" s="882"/>
      <c r="P478" s="88">
        <f t="shared" si="116"/>
        <v>80.66</v>
      </c>
      <c r="Q478" s="84" t="str">
        <f t="shared" si="112"/>
        <v/>
      </c>
      <c r="R478" s="89" t="str">
        <f t="shared" si="113"/>
        <v>-</v>
      </c>
      <c r="S478" s="79" t="str">
        <f t="shared" si="114"/>
        <v/>
      </c>
      <c r="T478" s="90">
        <f t="shared" si="115"/>
        <v>0</v>
      </c>
    </row>
    <row r="479" spans="1:20" s="79" customFormat="1" ht="15" x14ac:dyDescent="0.2">
      <c r="A479" s="77"/>
      <c r="B479" s="91" t="str">
        <f>Jog!B17&amp;" "&amp;Jog!H19</f>
        <v>Summe Rohstoffkosten pro Stk.</v>
      </c>
      <c r="C479" s="77"/>
      <c r="D479" s="88">
        <f>IF('[1]E-Jog'!$H17="","",'[1]E-Jog'!$H17)</f>
        <v>9.9900000000000003E-2</v>
      </c>
      <c r="E479" s="84"/>
      <c r="F479" s="89" t="str">
        <f>IF(OR(H478="",$H$471=""),"-",H478/$H$471)</f>
        <v>-</v>
      </c>
      <c r="H479" s="90" t="str">
        <f>IF(Jog!$H17="","",Jog!$H17)</f>
        <v/>
      </c>
      <c r="I479" s="86" t="str">
        <f>IF(B479="-","",IF(T479=P479,"Richtig!",IF(AND(P479&lt;&gt;T479,R479=T479),"Formel: OK",IF(T479="","Fehlt","Falsch"))))</f>
        <v>Fehlt</v>
      </c>
      <c r="J479" s="30">
        <f>IF(OR(B479="-",N479="",AND(P479="",T479="")),"-",IF(I479="Richtig!",1,IF(I479="Formel: OK",0.5,IF(OR(I479="Falsch",I479="Fehlt"),0,""))))</f>
        <v>0</v>
      </c>
      <c r="K479" s="23" t="str">
        <f t="shared" si="111"/>
        <v>│</v>
      </c>
      <c r="L479" s="24">
        <f t="shared" si="117"/>
        <v>1</v>
      </c>
      <c r="M479" s="1"/>
      <c r="N479" s="882" t="str">
        <f>IF($L$1="","",$L$1)</f>
        <v>x</v>
      </c>
      <c r="P479" s="88">
        <f t="shared" si="116"/>
        <v>9.9900000000000003E-2</v>
      </c>
      <c r="Q479" s="84" t="str">
        <f t="shared" si="112"/>
        <v/>
      </c>
      <c r="R479" s="89" t="str">
        <f t="shared" si="113"/>
        <v>-</v>
      </c>
      <c r="S479" s="79" t="str">
        <f t="shared" si="114"/>
        <v/>
      </c>
      <c r="T479" s="90" t="str">
        <f t="shared" si="115"/>
        <v/>
      </c>
    </row>
    <row r="480" spans="1:20" ht="12.75" x14ac:dyDescent="0.2">
      <c r="A480" s="18"/>
      <c r="B480" s="18"/>
      <c r="C480" s="18"/>
      <c r="D480" s="19"/>
      <c r="H480" s="17"/>
      <c r="I480" s="21"/>
      <c r="J480" s="21"/>
      <c r="K480" s="23" t="str">
        <f t="shared" si="111"/>
        <v/>
      </c>
      <c r="L480" s="24" t="str">
        <f t="shared" si="117"/>
        <v/>
      </c>
      <c r="N480" s="883" t="str">
        <f>IF($L$1="","",$L$1)</f>
        <v>x</v>
      </c>
      <c r="P480" s="19" t="str">
        <f t="shared" si="116"/>
        <v/>
      </c>
      <c r="Q480" s="1" t="str">
        <f t="shared" si="112"/>
        <v/>
      </c>
      <c r="R480" s="1" t="str">
        <f t="shared" si="113"/>
        <v/>
      </c>
      <c r="S480" s="1" t="str">
        <f t="shared" si="114"/>
        <v/>
      </c>
      <c r="T480" s="17" t="str">
        <f t="shared" si="115"/>
        <v/>
      </c>
    </row>
    <row r="481" spans="1:20" ht="12.75" x14ac:dyDescent="0.2">
      <c r="A481" s="17" t="s">
        <v>14</v>
      </c>
      <c r="B481" s="17" t="str">
        <f>Jog!B19</f>
        <v>Verarbeitungskosten</v>
      </c>
      <c r="C481" s="18"/>
      <c r="D481" s="19"/>
      <c r="H481" s="17"/>
      <c r="I481" s="21"/>
      <c r="J481" s="21"/>
      <c r="K481" s="23" t="str">
        <f t="shared" si="111"/>
        <v/>
      </c>
      <c r="L481" s="24" t="str">
        <f t="shared" si="117"/>
        <v/>
      </c>
      <c r="N481" s="880" t="str">
        <f>IF($L$1="","",$L$1)</f>
        <v>x</v>
      </c>
      <c r="P481" s="19" t="str">
        <f t="shared" si="116"/>
        <v/>
      </c>
      <c r="Q481" s="1" t="str">
        <f t="shared" si="112"/>
        <v/>
      </c>
      <c r="R481" s="1" t="str">
        <f t="shared" si="113"/>
        <v/>
      </c>
      <c r="S481" s="1" t="str">
        <f t="shared" si="114"/>
        <v/>
      </c>
      <c r="T481" s="17" t="str">
        <f t="shared" si="115"/>
        <v/>
      </c>
    </row>
    <row r="482" spans="1:20" s="79" customFormat="1" ht="12.75" customHeight="1" x14ac:dyDescent="0.2">
      <c r="A482" s="77"/>
      <c r="B482" s="87" t="str">
        <f>IF(Jog!B20="","-",Jog!B20&amp;" "&amp;Jog!$F$5)</f>
        <v xml:space="preserve">Glas </v>
      </c>
      <c r="C482" s="77"/>
      <c r="D482" s="83">
        <f>IF('[1]E-Jog'!$G20="","",'[1]E-Jog'!$G20)</f>
        <v>137.25925925925927</v>
      </c>
      <c r="E482" s="84"/>
      <c r="F482" s="84"/>
      <c r="H482" s="85" t="str">
        <f>IF(Jog!$G20="","",Jog!$G20)</f>
        <v/>
      </c>
      <c r="I482" s="86" t="str">
        <f t="shared" ref="I482:I490" si="118">IF(B482="-","",IF(T482=P482,"Richtig!",IF(T482="","Fehlt","Falsch")))</f>
        <v>Fehlt</v>
      </c>
      <c r="J482" s="30">
        <f t="shared" ref="J482:J492" si="119">IF(OR(B482="-",N482="",AND(P482="",T482="")),"-",IF(I482="Richtig!",1,IF(I482="Formel: OK",0.5,IF(OR(I482="Falsch",I482="Fehlt"),0,""))))</f>
        <v>0</v>
      </c>
      <c r="K482" s="23" t="str">
        <f t="shared" si="111"/>
        <v>│</v>
      </c>
      <c r="L482" s="24">
        <f t="shared" si="117"/>
        <v>1</v>
      </c>
      <c r="M482" s="1"/>
      <c r="N482" s="882" t="str">
        <f>IF($L$1="","",$L$1)</f>
        <v>x</v>
      </c>
      <c r="P482" s="83">
        <f t="shared" si="116"/>
        <v>137.25926000000001</v>
      </c>
      <c r="Q482" s="84" t="str">
        <f t="shared" si="112"/>
        <v/>
      </c>
      <c r="R482" s="84" t="str">
        <f t="shared" si="113"/>
        <v/>
      </c>
      <c r="S482" s="79" t="str">
        <f t="shared" si="114"/>
        <v/>
      </c>
      <c r="T482" s="85" t="str">
        <f t="shared" si="115"/>
        <v/>
      </c>
    </row>
    <row r="483" spans="1:20" s="79" customFormat="1" ht="15" hidden="1" customHeight="1" x14ac:dyDescent="0.2">
      <c r="A483" s="77"/>
      <c r="B483" s="87" t="str">
        <f>IF(Jog!B21="","-",Jog!B21&amp;" "&amp;Jog!$F$5)</f>
        <v xml:space="preserve">Deckel und Etikett </v>
      </c>
      <c r="C483" s="77"/>
      <c r="D483" s="83">
        <f>IF('[1]E-Jog'!$G21="","",'[1]E-Jog'!$G21)</f>
        <v>72.666666666666657</v>
      </c>
      <c r="E483" s="84"/>
      <c r="F483" s="84"/>
      <c r="H483" s="85">
        <f>IF(Jog!$G21="","",Jog!$G21)</f>
        <v>0</v>
      </c>
      <c r="I483" s="86" t="str">
        <f t="shared" si="118"/>
        <v>Falsch</v>
      </c>
      <c r="J483" s="30" t="str">
        <f t="shared" si="119"/>
        <v>-</v>
      </c>
      <c r="K483" s="23" t="str">
        <f t="shared" si="111"/>
        <v/>
      </c>
      <c r="L483" s="24" t="str">
        <f t="shared" si="117"/>
        <v/>
      </c>
      <c r="M483" s="1"/>
      <c r="N483" s="882"/>
      <c r="P483" s="83">
        <f t="shared" si="116"/>
        <v>72.666669999999996</v>
      </c>
      <c r="Q483" s="84" t="str">
        <f t="shared" si="112"/>
        <v/>
      </c>
      <c r="R483" s="84" t="str">
        <f t="shared" si="113"/>
        <v/>
      </c>
      <c r="S483" s="79" t="str">
        <f t="shared" si="114"/>
        <v/>
      </c>
      <c r="T483" s="85">
        <f t="shared" si="115"/>
        <v>0</v>
      </c>
    </row>
    <row r="484" spans="1:20" s="79" customFormat="1" ht="15" x14ac:dyDescent="0.2">
      <c r="B484" s="87" t="str">
        <f>IF(Jog!B22="","-",Jog!B22&amp;" "&amp;Jog!$F$5)</f>
        <v xml:space="preserve">Jogurtkultur </v>
      </c>
      <c r="C484" s="77"/>
      <c r="D484" s="83">
        <f>IF('[1]E-Jog'!$G22="","",'[1]E-Jog'!$G22)</f>
        <v>2.59</v>
      </c>
      <c r="E484" s="84"/>
      <c r="F484" s="84"/>
      <c r="H484" s="85" t="str">
        <f>IF(Jog!$G22="","",Jog!$G22)</f>
        <v/>
      </c>
      <c r="I484" s="86" t="str">
        <f t="shared" si="118"/>
        <v>Fehlt</v>
      </c>
      <c r="J484" s="30">
        <f t="shared" si="119"/>
        <v>0</v>
      </c>
      <c r="K484" s="23" t="str">
        <f t="shared" si="111"/>
        <v>│</v>
      </c>
      <c r="L484" s="24">
        <f t="shared" si="117"/>
        <v>1</v>
      </c>
      <c r="M484" s="1"/>
      <c r="N484" s="882" t="str">
        <f>IF($L$1="","",$L$1)</f>
        <v>x</v>
      </c>
      <c r="P484" s="83">
        <f t="shared" si="116"/>
        <v>2.59</v>
      </c>
      <c r="Q484" s="84" t="str">
        <f t="shared" si="112"/>
        <v/>
      </c>
      <c r="R484" s="84" t="str">
        <f t="shared" si="113"/>
        <v/>
      </c>
      <c r="S484" s="79" t="str">
        <f t="shared" si="114"/>
        <v/>
      </c>
      <c r="T484" s="85" t="str">
        <f t="shared" si="115"/>
        <v/>
      </c>
    </row>
    <row r="485" spans="1:20" s="79" customFormat="1" ht="15" x14ac:dyDescent="0.2">
      <c r="B485" s="87" t="str">
        <f>IF(Jog!B23="","-",Jog!B23&amp;" "&amp;Jog!$F$5)</f>
        <v xml:space="preserve">Geschmackszutaten: Erdbeer </v>
      </c>
      <c r="C485" s="77"/>
      <c r="D485" s="83">
        <f>IF('[1]E-Jog'!$G23="","",'[1]E-Jog'!$G23)</f>
        <v>28.776000000000003</v>
      </c>
      <c r="E485" s="84"/>
      <c r="F485" s="84"/>
      <c r="H485" s="85" t="str">
        <f>IF(Jog!$G23="","",Jog!$G23)</f>
        <v/>
      </c>
      <c r="I485" s="86" t="str">
        <f t="shared" si="118"/>
        <v>Fehlt</v>
      </c>
      <c r="J485" s="30">
        <f t="shared" si="119"/>
        <v>0</v>
      </c>
      <c r="K485" s="23" t="str">
        <f t="shared" si="111"/>
        <v>│</v>
      </c>
      <c r="L485" s="24">
        <f t="shared" si="117"/>
        <v>1</v>
      </c>
      <c r="M485" s="1"/>
      <c r="N485" s="882" t="str">
        <f>IF($L$1="","",$L$1)</f>
        <v>x</v>
      </c>
      <c r="P485" s="83">
        <f t="shared" si="116"/>
        <v>28.776</v>
      </c>
      <c r="Q485" s="84" t="str">
        <f t="shared" si="112"/>
        <v/>
      </c>
      <c r="R485" s="84" t="str">
        <f t="shared" si="113"/>
        <v/>
      </c>
      <c r="S485" s="79" t="str">
        <f t="shared" si="114"/>
        <v/>
      </c>
      <c r="T485" s="85" t="str">
        <f t="shared" si="115"/>
        <v/>
      </c>
    </row>
    <row r="486" spans="1:20" s="79" customFormat="1" ht="15" x14ac:dyDescent="0.2">
      <c r="B486" s="87" t="str">
        <f>IF(Jog!B24="","-",Jog!B24&amp;" "&amp;Jog!$F$5)</f>
        <v xml:space="preserve">Zucker </v>
      </c>
      <c r="C486" s="77"/>
      <c r="D486" s="83">
        <f>IF('[1]E-Jog'!$G24="","",'[1]E-Jog'!$G24)</f>
        <v>0.95700000000000007</v>
      </c>
      <c r="E486" s="84"/>
      <c r="F486" s="84"/>
      <c r="H486" s="85" t="str">
        <f>IF(Jog!$G24="","",Jog!$G24)</f>
        <v/>
      </c>
      <c r="I486" s="86" t="str">
        <f t="shared" si="118"/>
        <v>Fehlt</v>
      </c>
      <c r="J486" s="30">
        <f t="shared" si="119"/>
        <v>0</v>
      </c>
      <c r="K486" s="23" t="str">
        <f t="shared" si="111"/>
        <v>│</v>
      </c>
      <c r="L486" s="24">
        <f t="shared" si="117"/>
        <v>1</v>
      </c>
      <c r="M486" s="1"/>
      <c r="N486" s="882" t="str">
        <f>IF($L$1="","",$L$1)</f>
        <v>x</v>
      </c>
      <c r="P486" s="83">
        <f t="shared" si="116"/>
        <v>0.95699999999999996</v>
      </c>
      <c r="Q486" s="84" t="str">
        <f t="shared" si="112"/>
        <v/>
      </c>
      <c r="R486" s="84" t="str">
        <f t="shared" si="113"/>
        <v/>
      </c>
      <c r="S486" s="79" t="str">
        <f t="shared" si="114"/>
        <v/>
      </c>
      <c r="T486" s="85" t="str">
        <f t="shared" si="115"/>
        <v/>
      </c>
    </row>
    <row r="487" spans="1:20" s="79" customFormat="1" ht="15" hidden="1" customHeight="1" x14ac:dyDescent="0.2">
      <c r="B487" s="87" t="str">
        <f>IF(Jog!B25="","-",Jog!B25&amp;" "&amp;Jog!$F$5)</f>
        <v xml:space="preserve">Strom </v>
      </c>
      <c r="C487" s="77"/>
      <c r="D487" s="83">
        <f>IF('[1]E-Jog'!$G25="","",'[1]E-Jog'!$G25)</f>
        <v>4.03</v>
      </c>
      <c r="E487" s="84"/>
      <c r="F487" s="84"/>
      <c r="H487" s="85">
        <f>IF(Jog!$G25="","",Jog!$G25)</f>
        <v>4.03</v>
      </c>
      <c r="I487" s="86" t="str">
        <f t="shared" si="118"/>
        <v>Richtig!</v>
      </c>
      <c r="J487" s="30" t="str">
        <f t="shared" si="119"/>
        <v>-</v>
      </c>
      <c r="K487" s="23" t="str">
        <f t="shared" si="111"/>
        <v/>
      </c>
      <c r="L487" s="24" t="str">
        <f t="shared" si="117"/>
        <v/>
      </c>
      <c r="M487" s="1"/>
      <c r="N487" s="882"/>
      <c r="P487" s="83">
        <f t="shared" si="116"/>
        <v>4.03</v>
      </c>
      <c r="Q487" s="84" t="str">
        <f t="shared" si="112"/>
        <v/>
      </c>
      <c r="R487" s="84" t="str">
        <f t="shared" si="113"/>
        <v/>
      </c>
      <c r="S487" s="79" t="str">
        <f t="shared" si="114"/>
        <v/>
      </c>
      <c r="T487" s="85">
        <f t="shared" si="115"/>
        <v>4.03</v>
      </c>
    </row>
    <row r="488" spans="1:20" s="79" customFormat="1" ht="15" hidden="1" customHeight="1" x14ac:dyDescent="0.2">
      <c r="B488" s="87" t="str">
        <f>IF(Jog!B26="","-",Jog!B26&amp;" "&amp;Jog!$F$5)</f>
        <v xml:space="preserve">Wasser (inkl. Abwasser) </v>
      </c>
      <c r="C488" s="77"/>
      <c r="D488" s="83">
        <f>IF('[1]E-Jog'!$G26="","",'[1]E-Jog'!$G26)</f>
        <v>8.0849999999999991</v>
      </c>
      <c r="E488" s="84"/>
      <c r="F488" s="84"/>
      <c r="H488" s="85">
        <f>IF(Jog!$G26="","",Jog!$G26)</f>
        <v>8.0849999999999991</v>
      </c>
      <c r="I488" s="86" t="str">
        <f t="shared" si="118"/>
        <v>Richtig!</v>
      </c>
      <c r="J488" s="30" t="str">
        <f t="shared" si="119"/>
        <v>-</v>
      </c>
      <c r="K488" s="23" t="str">
        <f t="shared" si="111"/>
        <v/>
      </c>
      <c r="L488" s="24" t="str">
        <f t="shared" si="117"/>
        <v/>
      </c>
      <c r="M488" s="1"/>
      <c r="N488" s="882"/>
      <c r="P488" s="83">
        <f t="shared" si="116"/>
        <v>8.0850000000000009</v>
      </c>
      <c r="Q488" s="84" t="str">
        <f t="shared" si="112"/>
        <v/>
      </c>
      <c r="R488" s="84" t="str">
        <f t="shared" si="113"/>
        <v/>
      </c>
      <c r="S488" s="79" t="str">
        <f t="shared" si="114"/>
        <v/>
      </c>
      <c r="T488" s="85">
        <f t="shared" si="115"/>
        <v>8.0850000000000009</v>
      </c>
    </row>
    <row r="489" spans="1:20" s="79" customFormat="1" ht="15" hidden="1" customHeight="1" x14ac:dyDescent="0.2">
      <c r="B489" s="87" t="str">
        <f>IF(Jog!B27="","-",Jog!B27&amp;" "&amp;Jog!$F$5)</f>
        <v>-</v>
      </c>
      <c r="C489" s="77"/>
      <c r="D489" s="83" t="str">
        <f>IF('[1]E-Jog'!$G27="","",'[1]E-Jog'!$G27)</f>
        <v/>
      </c>
      <c r="E489" s="84"/>
      <c r="F489" s="84"/>
      <c r="H489" s="85" t="str">
        <f>IF(Jog!$G27="","",Jog!$G27)</f>
        <v/>
      </c>
      <c r="I489" s="86" t="str">
        <f t="shared" si="118"/>
        <v/>
      </c>
      <c r="J489" s="30" t="str">
        <f t="shared" si="119"/>
        <v>-</v>
      </c>
      <c r="K489" s="23" t="str">
        <f t="shared" si="111"/>
        <v/>
      </c>
      <c r="L489" s="24" t="str">
        <f t="shared" si="117"/>
        <v/>
      </c>
      <c r="M489" s="1"/>
      <c r="N489" s="882"/>
      <c r="P489" s="83" t="str">
        <f t="shared" si="116"/>
        <v/>
      </c>
      <c r="Q489" s="84" t="str">
        <f t="shared" si="112"/>
        <v/>
      </c>
      <c r="R489" s="84" t="str">
        <f t="shared" si="113"/>
        <v/>
      </c>
      <c r="S489" s="79" t="str">
        <f t="shared" si="114"/>
        <v/>
      </c>
      <c r="T489" s="85" t="str">
        <f t="shared" si="115"/>
        <v/>
      </c>
    </row>
    <row r="490" spans="1:20" s="79" customFormat="1" ht="15" hidden="1" customHeight="1" x14ac:dyDescent="0.2">
      <c r="B490" s="87" t="str">
        <f>IF(Jog!B28="","-",Jog!B28&amp;" "&amp;Jog!$F$5)</f>
        <v>-</v>
      </c>
      <c r="C490" s="77"/>
      <c r="D490" s="83" t="str">
        <f>IF('[1]E-Jog'!$G28="","",'[1]E-Jog'!$G28)</f>
        <v/>
      </c>
      <c r="E490" s="84"/>
      <c r="F490" s="84"/>
      <c r="H490" s="85" t="str">
        <f>IF(Jog!$G28="","",Jog!$G28)</f>
        <v/>
      </c>
      <c r="I490" s="86" t="str">
        <f t="shared" si="118"/>
        <v/>
      </c>
      <c r="J490" s="30" t="str">
        <f t="shared" si="119"/>
        <v>-</v>
      </c>
      <c r="K490" s="23" t="str">
        <f t="shared" si="111"/>
        <v/>
      </c>
      <c r="L490" s="24" t="str">
        <f t="shared" si="117"/>
        <v/>
      </c>
      <c r="M490" s="1"/>
      <c r="N490" s="882"/>
      <c r="P490" s="83" t="str">
        <f t="shared" si="116"/>
        <v/>
      </c>
      <c r="Q490" s="84" t="str">
        <f t="shared" si="112"/>
        <v/>
      </c>
      <c r="R490" s="84" t="str">
        <f t="shared" si="113"/>
        <v/>
      </c>
      <c r="S490" s="79" t="str">
        <f t="shared" si="114"/>
        <v/>
      </c>
      <c r="T490" s="85" t="str">
        <f t="shared" si="115"/>
        <v/>
      </c>
    </row>
    <row r="491" spans="1:20" s="79" customFormat="1" ht="15" x14ac:dyDescent="0.2">
      <c r="A491" s="77"/>
      <c r="B491" s="91" t="str">
        <f>Jog!B29&amp;" "&amp;Jog!$F$5</f>
        <v xml:space="preserve">Summe Verarbeitungskosten </v>
      </c>
      <c r="C491" s="77"/>
      <c r="D491" s="88">
        <f>IF('[1]E-Jog'!$G29="","",'[1]E-Jog'!$G29)</f>
        <v>254.36392592592594</v>
      </c>
      <c r="E491" s="84"/>
      <c r="F491" s="89">
        <f>IF(AND(H482="",H483="",H484="",H485="",H486="",H487="",H488="",H489="",H490=""),"-",SUM(H482:H490))</f>
        <v>12.114999999999998</v>
      </c>
      <c r="H491" s="90" t="str">
        <f>IF(Jog!$G29="","",Jog!$G29)</f>
        <v/>
      </c>
      <c r="I491" s="86" t="str">
        <f>IF(B491="-","",IF(T491=P491,"Richtig!",IF(AND(P491&lt;&gt;T491,R491=T491),"Formel: OK",IF(T491="","Fehlt","Falsch"))))</f>
        <v>Fehlt</v>
      </c>
      <c r="J491" s="30">
        <f t="shared" si="119"/>
        <v>0</v>
      </c>
      <c r="K491" s="23" t="str">
        <f t="shared" si="111"/>
        <v>│</v>
      </c>
      <c r="L491" s="24">
        <f t="shared" si="117"/>
        <v>1</v>
      </c>
      <c r="M491" s="1"/>
      <c r="N491" s="882" t="str">
        <f>IF($L$1="","",$L$1)</f>
        <v>x</v>
      </c>
      <c r="P491" s="88">
        <f t="shared" si="116"/>
        <v>254.36393000000001</v>
      </c>
      <c r="Q491" s="84" t="str">
        <f t="shared" si="112"/>
        <v/>
      </c>
      <c r="R491" s="89">
        <f t="shared" si="113"/>
        <v>12.115</v>
      </c>
      <c r="S491" s="79" t="str">
        <f t="shared" si="114"/>
        <v/>
      </c>
      <c r="T491" s="90" t="str">
        <f t="shared" si="115"/>
        <v/>
      </c>
    </row>
    <row r="492" spans="1:20" s="79" customFormat="1" ht="15" x14ac:dyDescent="0.2">
      <c r="A492" s="77"/>
      <c r="B492" s="91" t="str">
        <f>Jog!B29&amp;" "&amp;Jog!$H$19</f>
        <v>Summe Verarbeitungskosten pro Stk.</v>
      </c>
      <c r="C492" s="77"/>
      <c r="D492" s="88">
        <f>IF('[1]E-Jog'!$H29="","",'[1]E-Jog'!$H29)</f>
        <v>0.31503788990825693</v>
      </c>
      <c r="E492" s="84"/>
      <c r="F492" s="89" t="str">
        <f>IF(OR(H491="",$H$471=""),"-",H491/$H$471)</f>
        <v>-</v>
      </c>
      <c r="H492" s="90" t="str">
        <f>IF(Jog!$H29="","",Jog!$H29)</f>
        <v/>
      </c>
      <c r="I492" s="86" t="str">
        <f>IF(B492="-","",IF(T492=P492,"Richtig!",IF(AND(P492&lt;&gt;T492,R492=T492),"Formel: OK",IF(T492="","Fehlt","Falsch"))))</f>
        <v>Fehlt</v>
      </c>
      <c r="J492" s="30">
        <f t="shared" si="119"/>
        <v>0</v>
      </c>
      <c r="K492" s="23" t="str">
        <f t="shared" si="111"/>
        <v>│</v>
      </c>
      <c r="L492" s="24">
        <f t="shared" si="117"/>
        <v>1</v>
      </c>
      <c r="M492" s="1"/>
      <c r="N492" s="882" t="str">
        <f>IF($L$1="","",$L$1)</f>
        <v>x</v>
      </c>
      <c r="P492" s="88">
        <f t="shared" si="116"/>
        <v>0.31503999999999999</v>
      </c>
      <c r="Q492" s="84" t="str">
        <f t="shared" si="112"/>
        <v/>
      </c>
      <c r="R492" s="89" t="str">
        <f t="shared" si="113"/>
        <v>-</v>
      </c>
      <c r="S492" s="79" t="str">
        <f t="shared" si="114"/>
        <v/>
      </c>
      <c r="T492" s="90" t="str">
        <f t="shared" si="115"/>
        <v/>
      </c>
    </row>
    <row r="493" spans="1:20" ht="12.75" x14ac:dyDescent="0.2">
      <c r="A493" s="18"/>
      <c r="B493" s="18"/>
      <c r="C493" s="18"/>
      <c r="D493" s="19"/>
      <c r="H493" s="17"/>
      <c r="I493" s="21"/>
      <c r="J493" s="21"/>
      <c r="K493" s="23" t="str">
        <f t="shared" si="111"/>
        <v/>
      </c>
      <c r="L493" s="24" t="str">
        <f t="shared" si="117"/>
        <v/>
      </c>
      <c r="N493" s="883" t="str">
        <f>IF($L$1="","",$L$1)</f>
        <v>x</v>
      </c>
      <c r="P493" s="19" t="str">
        <f t="shared" si="116"/>
        <v/>
      </c>
      <c r="Q493" s="1" t="str">
        <f t="shared" si="112"/>
        <v/>
      </c>
      <c r="R493" s="1" t="str">
        <f t="shared" si="113"/>
        <v/>
      </c>
      <c r="S493" s="1" t="str">
        <f t="shared" si="114"/>
        <v/>
      </c>
      <c r="T493" s="17" t="str">
        <f t="shared" si="115"/>
        <v/>
      </c>
    </row>
    <row r="494" spans="1:20" ht="12.75" x14ac:dyDescent="0.2">
      <c r="A494" s="17" t="s">
        <v>17</v>
      </c>
      <c r="B494" s="17" t="str">
        <f>Jog!B31</f>
        <v>Arbeitskosten</v>
      </c>
      <c r="C494" s="18"/>
      <c r="D494" s="19"/>
      <c r="H494" s="17"/>
      <c r="I494" s="21"/>
      <c r="J494" s="21"/>
      <c r="K494" s="23" t="str">
        <f t="shared" si="111"/>
        <v/>
      </c>
      <c r="L494" s="24" t="str">
        <f t="shared" si="117"/>
        <v/>
      </c>
      <c r="N494" s="880" t="str">
        <f>IF($L$1="","",$L$1)</f>
        <v>x</v>
      </c>
      <c r="P494" s="19" t="str">
        <f t="shared" si="116"/>
        <v/>
      </c>
      <c r="Q494" s="1" t="str">
        <f t="shared" si="112"/>
        <v/>
      </c>
      <c r="R494" s="1" t="str">
        <f t="shared" si="113"/>
        <v/>
      </c>
      <c r="S494" s="1" t="str">
        <f t="shared" si="114"/>
        <v/>
      </c>
      <c r="T494" s="17" t="str">
        <f t="shared" si="115"/>
        <v/>
      </c>
    </row>
    <row r="495" spans="1:20" s="79" customFormat="1" ht="15" x14ac:dyDescent="0.2">
      <c r="B495" s="87" t="str">
        <f>Jog!B31&amp;" "&amp;Jog!G31</f>
        <v>Arbeitskosten pro Woche</v>
      </c>
      <c r="C495" s="77"/>
      <c r="D495" s="83">
        <f>IF('[1]E-Jog'!$G33="","",'[1]E-Jog'!$G33)</f>
        <v>165.29999999999998</v>
      </c>
      <c r="E495" s="84"/>
      <c r="F495" s="84"/>
      <c r="H495" s="85" t="str">
        <f>IF(Jog!$G33="","",Jog!$G33)</f>
        <v/>
      </c>
      <c r="I495" s="86" t="str">
        <f>IF(B495="-","",IF(T495=P495,"Richtig!",IF(T495="","Fehlt","Falsch")))</f>
        <v>Fehlt</v>
      </c>
      <c r="J495" s="30">
        <f>IF(OR(B495="-",N495="",AND(P495="",T495="")),"-",IF(I495="Richtig!",1,IF(I495="Formel: OK",0.5,IF(OR(I495="Falsch",I495="Fehlt"),0,""))))</f>
        <v>0</v>
      </c>
      <c r="K495" s="23" t="str">
        <f t="shared" si="111"/>
        <v>│</v>
      </c>
      <c r="L495" s="24">
        <f t="shared" si="117"/>
        <v>1</v>
      </c>
      <c r="M495" s="1"/>
      <c r="N495" s="882" t="str">
        <f>IF($L$1="","",$L$1)</f>
        <v>x</v>
      </c>
      <c r="P495" s="83">
        <f t="shared" si="116"/>
        <v>165.3</v>
      </c>
      <c r="Q495" s="84" t="str">
        <f t="shared" si="112"/>
        <v/>
      </c>
      <c r="R495" s="84" t="str">
        <f t="shared" si="113"/>
        <v/>
      </c>
      <c r="S495" s="79" t="str">
        <f t="shared" si="114"/>
        <v/>
      </c>
      <c r="T495" s="85" t="str">
        <f t="shared" si="115"/>
        <v/>
      </c>
    </row>
    <row r="496" spans="1:20" s="79" customFormat="1" ht="15" hidden="1" customHeight="1" x14ac:dyDescent="0.2">
      <c r="A496" s="77"/>
      <c r="B496" s="91" t="str">
        <f>Jog!B34&amp;" "&amp;Jog!$F$5</f>
        <v xml:space="preserve">Summe Arbeitskosten </v>
      </c>
      <c r="C496" s="77"/>
      <c r="D496" s="88">
        <f>IF('[1]E-Jog'!$G34="","",'[1]E-Jog'!$G34)</f>
        <v>165.29999999999998</v>
      </c>
      <c r="E496" s="84"/>
      <c r="F496" s="89" t="str">
        <f>IF(H495="","-",H495)</f>
        <v>-</v>
      </c>
      <c r="H496" s="90">
        <f>IF(Jog!$G34="","",Jog!$G34)</f>
        <v>0</v>
      </c>
      <c r="I496" s="86" t="str">
        <f>IF(B496="-","",IF(T496=P496,"Richtig!",IF(AND(P496&lt;&gt;T496,R496=T496),"Formel: OK",IF(T496="","Fehlt","Falsch"))))</f>
        <v>Falsch</v>
      </c>
      <c r="J496" s="30" t="str">
        <f>IF(OR(B496="-",N496="",AND(P496="",T496="")),"-",IF(I496="Richtig!",1,IF(I496="Formel: OK",0.5,IF(OR(I496="Falsch",I496="Fehlt"),0,""))))</f>
        <v>-</v>
      </c>
      <c r="K496" s="23" t="str">
        <f t="shared" si="111"/>
        <v/>
      </c>
      <c r="L496" s="24" t="str">
        <f t="shared" si="117"/>
        <v/>
      </c>
      <c r="M496" s="1"/>
      <c r="N496" s="882"/>
      <c r="P496" s="88">
        <f t="shared" si="116"/>
        <v>165.3</v>
      </c>
      <c r="Q496" s="84" t="str">
        <f t="shared" si="112"/>
        <v/>
      </c>
      <c r="R496" s="89" t="str">
        <f t="shared" si="113"/>
        <v>-</v>
      </c>
      <c r="S496" s="79" t="str">
        <f t="shared" si="114"/>
        <v/>
      </c>
      <c r="T496" s="90">
        <f t="shared" si="115"/>
        <v>0</v>
      </c>
    </row>
    <row r="497" spans="1:20" s="79" customFormat="1" ht="15" hidden="1" customHeight="1" x14ac:dyDescent="0.2">
      <c r="A497" s="77"/>
      <c r="B497" s="91" t="str">
        <f>Jog!B34&amp;" "&amp;Jog!$H$19</f>
        <v>Summe Arbeitskosten pro Stk.</v>
      </c>
      <c r="C497" s="77"/>
      <c r="D497" s="88">
        <f>IF('[1]E-Jog'!$H34="","",'[1]E-Jog'!$H34)</f>
        <v>0.20472935779816512</v>
      </c>
      <c r="E497" s="84"/>
      <c r="F497" s="89" t="str">
        <f>IF(OR(H496="",$H$471=""),"-",H496/$H$471)</f>
        <v>-</v>
      </c>
      <c r="H497" s="90" t="str">
        <f>IF(Jog!$H34="","",Jog!$H34)</f>
        <v/>
      </c>
      <c r="I497" s="86" t="str">
        <f>IF(B497="-","",IF(T497=P497,"Richtig!",IF(AND(P497&lt;&gt;T497,R497=T497),"Formel: OK",IF(T497="","Fehlt","Falsch"))))</f>
        <v>Fehlt</v>
      </c>
      <c r="J497" s="30" t="str">
        <f>IF(OR(B497="-",N497="",AND(P497="",T497="")),"-",IF(I497="Richtig!",1,IF(I497="Formel: OK",0.5,IF(OR(I497="Falsch",I497="Fehlt"),0,""))))</f>
        <v>-</v>
      </c>
      <c r="K497" s="23" t="str">
        <f t="shared" si="111"/>
        <v/>
      </c>
      <c r="L497" s="24" t="str">
        <f t="shared" si="117"/>
        <v/>
      </c>
      <c r="M497" s="1"/>
      <c r="N497" s="882"/>
      <c r="P497" s="88">
        <f t="shared" si="116"/>
        <v>0.20473</v>
      </c>
      <c r="Q497" s="84" t="str">
        <f t="shared" si="112"/>
        <v/>
      </c>
      <c r="R497" s="89" t="str">
        <f t="shared" si="113"/>
        <v>-</v>
      </c>
      <c r="S497" s="79" t="str">
        <f t="shared" si="114"/>
        <v/>
      </c>
      <c r="T497" s="90" t="str">
        <f t="shared" si="115"/>
        <v/>
      </c>
    </row>
    <row r="498" spans="1:20" ht="12.75" x14ac:dyDescent="0.2">
      <c r="A498" s="18"/>
      <c r="B498" s="18"/>
      <c r="C498" s="18"/>
      <c r="D498" s="19"/>
      <c r="H498" s="17"/>
      <c r="I498" s="21"/>
      <c r="J498" s="21"/>
      <c r="K498" s="23" t="str">
        <f t="shared" si="111"/>
        <v/>
      </c>
      <c r="L498" s="24" t="str">
        <f t="shared" si="117"/>
        <v/>
      </c>
      <c r="N498" s="883" t="str">
        <f t="shared" ref="N498:N503" si="120">IF($L$1="","",$L$1)</f>
        <v>x</v>
      </c>
      <c r="P498" s="19" t="str">
        <f t="shared" si="116"/>
        <v/>
      </c>
      <c r="Q498" s="1" t="str">
        <f t="shared" si="112"/>
        <v/>
      </c>
      <c r="R498" s="1" t="str">
        <f t="shared" si="113"/>
        <v/>
      </c>
      <c r="S498" s="1" t="str">
        <f t="shared" si="114"/>
        <v/>
      </c>
      <c r="T498" s="17" t="str">
        <f t="shared" si="115"/>
        <v/>
      </c>
    </row>
    <row r="499" spans="1:20" ht="12.75" x14ac:dyDescent="0.2">
      <c r="A499" s="17" t="s">
        <v>19</v>
      </c>
      <c r="B499" s="17" t="str">
        <f>Jog!B36</f>
        <v>Fixkosten</v>
      </c>
      <c r="C499" s="18"/>
      <c r="D499" s="19"/>
      <c r="H499" s="17"/>
      <c r="I499" s="21"/>
      <c r="J499" s="21"/>
      <c r="K499" s="23" t="str">
        <f t="shared" si="111"/>
        <v/>
      </c>
      <c r="L499" s="24" t="str">
        <f t="shared" si="117"/>
        <v/>
      </c>
      <c r="N499" s="880" t="str">
        <f t="shared" si="120"/>
        <v>x</v>
      </c>
      <c r="P499" s="19" t="str">
        <f t="shared" si="116"/>
        <v/>
      </c>
      <c r="Q499" s="1" t="str">
        <f t="shared" si="112"/>
        <v/>
      </c>
      <c r="R499" s="1" t="str">
        <f t="shared" si="113"/>
        <v/>
      </c>
      <c r="S499" s="1" t="str">
        <f t="shared" si="114"/>
        <v/>
      </c>
      <c r="T499" s="17" t="str">
        <f t="shared" si="115"/>
        <v/>
      </c>
    </row>
    <row r="500" spans="1:20" s="79" customFormat="1" ht="15" x14ac:dyDescent="0.2">
      <c r="B500" s="87" t="str">
        <f>IF(Jog!B37="","-",Jog!B37&amp;" "&amp;Jog!$F$5)</f>
        <v xml:space="preserve">Pasteur </v>
      </c>
      <c r="C500" s="77"/>
      <c r="D500" s="83">
        <f>IF('[1]E-Jog'!$G37="","",'[1]E-Jog'!$G37)</f>
        <v>18.26923076923077</v>
      </c>
      <c r="E500" s="84"/>
      <c r="F500" s="84"/>
      <c r="H500" s="85" t="str">
        <f>IF(Jog!$G37="","",Jog!$G37)</f>
        <v/>
      </c>
      <c r="I500" s="86" t="str">
        <f>IF(B500="-","",IF(T500=P500,"Richtig!",IF(T500="","Fehlt","Falsch")))</f>
        <v>Fehlt</v>
      </c>
      <c r="J500" s="30">
        <f t="shared" ref="J500:J506" si="121">IF(OR(B500="-",N500="",AND(P500="",T500="")),"-",IF(I500="Richtig!",1,IF(I500="Formel: OK",0.5,IF(OR(I500="Falsch",I500="Fehlt"),0,""))))</f>
        <v>0</v>
      </c>
      <c r="K500" s="23" t="str">
        <f t="shared" si="111"/>
        <v>│</v>
      </c>
      <c r="L500" s="24">
        <f t="shared" si="117"/>
        <v>1</v>
      </c>
      <c r="M500" s="1"/>
      <c r="N500" s="882" t="str">
        <f t="shared" si="120"/>
        <v>x</v>
      </c>
      <c r="P500" s="83">
        <f t="shared" si="116"/>
        <v>18.26923</v>
      </c>
      <c r="Q500" s="84" t="str">
        <f t="shared" si="112"/>
        <v/>
      </c>
      <c r="R500" s="84" t="str">
        <f t="shared" si="113"/>
        <v/>
      </c>
      <c r="S500" s="79" t="str">
        <f t="shared" si="114"/>
        <v/>
      </c>
      <c r="T500" s="85" t="str">
        <f t="shared" si="115"/>
        <v/>
      </c>
    </row>
    <row r="501" spans="1:20" s="79" customFormat="1" ht="15" x14ac:dyDescent="0.2">
      <c r="B501" s="87" t="str">
        <f>IF(Jog!B38="","-",Jog!B38&amp;" "&amp;Jog!$F$5)</f>
        <v xml:space="preserve">Kühlschrank </v>
      </c>
      <c r="C501" s="77"/>
      <c r="D501" s="83">
        <f>IF('[1]E-Jog'!$G38="","",'[1]E-Jog'!$G38)</f>
        <v>6.5384615384615383</v>
      </c>
      <c r="E501" s="84"/>
      <c r="F501" s="84"/>
      <c r="H501" s="85" t="str">
        <f>IF(Jog!$G38="","",Jog!$G38)</f>
        <v/>
      </c>
      <c r="I501" s="86" t="str">
        <f>IF(B501="-","",IF(T501=P501,"Richtig!",IF(T501="","Fehlt","Falsch")))</f>
        <v>Fehlt</v>
      </c>
      <c r="J501" s="30">
        <f t="shared" si="121"/>
        <v>0</v>
      </c>
      <c r="K501" s="23" t="str">
        <f t="shared" si="111"/>
        <v>│</v>
      </c>
      <c r="L501" s="24">
        <f t="shared" si="117"/>
        <v>1</v>
      </c>
      <c r="M501" s="1"/>
      <c r="N501" s="882" t="str">
        <f t="shared" si="120"/>
        <v>x</v>
      </c>
      <c r="P501" s="83">
        <f t="shared" si="116"/>
        <v>6.5384599999999997</v>
      </c>
      <c r="Q501" s="84" t="str">
        <f t="shared" si="112"/>
        <v/>
      </c>
      <c r="R501" s="84" t="str">
        <f t="shared" si="113"/>
        <v/>
      </c>
      <c r="S501" s="79" t="str">
        <f t="shared" si="114"/>
        <v/>
      </c>
      <c r="T501" s="85" t="str">
        <f t="shared" si="115"/>
        <v/>
      </c>
    </row>
    <row r="502" spans="1:20" s="79" customFormat="1" ht="15" x14ac:dyDescent="0.2">
      <c r="B502" s="87" t="str">
        <f>IF(Jog!B39="","-",Jog!B39&amp;" "&amp;Jog!$F$5)</f>
        <v xml:space="preserve">Geschirrspüler </v>
      </c>
      <c r="C502" s="77"/>
      <c r="D502" s="83">
        <f>IF('[1]E-Jog'!$G39="","",'[1]E-Jog'!$G39)</f>
        <v>5.5769230769230766</v>
      </c>
      <c r="E502" s="84"/>
      <c r="F502" s="84"/>
      <c r="H502" s="85" t="str">
        <f>IF(Jog!$G39="","",Jog!$G39)</f>
        <v/>
      </c>
      <c r="I502" s="86" t="str">
        <f>IF(B502="-","",IF(T502=P502,"Richtig!",IF(T502="","Fehlt","Falsch")))</f>
        <v>Fehlt</v>
      </c>
      <c r="J502" s="30">
        <f t="shared" si="121"/>
        <v>0</v>
      </c>
      <c r="K502" s="23" t="str">
        <f t="shared" si="111"/>
        <v>│</v>
      </c>
      <c r="L502" s="24">
        <f t="shared" si="117"/>
        <v>1</v>
      </c>
      <c r="M502" s="1"/>
      <c r="N502" s="882" t="str">
        <f t="shared" si="120"/>
        <v>x</v>
      </c>
      <c r="P502" s="83">
        <f t="shared" si="116"/>
        <v>5.5769200000000003</v>
      </c>
      <c r="Q502" s="84" t="str">
        <f t="shared" si="112"/>
        <v/>
      </c>
      <c r="R502" s="84" t="str">
        <f t="shared" si="113"/>
        <v/>
      </c>
      <c r="S502" s="79" t="str">
        <f t="shared" si="114"/>
        <v/>
      </c>
      <c r="T502" s="85" t="str">
        <f t="shared" si="115"/>
        <v/>
      </c>
    </row>
    <row r="503" spans="1:20" s="79" customFormat="1" ht="15" x14ac:dyDescent="0.2">
      <c r="A503" s="77"/>
      <c r="B503" s="91" t="str">
        <f>IF(Jog!B40="","-",Jog!B40&amp;" "&amp;Jog!$F$5)</f>
        <v xml:space="preserve">Summe Fixkosten </v>
      </c>
      <c r="C503" s="77"/>
      <c r="D503" s="88">
        <f>IF('[1]E-Jog'!$G40="","",'[1]E-Jog'!$G40)</f>
        <v>30.384615384615383</v>
      </c>
      <c r="E503" s="84"/>
      <c r="F503" s="89" t="str">
        <f>IF(AND(H500="",H501="",H502=""),"-",SUM(H500:H502))</f>
        <v>-</v>
      </c>
      <c r="H503" s="90" t="str">
        <f>IF(Jog!$G40="","",Jog!$G40)</f>
        <v/>
      </c>
      <c r="I503" s="86" t="str">
        <f>IF(B503="-","",IF(T503=P503,"Richtig!",IF(AND(P503&lt;&gt;T503,R503=T503),"Formel: OK",IF(T503="","Fehlt","Falsch"))))</f>
        <v>Fehlt</v>
      </c>
      <c r="J503" s="30">
        <f t="shared" si="121"/>
        <v>0</v>
      </c>
      <c r="K503" s="23" t="str">
        <f t="shared" si="111"/>
        <v>│</v>
      </c>
      <c r="L503" s="24">
        <f t="shared" si="117"/>
        <v>1</v>
      </c>
      <c r="M503" s="1"/>
      <c r="N503" s="882" t="str">
        <f t="shared" si="120"/>
        <v>x</v>
      </c>
      <c r="P503" s="88">
        <f t="shared" si="116"/>
        <v>30.384620000000002</v>
      </c>
      <c r="Q503" s="84" t="str">
        <f t="shared" si="112"/>
        <v/>
      </c>
      <c r="R503" s="89" t="str">
        <f t="shared" si="113"/>
        <v>-</v>
      </c>
      <c r="S503" s="79" t="str">
        <f t="shared" si="114"/>
        <v/>
      </c>
      <c r="T503" s="90" t="str">
        <f t="shared" si="115"/>
        <v/>
      </c>
    </row>
    <row r="504" spans="1:20" s="79" customFormat="1" ht="15" hidden="1" customHeight="1" x14ac:dyDescent="0.2">
      <c r="A504" s="77"/>
      <c r="B504" s="91" t="str">
        <f>IF(Jog!B40="","-",Jog!B40&amp;" "&amp;Jog!$H$19)</f>
        <v>Summe Fixkosten pro Stk.</v>
      </c>
      <c r="C504" s="77"/>
      <c r="D504" s="88">
        <f>IF('[1]E-Jog'!$H40="","",'[1]E-Jog'!$H40)</f>
        <v>3.7632321806633735E-2</v>
      </c>
      <c r="E504" s="84"/>
      <c r="F504" s="89" t="str">
        <f>IF(OR(H503="",$H$471=""),"-",H503/$H$471)</f>
        <v>-</v>
      </c>
      <c r="H504" s="90" t="str">
        <f>IF(Jog!$H40="","",Jog!$H40)</f>
        <v/>
      </c>
      <c r="I504" s="86" t="str">
        <f>IF(B504="-","",IF(T504=P504,"Richtig!",IF(AND(P504&lt;&gt;T504,R504=T504),"Formel: OK",IF(T504="","Fehlt","Falsch"))))</f>
        <v>Fehlt</v>
      </c>
      <c r="J504" s="30" t="str">
        <f t="shared" si="121"/>
        <v>-</v>
      </c>
      <c r="K504" s="23" t="str">
        <f t="shared" si="111"/>
        <v/>
      </c>
      <c r="L504" s="24" t="str">
        <f t="shared" si="117"/>
        <v/>
      </c>
      <c r="M504" s="1"/>
      <c r="N504" s="882"/>
      <c r="P504" s="88">
        <f t="shared" si="116"/>
        <v>3.7629999999999997E-2</v>
      </c>
      <c r="Q504" s="84" t="str">
        <f t="shared" si="112"/>
        <v/>
      </c>
      <c r="R504" s="89" t="str">
        <f t="shared" si="113"/>
        <v>-</v>
      </c>
      <c r="S504" s="79" t="str">
        <f t="shared" si="114"/>
        <v/>
      </c>
      <c r="T504" s="90" t="str">
        <f t="shared" si="115"/>
        <v/>
      </c>
    </row>
    <row r="505" spans="1:20" s="79" customFormat="1" ht="15" x14ac:dyDescent="0.2">
      <c r="A505" s="77"/>
      <c r="B505" s="91" t="str">
        <f>IF(Jog!B41="","-",Jog!B41&amp;" "&amp;Jog!$F$5)</f>
        <v xml:space="preserve">Herstellungskosten </v>
      </c>
      <c r="C505" s="77"/>
      <c r="D505" s="88">
        <f>IF('[1]E-Jog'!$G41="","",'[1]E-Jog'!$G41)</f>
        <v>530.70854131054125</v>
      </c>
      <c r="E505" s="84"/>
      <c r="F505" s="89">
        <f>IF(AND(H478="",H491="",H496="",H503=""),"-",SUM(H478,H491,H496,H503))</f>
        <v>0</v>
      </c>
      <c r="H505" s="90" t="str">
        <f>IF(Jog!$G41="","",Jog!$G41)</f>
        <v/>
      </c>
      <c r="I505" s="86" t="str">
        <f>IF(B505="-","",IF(T505=P505,"Richtig!",IF(AND(P505&lt;&gt;T505,R505=T505),"Formel: OK",IF(T505="","Fehlt","Falsch"))))</f>
        <v>Fehlt</v>
      </c>
      <c r="J505" s="30">
        <f t="shared" si="121"/>
        <v>0</v>
      </c>
      <c r="K505" s="23" t="str">
        <f t="shared" si="111"/>
        <v>│</v>
      </c>
      <c r="L505" s="24">
        <f t="shared" si="117"/>
        <v>1</v>
      </c>
      <c r="M505" s="1"/>
      <c r="N505" s="882" t="str">
        <f>IF($L$1="","",$L$1)</f>
        <v>x</v>
      </c>
      <c r="P505" s="88">
        <f t="shared" si="116"/>
        <v>530.70853999999997</v>
      </c>
      <c r="Q505" s="84" t="str">
        <f t="shared" si="112"/>
        <v/>
      </c>
      <c r="R505" s="89">
        <f t="shared" si="113"/>
        <v>0</v>
      </c>
      <c r="S505" s="79" t="str">
        <f t="shared" si="114"/>
        <v/>
      </c>
      <c r="T505" s="90" t="str">
        <f t="shared" si="115"/>
        <v/>
      </c>
    </row>
    <row r="506" spans="1:20" s="79" customFormat="1" ht="15" hidden="1" customHeight="1" x14ac:dyDescent="0.2">
      <c r="A506" s="77"/>
      <c r="B506" s="91" t="str">
        <f>IF(Jog!B41="","-",Jog!B41&amp;" "&amp;Jog!$H$19)</f>
        <v>Herstellungskosten pro Stk.</v>
      </c>
      <c r="C506" s="77"/>
      <c r="D506" s="88">
        <f>IF('[1]E-Jog'!$H41="","",'[1]E-Jog'!$H41)</f>
        <v>0.65729956951305579</v>
      </c>
      <c r="E506" s="84"/>
      <c r="F506" s="89" t="str">
        <f>IF(OR(H505="",$H$471=""),"-",H505/$H$471)</f>
        <v>-</v>
      </c>
      <c r="H506" s="90" t="str">
        <f>IF(Jog!$H41="","",Jog!$H41)</f>
        <v/>
      </c>
      <c r="I506" s="86" t="str">
        <f>IF(B506="-","",IF(T506=P506,"Richtig!",IF(AND(P506&lt;&gt;T506,R506=T506),"Formel: OK",IF(T506="","Fehlt","Falsch"))))</f>
        <v>Fehlt</v>
      </c>
      <c r="J506" s="30" t="str">
        <f t="shared" si="121"/>
        <v>-</v>
      </c>
      <c r="K506" s="23" t="str">
        <f t="shared" si="111"/>
        <v/>
      </c>
      <c r="L506" s="24" t="str">
        <f t="shared" si="117"/>
        <v/>
      </c>
      <c r="M506" s="1"/>
      <c r="N506" s="882"/>
      <c r="P506" s="88">
        <f t="shared" si="116"/>
        <v>0.6573</v>
      </c>
      <c r="Q506" s="84" t="str">
        <f t="shared" si="112"/>
        <v/>
      </c>
      <c r="R506" s="89" t="str">
        <f t="shared" si="113"/>
        <v>-</v>
      </c>
      <c r="S506" s="79" t="str">
        <f t="shared" si="114"/>
        <v/>
      </c>
      <c r="T506" s="90" t="str">
        <f t="shared" si="115"/>
        <v/>
      </c>
    </row>
    <row r="507" spans="1:20" ht="12.75" x14ac:dyDescent="0.2">
      <c r="A507" s="18"/>
      <c r="B507" s="18"/>
      <c r="C507" s="18"/>
      <c r="D507" s="19"/>
      <c r="H507" s="17"/>
      <c r="I507" s="21"/>
      <c r="J507" s="21"/>
      <c r="K507" s="23" t="str">
        <f t="shared" si="111"/>
        <v/>
      </c>
      <c r="L507" s="24" t="str">
        <f t="shared" si="117"/>
        <v/>
      </c>
      <c r="N507" s="883" t="str">
        <f>IF($L$1="","",$L$1)</f>
        <v>x</v>
      </c>
      <c r="P507" s="19" t="str">
        <f t="shared" si="116"/>
        <v/>
      </c>
      <c r="Q507" s="1" t="str">
        <f t="shared" si="112"/>
        <v/>
      </c>
      <c r="R507" s="1" t="str">
        <f t="shared" si="113"/>
        <v/>
      </c>
      <c r="S507" s="1" t="str">
        <f t="shared" si="114"/>
        <v/>
      </c>
      <c r="T507" s="17" t="str">
        <f t="shared" si="115"/>
        <v/>
      </c>
    </row>
    <row r="508" spans="1:20" ht="12.75" x14ac:dyDescent="0.2">
      <c r="A508" s="17" t="s">
        <v>23</v>
      </c>
      <c r="B508" s="17" t="str">
        <f>Jog!B43</f>
        <v>Gemein- und Vermarktungskosten</v>
      </c>
      <c r="C508" s="18"/>
      <c r="D508" s="19"/>
      <c r="H508" s="17"/>
      <c r="I508" s="21"/>
      <c r="J508" s="21"/>
      <c r="K508" s="23" t="str">
        <f t="shared" si="111"/>
        <v/>
      </c>
      <c r="L508" s="24" t="str">
        <f t="shared" si="117"/>
        <v/>
      </c>
      <c r="N508" s="880" t="str">
        <f>IF($L$1="","",$L$1)</f>
        <v>x</v>
      </c>
      <c r="P508" s="19" t="str">
        <f t="shared" si="116"/>
        <v/>
      </c>
      <c r="Q508" s="1" t="str">
        <f t="shared" si="112"/>
        <v/>
      </c>
      <c r="R508" s="1" t="str">
        <f t="shared" si="113"/>
        <v/>
      </c>
      <c r="S508" s="1" t="str">
        <f t="shared" si="114"/>
        <v/>
      </c>
      <c r="T508" s="17" t="str">
        <f t="shared" si="115"/>
        <v/>
      </c>
    </row>
    <row r="509" spans="1:20" s="79" customFormat="1" ht="15" x14ac:dyDescent="0.2">
      <c r="A509" s="77"/>
      <c r="B509" s="87" t="str">
        <f>IF(Jog!B44="","-",Jog!B44&amp;" "&amp;Jog!$F$5)</f>
        <v xml:space="preserve">Gemein- und Vermarktungskostenzuschlag </v>
      </c>
      <c r="C509" s="77"/>
      <c r="D509" s="88">
        <f>IF('[1]E-Jog'!$G44="","",'[1]E-Jog'!$G44)</f>
        <v>14.329130615384614</v>
      </c>
      <c r="E509" s="84"/>
      <c r="F509" s="89" t="str">
        <f>IF(OR(H505="",Jog!E44=""),"-",H505*Jog!E44)</f>
        <v>-</v>
      </c>
      <c r="H509" s="90" t="str">
        <f>IF(Jog!$G44="","",Jog!$G44)</f>
        <v/>
      </c>
      <c r="I509" s="86" t="str">
        <f t="shared" ref="I509:I514" si="122">IF(B509="-","",IF(T509=P509,"Richtig!",IF(AND(P509&lt;&gt;T509,R509=T509),"Formel: OK",IF(T509="","Fehlt","Falsch"))))</f>
        <v>Fehlt</v>
      </c>
      <c r="J509" s="30">
        <f t="shared" ref="J509:J514" si="123">IF(OR(B509="-",N509="",AND(P509="",T509="")),"-",IF(I509="Richtig!",1,IF(I509="Formel: OK",0.5,IF(OR(I509="Falsch",I509="Fehlt"),0,""))))</f>
        <v>0</v>
      </c>
      <c r="K509" s="23" t="str">
        <f t="shared" si="111"/>
        <v>│</v>
      </c>
      <c r="L509" s="24">
        <f t="shared" si="117"/>
        <v>1</v>
      </c>
      <c r="M509" s="1"/>
      <c r="N509" s="882" t="str">
        <f>IF($L$1="","",$L$1)</f>
        <v>x</v>
      </c>
      <c r="P509" s="88">
        <f t="shared" si="116"/>
        <v>14.329129999999999</v>
      </c>
      <c r="Q509" s="84" t="str">
        <f t="shared" si="112"/>
        <v/>
      </c>
      <c r="R509" s="89" t="str">
        <f t="shared" si="113"/>
        <v>-</v>
      </c>
      <c r="S509" s="79" t="str">
        <f t="shared" si="114"/>
        <v/>
      </c>
      <c r="T509" s="90" t="str">
        <f t="shared" si="115"/>
        <v/>
      </c>
    </row>
    <row r="510" spans="1:20" s="79" customFormat="1" ht="15" hidden="1" customHeight="1" x14ac:dyDescent="0.2">
      <c r="A510" s="77"/>
      <c r="B510" s="87" t="str">
        <f>IF(Jog!B45="","-",Jog!B45&amp;" "&amp;Jog!$F$5)</f>
        <v xml:space="preserve">Vollkosten </v>
      </c>
      <c r="C510" s="77"/>
      <c r="D510" s="88">
        <f>IF('[1]E-Jog'!$G45="","",'[1]E-Jog'!$G45)</f>
        <v>545.03767192592591</v>
      </c>
      <c r="E510" s="84"/>
      <c r="F510" s="89" t="str">
        <f>IF(AND(H505="",H509=""),"-",SUM(H505,H509))</f>
        <v>-</v>
      </c>
      <c r="H510" s="90">
        <f>IF(Jog!$G45="","",Jog!$G45)</f>
        <v>0</v>
      </c>
      <c r="I510" s="86" t="str">
        <f t="shared" si="122"/>
        <v>Falsch</v>
      </c>
      <c r="J510" s="30" t="str">
        <f t="shared" si="123"/>
        <v>-</v>
      </c>
      <c r="K510" s="23" t="str">
        <f t="shared" si="111"/>
        <v/>
      </c>
      <c r="L510" s="24" t="str">
        <f t="shared" si="117"/>
        <v/>
      </c>
      <c r="M510" s="1"/>
      <c r="N510" s="882"/>
      <c r="P510" s="88">
        <f t="shared" si="116"/>
        <v>545.03767000000005</v>
      </c>
      <c r="Q510" s="84" t="str">
        <f t="shared" si="112"/>
        <v/>
      </c>
      <c r="R510" s="89" t="str">
        <f t="shared" si="113"/>
        <v>-</v>
      </c>
      <c r="S510" s="79" t="str">
        <f t="shared" si="114"/>
        <v/>
      </c>
      <c r="T510" s="90">
        <f t="shared" si="115"/>
        <v>0</v>
      </c>
    </row>
    <row r="511" spans="1:20" s="79" customFormat="1" ht="15" hidden="1" customHeight="1" x14ac:dyDescent="0.2">
      <c r="A511" s="77"/>
      <c r="B511" s="87" t="str">
        <f>IF(Jog!B45="","-",Jog!B45&amp;" "&amp;Jog!$H$19)</f>
        <v>Vollkosten pro Stk.</v>
      </c>
      <c r="C511" s="77"/>
      <c r="D511" s="88">
        <f>IF('[1]E-Jog'!$H45="","",'[1]E-Jog'!$H45)</f>
        <v>0.67504665788990825</v>
      </c>
      <c r="E511" s="84"/>
      <c r="F511" s="89" t="str">
        <f>IF(OR(H510="",$H$471=""),"-",H510/$H$471)</f>
        <v>-</v>
      </c>
      <c r="H511" s="90" t="str">
        <f>IF(Jog!$H45="","",Jog!$H45)</f>
        <v/>
      </c>
      <c r="I511" s="86" t="str">
        <f t="shared" si="122"/>
        <v>Fehlt</v>
      </c>
      <c r="J511" s="30" t="str">
        <f t="shared" si="123"/>
        <v>-</v>
      </c>
      <c r="K511" s="23" t="str">
        <f t="shared" si="111"/>
        <v/>
      </c>
      <c r="L511" s="24" t="str">
        <f t="shared" si="117"/>
        <v/>
      </c>
      <c r="M511" s="1"/>
      <c r="N511" s="882"/>
      <c r="P511" s="88">
        <f t="shared" si="116"/>
        <v>0.67505000000000004</v>
      </c>
      <c r="Q511" s="84" t="str">
        <f t="shared" si="112"/>
        <v/>
      </c>
      <c r="R511" s="89" t="str">
        <f t="shared" si="113"/>
        <v>-</v>
      </c>
      <c r="S511" s="79" t="str">
        <f t="shared" si="114"/>
        <v/>
      </c>
      <c r="T511" s="90" t="str">
        <f t="shared" si="115"/>
        <v/>
      </c>
    </row>
    <row r="512" spans="1:20" s="79" customFormat="1" ht="15" x14ac:dyDescent="0.2">
      <c r="A512" s="77"/>
      <c r="B512" s="87" t="str">
        <f>IF(Jog!B46="","-",Jog!B46&amp;" "&amp;Jog!$F$5)</f>
        <v xml:space="preserve">Gewinn- und Risikozuschlag </v>
      </c>
      <c r="D512" s="88">
        <f>IF('[1]E-Jog'!$G46="","",'[1]E-Jog'!$G46)</f>
        <v>29.977071955925926</v>
      </c>
      <c r="E512" s="84"/>
      <c r="F512" s="89">
        <f>IF(OR(H510="",Jog!E46=""),"-",H510*Jog!E46)</f>
        <v>0</v>
      </c>
      <c r="H512" s="90" t="str">
        <f>IF(Jog!$G46="","",Jog!$G46)</f>
        <v/>
      </c>
      <c r="I512" s="86" t="str">
        <f t="shared" si="122"/>
        <v>Fehlt</v>
      </c>
      <c r="J512" s="30">
        <f t="shared" si="123"/>
        <v>0</v>
      </c>
      <c r="K512" s="23" t="str">
        <f t="shared" si="111"/>
        <v>│</v>
      </c>
      <c r="L512" s="24">
        <f t="shared" si="117"/>
        <v>1</v>
      </c>
      <c r="M512" s="1"/>
      <c r="N512" s="882" t="str">
        <f>IF($L$1="","",$L$1)</f>
        <v>x</v>
      </c>
      <c r="P512" s="88">
        <f t="shared" si="116"/>
        <v>29.977070000000001</v>
      </c>
      <c r="Q512" s="84" t="str">
        <f t="shared" si="112"/>
        <v/>
      </c>
      <c r="R512" s="89">
        <f t="shared" si="113"/>
        <v>0</v>
      </c>
      <c r="S512" s="79" t="str">
        <f t="shared" si="114"/>
        <v/>
      </c>
      <c r="T512" s="90" t="str">
        <f t="shared" si="115"/>
        <v/>
      </c>
    </row>
    <row r="513" spans="1:20" s="79" customFormat="1" ht="15" hidden="1" customHeight="1" x14ac:dyDescent="0.2">
      <c r="A513" s="77"/>
      <c r="B513" s="91" t="str">
        <f>IF(Jog!B47="","-",Jog!B47&amp;" "&amp;Jog!$F$5)</f>
        <v xml:space="preserve">Preisuntergrenze </v>
      </c>
      <c r="C513" s="77"/>
      <c r="D513" s="88">
        <f>IF('[1]E-Jog'!$G47="","",'[1]E-Jog'!$G47)</f>
        <v>575.01474388185181</v>
      </c>
      <c r="E513" s="84"/>
      <c r="F513" s="89">
        <f>IF(AND(H510="",H512=""),"-",SUM(H510,H512))</f>
        <v>0</v>
      </c>
      <c r="H513" s="90">
        <f>IF(Jog!$G47="","",Jog!$G47)</f>
        <v>0</v>
      </c>
      <c r="I513" s="86" t="str">
        <f t="shared" si="122"/>
        <v>Formel: OK</v>
      </c>
      <c r="J513" s="30" t="str">
        <f t="shared" si="123"/>
        <v>-</v>
      </c>
      <c r="K513" s="23" t="str">
        <f t="shared" si="111"/>
        <v/>
      </c>
      <c r="L513" s="24" t="str">
        <f t="shared" si="117"/>
        <v/>
      </c>
      <c r="M513" s="1"/>
      <c r="N513" s="882"/>
      <c r="P513" s="88">
        <f t="shared" si="116"/>
        <v>575.01473999999996</v>
      </c>
      <c r="Q513" s="84" t="str">
        <f t="shared" si="112"/>
        <v/>
      </c>
      <c r="R513" s="89">
        <f t="shared" si="113"/>
        <v>0</v>
      </c>
      <c r="S513" s="79" t="str">
        <f t="shared" si="114"/>
        <v/>
      </c>
      <c r="T513" s="90">
        <f t="shared" si="115"/>
        <v>0</v>
      </c>
    </row>
    <row r="514" spans="1:20" s="79" customFormat="1" ht="15" x14ac:dyDescent="0.2">
      <c r="A514" s="77"/>
      <c r="B514" s="91" t="str">
        <f>IF(Jog!B47="","-",Jog!B47&amp;" "&amp;Jog!$H$19)</f>
        <v>Preisuntergrenze pro Stk.</v>
      </c>
      <c r="C514" s="77"/>
      <c r="D514" s="88">
        <f>IF('[1]E-Jog'!$H47="","",'[1]E-Jog'!$H47)</f>
        <v>0.71217422407385322</v>
      </c>
      <c r="E514" s="84"/>
      <c r="F514" s="89" t="str">
        <f>IF(OR(H513="",$H$471=""),"-",H513/$H$471)</f>
        <v>-</v>
      </c>
      <c r="H514" s="90" t="str">
        <f>IF(Jog!$H47="","",Jog!$H47)</f>
        <v/>
      </c>
      <c r="I514" s="86" t="str">
        <f t="shared" si="122"/>
        <v>Fehlt</v>
      </c>
      <c r="J514" s="30">
        <f t="shared" si="123"/>
        <v>0</v>
      </c>
      <c r="K514" s="23" t="str">
        <f t="shared" si="111"/>
        <v>│</v>
      </c>
      <c r="L514" s="24">
        <f t="shared" si="117"/>
        <v>1</v>
      </c>
      <c r="M514" s="1"/>
      <c r="N514" s="882" t="str">
        <f t="shared" ref="N514:N519" si="124">IF($L$1="","",$L$1)</f>
        <v>x</v>
      </c>
      <c r="P514" s="88">
        <f t="shared" si="116"/>
        <v>0.71216999999999997</v>
      </c>
      <c r="Q514" s="84" t="str">
        <f t="shared" si="112"/>
        <v/>
      </c>
      <c r="R514" s="89" t="str">
        <f t="shared" si="113"/>
        <v>-</v>
      </c>
      <c r="S514" s="79" t="str">
        <f t="shared" si="114"/>
        <v/>
      </c>
      <c r="T514" s="90" t="str">
        <f t="shared" si="115"/>
        <v/>
      </c>
    </row>
    <row r="515" spans="1:20" s="79" customFormat="1" ht="15" x14ac:dyDescent="0.2">
      <c r="A515" s="77"/>
      <c r="C515" s="77"/>
      <c r="D515" s="78"/>
      <c r="H515" s="80"/>
      <c r="I515" s="81"/>
      <c r="J515" s="81"/>
      <c r="K515" s="23" t="str">
        <f t="shared" si="111"/>
        <v/>
      </c>
      <c r="L515" s="24" t="str">
        <f t="shared" si="117"/>
        <v/>
      </c>
      <c r="M515" s="1"/>
      <c r="N515" s="883" t="str">
        <f t="shared" si="124"/>
        <v>x</v>
      </c>
      <c r="P515" s="78" t="str">
        <f t="shared" si="116"/>
        <v/>
      </c>
      <c r="Q515" s="79" t="str">
        <f t="shared" si="112"/>
        <v/>
      </c>
      <c r="R515" s="79" t="str">
        <f t="shared" si="113"/>
        <v/>
      </c>
      <c r="S515" s="79" t="str">
        <f t="shared" si="114"/>
        <v/>
      </c>
      <c r="T515" s="80" t="str">
        <f t="shared" si="115"/>
        <v/>
      </c>
    </row>
    <row r="516" spans="1:20" ht="22.5" x14ac:dyDescent="0.2">
      <c r="A516" s="10" t="s">
        <v>64</v>
      </c>
      <c r="B516" s="11"/>
      <c r="C516" s="12"/>
      <c r="D516" s="13" t="s">
        <v>4</v>
      </c>
      <c r="E516" s="13"/>
      <c r="F516" s="14" t="s">
        <v>5</v>
      </c>
      <c r="G516" s="12"/>
      <c r="H516" s="14" t="s">
        <v>6</v>
      </c>
      <c r="I516" s="15" t="str">
        <f>"Fehler"</f>
        <v>Fehler</v>
      </c>
      <c r="J516" s="16" t="s">
        <v>7</v>
      </c>
      <c r="K516" s="16"/>
      <c r="L516" s="16"/>
      <c r="N516" s="881" t="str">
        <f t="shared" si="124"/>
        <v>x</v>
      </c>
      <c r="P516" s="13" t="str">
        <f t="shared" si="116"/>
        <v>Ergebnis</v>
      </c>
      <c r="Q516" s="13" t="str">
        <f t="shared" si="112"/>
        <v/>
      </c>
      <c r="R516" s="14" t="str">
        <f t="shared" si="113"/>
        <v>Formel-
prüfung</v>
      </c>
      <c r="S516" s="12" t="str">
        <f t="shared" si="114"/>
        <v/>
      </c>
      <c r="T516" s="14" t="str">
        <f t="shared" si="115"/>
        <v>Deine Be-rechnung</v>
      </c>
    </row>
    <row r="517" spans="1:20" ht="12.75" customHeight="1" x14ac:dyDescent="0.2">
      <c r="B517" s="92" t="str">
        <f>IF(FK!B18="","-",FK!B18)</f>
        <v>Summe Fixkosten</v>
      </c>
      <c r="C517" s="93"/>
      <c r="D517" s="26">
        <f>IF('[1]E-FK'!D18="","",'[1]E-FK'!D18)</f>
        <v>-15419.238306451614</v>
      </c>
      <c r="E517" s="27"/>
      <c r="F517" s="32">
        <f>IF(AND(FK!D4="",FK!D5="",FK!D6="",FK!D7="",FK!D8="",FK!D9="",FK!D10="",FK!D11="",FK!D12="",FK!D13="",FK!D14="",FK!D15="",FK!D16="",FK!D17=""),"",SUM(FK!D4:D17))</f>
        <v>-6534</v>
      </c>
      <c r="H517" s="94" t="str">
        <f>IF(FK!D18="","",FK!D18)</f>
        <v/>
      </c>
      <c r="I517" s="29" t="str">
        <f>IF(B517="","",IF(T517=P517,"Richtig!",IF(AND(P517&lt;&gt;T517,R517=T517),"Formel: OK",IF(T517="","Fehlt","Falsch"))))</f>
        <v>Fehlt</v>
      </c>
      <c r="J517" s="30">
        <f>IF(OR(B517="-",N517="",AND(P517="",T517="")),"-",IF(I517="Richtig!",1,IF(I517="Formel: OK",0.5,IF(OR(I517="Falsch",I517="Fehlt"),0,""))))</f>
        <v>0</v>
      </c>
      <c r="K517" s="23" t="str">
        <f t="shared" si="111"/>
        <v>│</v>
      </c>
      <c r="L517" s="24">
        <f>IF(OR(B517="-",N517="",AND(P517="",T517="")),"",1)</f>
        <v>1</v>
      </c>
      <c r="N517" s="882" t="str">
        <f t="shared" si="124"/>
        <v>x</v>
      </c>
      <c r="P517" s="26">
        <f t="shared" si="116"/>
        <v>-15419.238310000001</v>
      </c>
      <c r="Q517" s="27" t="str">
        <f t="shared" si="112"/>
        <v/>
      </c>
      <c r="R517" s="32">
        <f t="shared" si="113"/>
        <v>-6534</v>
      </c>
      <c r="S517" s="1" t="str">
        <f t="shared" si="114"/>
        <v/>
      </c>
      <c r="T517" s="94" t="str">
        <f t="shared" si="115"/>
        <v/>
      </c>
    </row>
    <row r="518" spans="1:20" ht="12.75" customHeight="1" x14ac:dyDescent="0.2">
      <c r="A518" s="18"/>
      <c r="B518" s="18"/>
      <c r="C518" s="18"/>
      <c r="D518" s="19"/>
      <c r="H518" s="20"/>
      <c r="I518" s="21"/>
      <c r="J518" s="21"/>
      <c r="K518" s="23" t="str">
        <f t="shared" si="111"/>
        <v/>
      </c>
      <c r="L518" s="24" t="str">
        <f>IF(OR(B518="-",N518="",AND(P518="",T518="")),"",1)</f>
        <v/>
      </c>
      <c r="N518" s="883" t="str">
        <f t="shared" si="124"/>
        <v>x</v>
      </c>
      <c r="P518" s="19" t="str">
        <f t="shared" si="116"/>
        <v/>
      </c>
      <c r="Q518" s="1" t="str">
        <f t="shared" si="112"/>
        <v/>
      </c>
      <c r="R518" s="1" t="str">
        <f t="shared" si="113"/>
        <v/>
      </c>
      <c r="S518" s="1" t="str">
        <f t="shared" si="114"/>
        <v/>
      </c>
      <c r="T518" s="20" t="str">
        <f t="shared" si="115"/>
        <v/>
      </c>
    </row>
    <row r="519" spans="1:20" ht="22.5" x14ac:dyDescent="0.2">
      <c r="A519" s="10" t="s">
        <v>80</v>
      </c>
      <c r="B519" s="11"/>
      <c r="C519" s="12"/>
      <c r="D519" s="13" t="s">
        <v>4</v>
      </c>
      <c r="E519" s="13"/>
      <c r="F519" s="14" t="s">
        <v>5</v>
      </c>
      <c r="G519" s="12"/>
      <c r="H519" s="14" t="s">
        <v>6</v>
      </c>
      <c r="I519" s="15" t="str">
        <f>"Fehler"</f>
        <v>Fehler</v>
      </c>
      <c r="J519" s="16" t="s">
        <v>7</v>
      </c>
      <c r="K519" s="16"/>
      <c r="L519" s="16"/>
      <c r="N519" s="881" t="str">
        <f t="shared" si="124"/>
        <v>x</v>
      </c>
      <c r="P519" s="13" t="str">
        <f t="shared" si="116"/>
        <v>Ergebnis</v>
      </c>
      <c r="Q519" s="13" t="str">
        <f t="shared" si="112"/>
        <v/>
      </c>
      <c r="R519" s="14" t="str">
        <f t="shared" si="113"/>
        <v>Formel-
prüfung</v>
      </c>
      <c r="S519" s="12" t="str">
        <f t="shared" si="114"/>
        <v/>
      </c>
      <c r="T519" s="14" t="str">
        <f t="shared" si="115"/>
        <v>Deine Be-rechnung</v>
      </c>
    </row>
    <row r="520" spans="1:20" ht="12.75" hidden="1" customHeight="1" x14ac:dyDescent="0.2">
      <c r="A520" s="17" t="s">
        <v>9</v>
      </c>
      <c r="B520" s="17" t="s">
        <v>81</v>
      </c>
      <c r="C520" s="18"/>
      <c r="D520" s="19"/>
      <c r="H520" s="5"/>
      <c r="I520" s="21"/>
      <c r="J520" s="21"/>
      <c r="K520" s="23" t="str">
        <f t="shared" si="111"/>
        <v/>
      </c>
      <c r="L520" s="24" t="str">
        <f t="shared" ref="L520:L551" si="125">IF(OR(B520="-",N520="",AND(P520="",T520="")),"",1)</f>
        <v/>
      </c>
      <c r="P520" s="19" t="str">
        <f t="shared" si="116"/>
        <v/>
      </c>
      <c r="Q520" s="1" t="str">
        <f t="shared" si="112"/>
        <v/>
      </c>
      <c r="R520" s="1" t="str">
        <f t="shared" si="113"/>
        <v/>
      </c>
      <c r="S520" s="1" t="str">
        <f t="shared" si="114"/>
        <v/>
      </c>
      <c r="T520" s="5" t="str">
        <f t="shared" si="115"/>
        <v/>
      </c>
    </row>
    <row r="521" spans="1:20" ht="12.75" hidden="1" customHeight="1" x14ac:dyDescent="0.2">
      <c r="B521" s="95" t="str">
        <f>IF('[1]E-AV'!B6="","-",'[1]E-AV'!B6)</f>
        <v>Grundverbesserungen</v>
      </c>
      <c r="C521" s="42"/>
      <c r="D521" s="19" t="str">
        <f>IF('[1]E-2NGeb'!Q91="","",'[1]E-2NGeb'!Q91)</f>
        <v/>
      </c>
      <c r="H521" s="5" t="str">
        <f>IF('2NGeb'!Q91="","",'2NGeb'!Q91)</f>
        <v/>
      </c>
      <c r="I521" s="29" t="str">
        <f>IF(OR(B521="-",AND(P521="",T521="")),"",IF(T521=P521,"Richtig!",IF(T521="","Fehlt","Falsch")))</f>
        <v/>
      </c>
      <c r="J521" s="29"/>
      <c r="K521" s="23" t="str">
        <f t="shared" si="111"/>
        <v/>
      </c>
      <c r="L521" s="24" t="str">
        <f t="shared" si="125"/>
        <v/>
      </c>
      <c r="P521" s="19" t="str">
        <f t="shared" si="116"/>
        <v/>
      </c>
      <c r="Q521" s="1" t="str">
        <f t="shared" si="112"/>
        <v/>
      </c>
      <c r="R521" s="1" t="str">
        <f t="shared" si="113"/>
        <v/>
      </c>
      <c r="S521" s="1" t="str">
        <f t="shared" si="114"/>
        <v/>
      </c>
      <c r="T521" s="5" t="str">
        <f t="shared" si="115"/>
        <v/>
      </c>
    </row>
    <row r="522" spans="1:20" ht="12.75" hidden="1" customHeight="1" x14ac:dyDescent="0.2">
      <c r="B522" s="3" t="str">
        <f>IF('[1]E-AV'!B7="","-",'[1]E-AV'!B7)</f>
        <v>Fixe Bewässerungsanlage</v>
      </c>
      <c r="C522" s="93" t="str">
        <f>MID($B$520,1,4)&amp;". "&amp;MID($B$520,11,9)&amp;"."</f>
        <v>Bish. Nutzungsd.</v>
      </c>
      <c r="D522" s="26">
        <f>IF('[1]E-AV'!$G7="","",'[1]E-AV'!$G7)</f>
        <v>26</v>
      </c>
      <c r="E522" s="27"/>
      <c r="F522" s="27"/>
      <c r="H522" s="96">
        <f>IF(AV!$G7="","",AV!$G7)</f>
        <v>26</v>
      </c>
      <c r="I522" s="29" t="str">
        <f>IF(OR(B522="-",AND(P522="",T522="")),"",IF(T522=P522,"Richtig!",IF(T522="","Fehlt","Falsch")))</f>
        <v>Richtig!</v>
      </c>
      <c r="J522" s="30" t="str">
        <f>IF(OR(B522="-",N522="",AND(P522="",T522="")),"-",IF(I522="Richtig!",1,IF(I522="Formel: OK",0.5,IF(OR(I522="Falsch",I522="Fehlt"),0,""))))</f>
        <v>-</v>
      </c>
      <c r="K522" s="23" t="str">
        <f t="shared" ref="K522:K586" si="126">IF(L522="","","│")</f>
        <v/>
      </c>
      <c r="L522" s="24" t="str">
        <f t="shared" si="125"/>
        <v/>
      </c>
      <c r="N522" s="882"/>
      <c r="P522" s="26">
        <f t="shared" si="116"/>
        <v>26</v>
      </c>
      <c r="Q522" s="27" t="str">
        <f t="shared" ref="Q522:Q585" si="127">IF(ISTEXT(E522),E522,IF(E522="","",ROUND(E522,$R$1)))</f>
        <v/>
      </c>
      <c r="R522" s="27" t="str">
        <f t="shared" ref="R522:R585" si="128">IF(ISTEXT(F522),F522,IF(F522="","",ROUND(F522,$R$1)))</f>
        <v/>
      </c>
      <c r="S522" s="1" t="str">
        <f t="shared" ref="S522:S585" si="129">IF(ISTEXT(G522),G522,IF(G522="","",ROUND(G522,$R$1)))</f>
        <v/>
      </c>
      <c r="T522" s="96">
        <f t="shared" ref="T522:T585" si="130">IF(ISTEXT(H522),H522,IF(H522="","",ROUND(H522,$R$1)))</f>
        <v>26</v>
      </c>
    </row>
    <row r="523" spans="1:20" ht="12.75" hidden="1" customHeight="1" x14ac:dyDescent="0.2">
      <c r="A523" s="18"/>
      <c r="B523" s="3" t="str">
        <f>IF('[1]E-AV'!B8="","-",'[1]E-AV'!B8)</f>
        <v>-</v>
      </c>
      <c r="C523" s="93" t="str">
        <f>MID($B$520,1,4)&amp;". "&amp;MID($B$520,11,9)&amp;"."</f>
        <v>Bish. Nutzungsd.</v>
      </c>
      <c r="D523" s="26" t="str">
        <f>IF('[1]E-AV'!$G8="","",'[1]E-AV'!$G8)</f>
        <v/>
      </c>
      <c r="E523" s="27"/>
      <c r="F523" s="27"/>
      <c r="H523" s="96" t="str">
        <f>IF(AV!$G8="","",AV!$G8)</f>
        <v/>
      </c>
      <c r="I523" s="29" t="str">
        <f>IF(OR(B523="-",AND(P523="",T523="")),"",IF(T523=P523,"Richtig!",IF(T523="","Fehlt","Falsch")))</f>
        <v/>
      </c>
      <c r="J523" s="30" t="str">
        <f>IF(OR(B523="-",N523="",AND(P523="",T523="")),"-",IF(I523="Richtig!",1,IF(I523="Formel: OK",0.5,IF(OR(I523="Falsch",I523="Fehlt"),0,""))))</f>
        <v>-</v>
      </c>
      <c r="K523" s="23" t="str">
        <f t="shared" si="126"/>
        <v/>
      </c>
      <c r="L523" s="24" t="str">
        <f t="shared" si="125"/>
        <v/>
      </c>
      <c r="N523" s="882"/>
      <c r="P523" s="26" t="str">
        <f t="shared" ref="P523:P586" si="131">IF(ISTEXT(D523),D523,IF(D523="","",ROUND(D523,$R$1)))</f>
        <v/>
      </c>
      <c r="Q523" s="27" t="str">
        <f t="shared" si="127"/>
        <v/>
      </c>
      <c r="R523" s="27" t="str">
        <f t="shared" si="128"/>
        <v/>
      </c>
      <c r="S523" s="1" t="str">
        <f t="shared" si="129"/>
        <v/>
      </c>
      <c r="T523" s="96" t="str">
        <f t="shared" si="130"/>
        <v/>
      </c>
    </row>
    <row r="524" spans="1:20" ht="12.75" hidden="1" customHeight="1" x14ac:dyDescent="0.2">
      <c r="A524" s="18"/>
      <c r="B524" s="95" t="str">
        <f>IF('[1]E-AV'!B10="","-",'[1]E-AV'!B10)</f>
        <v>Gebäude und bauliche Anlagen</v>
      </c>
      <c r="C524" s="93"/>
      <c r="D524" s="19"/>
      <c r="H524" s="5"/>
      <c r="I524" s="29"/>
      <c r="J524" s="29"/>
      <c r="K524" s="23" t="str">
        <f t="shared" si="126"/>
        <v/>
      </c>
      <c r="L524" s="24" t="str">
        <f t="shared" si="125"/>
        <v/>
      </c>
      <c r="P524" s="19" t="str">
        <f t="shared" si="131"/>
        <v/>
      </c>
      <c r="Q524" s="1" t="str">
        <f t="shared" si="127"/>
        <v/>
      </c>
      <c r="R524" s="1" t="str">
        <f t="shared" si="128"/>
        <v/>
      </c>
      <c r="S524" s="1" t="str">
        <f t="shared" si="129"/>
        <v/>
      </c>
      <c r="T524" s="5" t="str">
        <f t="shared" si="130"/>
        <v/>
      </c>
    </row>
    <row r="525" spans="1:20" ht="12.75" hidden="1" customHeight="1" x14ac:dyDescent="0.2">
      <c r="A525" s="18"/>
      <c r="B525" s="3" t="str">
        <f>IF('[1]E-AV'!B11="","-",'[1]E-AV'!B11)</f>
        <v>Schuppen</v>
      </c>
      <c r="C525" s="93" t="str">
        <f t="shared" ref="C525:C532" si="132">MID($B$520,1,4)&amp;". "&amp;MID($B$520,11,9)&amp;"."</f>
        <v>Bish. Nutzungsd.</v>
      </c>
      <c r="D525" s="26">
        <f>IF('[1]E-AV'!$G11="","",'[1]E-AV'!$G11)</f>
        <v>23</v>
      </c>
      <c r="E525" s="27"/>
      <c r="F525" s="27"/>
      <c r="H525" s="96">
        <f>IF(AV!$G11="","",AV!$G11)</f>
        <v>21</v>
      </c>
      <c r="I525" s="29" t="str">
        <f t="shared" ref="I525:I532" si="133">IF(OR(B525="-",AND(P525="",T525="")),"",IF(T525=P525,"Richtig!",IF(T525="","Fehlt","Falsch")))</f>
        <v>Falsch</v>
      </c>
      <c r="J525" s="30" t="str">
        <f t="shared" ref="J525:J532" si="134">IF(OR(B525="-",N525="",AND(P525="",T525="")),"-",IF(I525="Richtig!",1,IF(I525="Formel: OK",0.5,IF(OR(I525="Falsch",I525="Fehlt"),0,""))))</f>
        <v>-</v>
      </c>
      <c r="K525" s="23" t="str">
        <f t="shared" si="126"/>
        <v/>
      </c>
      <c r="L525" s="24" t="str">
        <f t="shared" si="125"/>
        <v/>
      </c>
      <c r="N525" s="882"/>
      <c r="P525" s="26">
        <f t="shared" si="131"/>
        <v>23</v>
      </c>
      <c r="Q525" s="27" t="str">
        <f t="shared" si="127"/>
        <v/>
      </c>
      <c r="R525" s="27" t="str">
        <f t="shared" si="128"/>
        <v/>
      </c>
      <c r="S525" s="1" t="str">
        <f t="shared" si="129"/>
        <v/>
      </c>
      <c r="T525" s="96">
        <f t="shared" si="130"/>
        <v>21</v>
      </c>
    </row>
    <row r="526" spans="1:20" ht="12.75" hidden="1" customHeight="1" x14ac:dyDescent="0.2">
      <c r="A526" s="18"/>
      <c r="B526" s="3" t="str">
        <f>IF('[1]E-AV'!B12="","-",'[1]E-AV'!B12)</f>
        <v>Masthühnerstall (Flachstall)</v>
      </c>
      <c r="C526" s="93" t="str">
        <f t="shared" si="132"/>
        <v>Bish. Nutzungsd.</v>
      </c>
      <c r="D526" s="26">
        <f>IF('[1]E-AV'!$G12="","",'[1]E-AV'!$G12)</f>
        <v>14</v>
      </c>
      <c r="E526" s="27"/>
      <c r="F526" s="27"/>
      <c r="H526" s="96">
        <f>IF(AV!$G12="","",AV!$G12)</f>
        <v>13</v>
      </c>
      <c r="I526" s="29" t="str">
        <f t="shared" si="133"/>
        <v>Falsch</v>
      </c>
      <c r="J526" s="30" t="str">
        <f t="shared" si="134"/>
        <v>-</v>
      </c>
      <c r="K526" s="23" t="str">
        <f t="shared" si="126"/>
        <v/>
      </c>
      <c r="L526" s="24" t="str">
        <f t="shared" si="125"/>
        <v/>
      </c>
      <c r="N526" s="882"/>
      <c r="P526" s="26">
        <f t="shared" si="131"/>
        <v>14</v>
      </c>
      <c r="Q526" s="27" t="str">
        <f t="shared" si="127"/>
        <v/>
      </c>
      <c r="R526" s="27" t="str">
        <f t="shared" si="128"/>
        <v/>
      </c>
      <c r="S526" s="1" t="str">
        <f t="shared" si="129"/>
        <v/>
      </c>
      <c r="T526" s="96">
        <f t="shared" si="130"/>
        <v>13</v>
      </c>
    </row>
    <row r="527" spans="1:20" ht="12.75" hidden="1" customHeight="1" x14ac:dyDescent="0.2">
      <c r="A527" s="18"/>
      <c r="B527" s="3" t="str">
        <f>IF('[1]E-AV'!B13="","-",'[1]E-AV'!B13)</f>
        <v>Rinderstall mit Bergeraum</v>
      </c>
      <c r="C527" s="93" t="str">
        <f t="shared" si="132"/>
        <v>Bish. Nutzungsd.</v>
      </c>
      <c r="D527" s="26">
        <f>IF('[1]E-AV'!$G13="","",'[1]E-AV'!$G13)</f>
        <v>6</v>
      </c>
      <c r="E527" s="27"/>
      <c r="F527" s="27"/>
      <c r="H527" s="96">
        <f>IF(AV!$G13="","",AV!$G13)</f>
        <v>6</v>
      </c>
      <c r="I527" s="29" t="str">
        <f t="shared" si="133"/>
        <v>Richtig!</v>
      </c>
      <c r="J527" s="30" t="str">
        <f t="shared" si="134"/>
        <v>-</v>
      </c>
      <c r="K527" s="23" t="str">
        <f t="shared" si="126"/>
        <v/>
      </c>
      <c r="L527" s="24" t="str">
        <f t="shared" si="125"/>
        <v/>
      </c>
      <c r="N527" s="882"/>
      <c r="P527" s="26">
        <f t="shared" si="131"/>
        <v>6</v>
      </c>
      <c r="Q527" s="27" t="str">
        <f t="shared" si="127"/>
        <v/>
      </c>
      <c r="R527" s="27" t="str">
        <f t="shared" si="128"/>
        <v/>
      </c>
      <c r="S527" s="1" t="str">
        <f t="shared" si="129"/>
        <v/>
      </c>
      <c r="T527" s="96">
        <f t="shared" si="130"/>
        <v>6</v>
      </c>
    </row>
    <row r="528" spans="1:20" ht="12.75" hidden="1" customHeight="1" x14ac:dyDescent="0.2">
      <c r="A528" s="18"/>
      <c r="B528" s="3" t="str">
        <f>IF('[1]E-AV'!B14="","-",'[1]E-AV'!B14)</f>
        <v>Verarbeitungsraum</v>
      </c>
      <c r="C528" s="93" t="str">
        <f t="shared" si="132"/>
        <v>Bish. Nutzungsd.</v>
      </c>
      <c r="D528" s="26">
        <f>IF('[1]E-AV'!$G14="","",'[1]E-AV'!$G14)</f>
        <v>6</v>
      </c>
      <c r="E528" s="27"/>
      <c r="F528" s="27"/>
      <c r="H528" s="96">
        <f>IF(AV!$G14="","",AV!$G14)</f>
        <v>6</v>
      </c>
      <c r="I528" s="29" t="str">
        <f t="shared" si="133"/>
        <v>Richtig!</v>
      </c>
      <c r="J528" s="30" t="str">
        <f t="shared" si="134"/>
        <v>-</v>
      </c>
      <c r="K528" s="23" t="str">
        <f t="shared" si="126"/>
        <v/>
      </c>
      <c r="L528" s="24" t="str">
        <f t="shared" si="125"/>
        <v/>
      </c>
      <c r="N528" s="882"/>
      <c r="P528" s="26">
        <f t="shared" si="131"/>
        <v>6</v>
      </c>
      <c r="Q528" s="27" t="str">
        <f t="shared" si="127"/>
        <v/>
      </c>
      <c r="R528" s="27" t="str">
        <f t="shared" si="128"/>
        <v/>
      </c>
      <c r="S528" s="1" t="str">
        <f t="shared" si="129"/>
        <v/>
      </c>
      <c r="T528" s="96">
        <f t="shared" si="130"/>
        <v>6</v>
      </c>
    </row>
    <row r="529" spans="1:20" ht="12.75" hidden="1" customHeight="1" x14ac:dyDescent="0.2">
      <c r="A529" s="18"/>
      <c r="B529" s="3" t="str">
        <f>IF('[1]E-AV'!B15="","-",'[1]E-AV'!B15)</f>
        <v>Garage mit Lagerraum</v>
      </c>
      <c r="C529" s="93" t="str">
        <f t="shared" si="132"/>
        <v>Bish. Nutzungsd.</v>
      </c>
      <c r="D529" s="26">
        <f>IF('[1]E-AV'!$G15="","",'[1]E-AV'!$G15)</f>
        <v>27</v>
      </c>
      <c r="E529" s="27"/>
      <c r="F529" s="27"/>
      <c r="H529" s="96">
        <f>IF(AV!$G15="","",AV!$G15)</f>
        <v>27</v>
      </c>
      <c r="I529" s="29" t="str">
        <f t="shared" si="133"/>
        <v>Richtig!</v>
      </c>
      <c r="J529" s="30" t="str">
        <f t="shared" si="134"/>
        <v>-</v>
      </c>
      <c r="K529" s="23" t="str">
        <f t="shared" si="126"/>
        <v/>
      </c>
      <c r="L529" s="24" t="str">
        <f t="shared" si="125"/>
        <v/>
      </c>
      <c r="N529" s="882"/>
      <c r="P529" s="26">
        <f t="shared" si="131"/>
        <v>27</v>
      </c>
      <c r="Q529" s="27" t="str">
        <f t="shared" si="127"/>
        <v/>
      </c>
      <c r="R529" s="27" t="str">
        <f t="shared" si="128"/>
        <v/>
      </c>
      <c r="S529" s="1" t="str">
        <f t="shared" si="129"/>
        <v/>
      </c>
      <c r="T529" s="96">
        <f t="shared" si="130"/>
        <v>27</v>
      </c>
    </row>
    <row r="530" spans="1:20" ht="12.75" hidden="1" customHeight="1" x14ac:dyDescent="0.2">
      <c r="A530" s="18"/>
      <c r="B530" s="3" t="str">
        <f>IF('[1]E-AV'!B16="","-",'[1]E-AV'!B16)</f>
        <v>-</v>
      </c>
      <c r="C530" s="93" t="str">
        <f t="shared" si="132"/>
        <v>Bish. Nutzungsd.</v>
      </c>
      <c r="D530" s="26" t="str">
        <f>IF('[1]E-AV'!$G16="","",'[1]E-AV'!$G16)</f>
        <v/>
      </c>
      <c r="E530" s="27"/>
      <c r="F530" s="27"/>
      <c r="H530" s="96" t="str">
        <f>IF(AV!$G16="","",AV!$G16)</f>
        <v/>
      </c>
      <c r="I530" s="29" t="str">
        <f t="shared" si="133"/>
        <v/>
      </c>
      <c r="J530" s="30" t="str">
        <f t="shared" si="134"/>
        <v>-</v>
      </c>
      <c r="K530" s="23" t="str">
        <f t="shared" si="126"/>
        <v/>
      </c>
      <c r="L530" s="24" t="str">
        <f t="shared" si="125"/>
        <v/>
      </c>
      <c r="N530" s="882"/>
      <c r="P530" s="26" t="str">
        <f t="shared" si="131"/>
        <v/>
      </c>
      <c r="Q530" s="27" t="str">
        <f t="shared" si="127"/>
        <v/>
      </c>
      <c r="R530" s="27" t="str">
        <f t="shared" si="128"/>
        <v/>
      </c>
      <c r="S530" s="1" t="str">
        <f t="shared" si="129"/>
        <v/>
      </c>
      <c r="T530" s="96" t="str">
        <f t="shared" si="130"/>
        <v/>
      </c>
    </row>
    <row r="531" spans="1:20" ht="12.75" hidden="1" customHeight="1" x14ac:dyDescent="0.2">
      <c r="A531" s="18"/>
      <c r="B531" s="3" t="str">
        <f>IF('[1]E-AV'!B17="","-",'[1]E-AV'!B17)</f>
        <v>-</v>
      </c>
      <c r="C531" s="93" t="str">
        <f t="shared" si="132"/>
        <v>Bish. Nutzungsd.</v>
      </c>
      <c r="D531" s="26" t="str">
        <f>IF('[1]E-AV'!$G17="","",'[1]E-AV'!$G17)</f>
        <v/>
      </c>
      <c r="E531" s="27"/>
      <c r="F531" s="27"/>
      <c r="H531" s="96" t="str">
        <f>IF(AV!$G17="","",AV!$G17)</f>
        <v/>
      </c>
      <c r="I531" s="29" t="str">
        <f t="shared" si="133"/>
        <v/>
      </c>
      <c r="J531" s="30" t="str">
        <f t="shared" si="134"/>
        <v>-</v>
      </c>
      <c r="K531" s="23" t="str">
        <f t="shared" si="126"/>
        <v/>
      </c>
      <c r="L531" s="24" t="str">
        <f t="shared" si="125"/>
        <v/>
      </c>
      <c r="N531" s="882"/>
      <c r="P531" s="26" t="str">
        <f t="shared" si="131"/>
        <v/>
      </c>
      <c r="Q531" s="27" t="str">
        <f t="shared" si="127"/>
        <v/>
      </c>
      <c r="R531" s="27" t="str">
        <f t="shared" si="128"/>
        <v/>
      </c>
      <c r="S531" s="1" t="str">
        <f t="shared" si="129"/>
        <v/>
      </c>
      <c r="T531" s="96" t="str">
        <f t="shared" si="130"/>
        <v/>
      </c>
    </row>
    <row r="532" spans="1:20" ht="12.75" hidden="1" customHeight="1" x14ac:dyDescent="0.2">
      <c r="A532" s="18"/>
      <c r="B532" s="3" t="str">
        <f>IF('[1]E-AV'!B18="","-",'[1]E-AV'!B18)</f>
        <v>-</v>
      </c>
      <c r="C532" s="93" t="str">
        <f t="shared" si="132"/>
        <v>Bish. Nutzungsd.</v>
      </c>
      <c r="D532" s="26" t="str">
        <f>IF('[1]E-AV'!$G18="","",'[1]E-AV'!$G18)</f>
        <v/>
      </c>
      <c r="E532" s="27"/>
      <c r="F532" s="27"/>
      <c r="H532" s="96" t="str">
        <f>IF(AV!$G18="","",AV!$G18)</f>
        <v/>
      </c>
      <c r="I532" s="29" t="str">
        <f t="shared" si="133"/>
        <v/>
      </c>
      <c r="J532" s="30" t="str">
        <f t="shared" si="134"/>
        <v>-</v>
      </c>
      <c r="K532" s="23" t="str">
        <f t="shared" si="126"/>
        <v/>
      </c>
      <c r="L532" s="24" t="str">
        <f t="shared" si="125"/>
        <v/>
      </c>
      <c r="N532" s="882"/>
      <c r="P532" s="26" t="str">
        <f t="shared" si="131"/>
        <v/>
      </c>
      <c r="Q532" s="27" t="str">
        <f t="shared" si="127"/>
        <v/>
      </c>
      <c r="R532" s="27" t="str">
        <f t="shared" si="128"/>
        <v/>
      </c>
      <c r="S532" s="1" t="str">
        <f t="shared" si="129"/>
        <v/>
      </c>
      <c r="T532" s="96" t="str">
        <f t="shared" si="130"/>
        <v/>
      </c>
    </row>
    <row r="533" spans="1:20" ht="12.75" hidden="1" customHeight="1" x14ac:dyDescent="0.2">
      <c r="A533" s="18"/>
      <c r="B533" s="95" t="str">
        <f>IF('[1]E-AV'!B20="","-",'[1]E-AV'!B20)</f>
        <v>Maschinen und Geräte</v>
      </c>
      <c r="C533" s="93"/>
      <c r="D533" s="19" t="str">
        <f>IF('[1]E-AV'!$G20="","",'[1]E-AV'!$G20)</f>
        <v/>
      </c>
      <c r="H533" s="5" t="str">
        <f>IF(AV!$G20="","",AV!$G20)</f>
        <v/>
      </c>
      <c r="I533" s="29"/>
      <c r="J533" s="29"/>
      <c r="K533" s="23" t="str">
        <f t="shared" si="126"/>
        <v/>
      </c>
      <c r="L533" s="24" t="str">
        <f t="shared" si="125"/>
        <v/>
      </c>
      <c r="P533" s="19" t="str">
        <f t="shared" si="131"/>
        <v/>
      </c>
      <c r="Q533" s="1" t="str">
        <f t="shared" si="127"/>
        <v/>
      </c>
      <c r="R533" s="1" t="str">
        <f t="shared" si="128"/>
        <v/>
      </c>
      <c r="S533" s="1" t="str">
        <f t="shared" si="129"/>
        <v/>
      </c>
      <c r="T533" s="5" t="str">
        <f t="shared" si="130"/>
        <v/>
      </c>
    </row>
    <row r="534" spans="1:20" ht="12.75" hidden="1" customHeight="1" x14ac:dyDescent="0.2">
      <c r="A534" s="18"/>
      <c r="B534" s="3" t="str">
        <f>IF('[1]E-AV'!B21="","-",'[1]E-AV'!B21)</f>
        <v>Allradtraktor</v>
      </c>
      <c r="C534" s="93" t="str">
        <f t="shared" ref="C534:C553" si="135">MID($B$520,1,4)&amp;". "&amp;MID($B$520,11,9)&amp;"."</f>
        <v>Bish. Nutzungsd.</v>
      </c>
      <c r="D534" s="26">
        <f>IF('[1]E-AV'!$G21="","",'[1]E-AV'!$G21)</f>
        <v>5</v>
      </c>
      <c r="E534" s="27"/>
      <c r="F534" s="27"/>
      <c r="H534" s="96">
        <f>IF(AV!$G21="","",AV!$G21)</f>
        <v>5</v>
      </c>
      <c r="I534" s="29" t="str">
        <f t="shared" ref="I534:I553" si="136">IF(OR(B534="-",AND(P534="",T534="")),"",IF(T534=P534,"Richtig!",IF(T534="","Fehlt","Falsch")))</f>
        <v>Richtig!</v>
      </c>
      <c r="J534" s="30" t="str">
        <f t="shared" ref="J534:J553" si="137">IF(OR(B534="-",N534="",AND(P534="",T534="")),"-",IF(I534="Richtig!",1,IF(I534="Formel: OK",0.5,IF(OR(I534="Falsch",I534="Fehlt"),0,""))))</f>
        <v>-</v>
      </c>
      <c r="K534" s="23" t="str">
        <f t="shared" si="126"/>
        <v/>
      </c>
      <c r="L534" s="24" t="str">
        <f t="shared" si="125"/>
        <v/>
      </c>
      <c r="N534" s="882"/>
      <c r="P534" s="26">
        <f t="shared" si="131"/>
        <v>5</v>
      </c>
      <c r="Q534" s="27" t="str">
        <f t="shared" si="127"/>
        <v/>
      </c>
      <c r="R534" s="27" t="str">
        <f t="shared" si="128"/>
        <v/>
      </c>
      <c r="S534" s="1" t="str">
        <f t="shared" si="129"/>
        <v/>
      </c>
      <c r="T534" s="96">
        <f t="shared" si="130"/>
        <v>5</v>
      </c>
    </row>
    <row r="535" spans="1:20" ht="12.75" hidden="1" customHeight="1" x14ac:dyDescent="0.2">
      <c r="A535" s="18"/>
      <c r="B535" s="3" t="str">
        <f>IF('[1]E-AV'!B22="","-",'[1]E-AV'!B22)</f>
        <v>Standardtraktor</v>
      </c>
      <c r="C535" s="93" t="str">
        <f t="shared" si="135"/>
        <v>Bish. Nutzungsd.</v>
      </c>
      <c r="D535" s="26">
        <f>IF('[1]E-AV'!$G22="","",'[1]E-AV'!$G22)</f>
        <v>10</v>
      </c>
      <c r="E535" s="27"/>
      <c r="F535" s="27"/>
      <c r="H535" s="96">
        <f>IF(AV!$G22="","",AV!$G22)</f>
        <v>10</v>
      </c>
      <c r="I535" s="29" t="str">
        <f t="shared" si="136"/>
        <v>Richtig!</v>
      </c>
      <c r="J535" s="30" t="str">
        <f t="shared" si="137"/>
        <v>-</v>
      </c>
      <c r="K535" s="23" t="str">
        <f t="shared" si="126"/>
        <v/>
      </c>
      <c r="L535" s="24" t="str">
        <f t="shared" si="125"/>
        <v/>
      </c>
      <c r="N535" s="882"/>
      <c r="P535" s="26">
        <f t="shared" si="131"/>
        <v>10</v>
      </c>
      <c r="Q535" s="27" t="str">
        <f t="shared" si="127"/>
        <v/>
      </c>
      <c r="R535" s="27" t="str">
        <f t="shared" si="128"/>
        <v/>
      </c>
      <c r="S535" s="1" t="str">
        <f t="shared" si="129"/>
        <v/>
      </c>
      <c r="T535" s="96">
        <f t="shared" si="130"/>
        <v>10</v>
      </c>
    </row>
    <row r="536" spans="1:20" ht="12.75" hidden="1" customHeight="1" x14ac:dyDescent="0.2">
      <c r="A536" s="18"/>
      <c r="B536" s="3" t="str">
        <f>IF('[1]E-AV'!B23="","-",'[1]E-AV'!B23)</f>
        <v>-</v>
      </c>
      <c r="C536" s="93" t="str">
        <f t="shared" si="135"/>
        <v>Bish. Nutzungsd.</v>
      </c>
      <c r="D536" s="26" t="str">
        <f>IF('[1]E-AV'!$G23="","",'[1]E-AV'!$G23)</f>
        <v/>
      </c>
      <c r="E536" s="27"/>
      <c r="F536" s="27"/>
      <c r="H536" s="96" t="str">
        <f>IF(AV!$G23="","",AV!$G23)</f>
        <v/>
      </c>
      <c r="I536" s="29" t="str">
        <f t="shared" si="136"/>
        <v/>
      </c>
      <c r="J536" s="30" t="str">
        <f t="shared" si="137"/>
        <v>-</v>
      </c>
      <c r="K536" s="23" t="str">
        <f t="shared" si="126"/>
        <v/>
      </c>
      <c r="L536" s="24" t="str">
        <f t="shared" si="125"/>
        <v/>
      </c>
      <c r="N536" s="882"/>
      <c r="P536" s="26" t="str">
        <f t="shared" si="131"/>
        <v/>
      </c>
      <c r="Q536" s="27" t="str">
        <f t="shared" si="127"/>
        <v/>
      </c>
      <c r="R536" s="27" t="str">
        <f t="shared" si="128"/>
        <v/>
      </c>
      <c r="S536" s="1" t="str">
        <f t="shared" si="129"/>
        <v/>
      </c>
      <c r="T536" s="96" t="str">
        <f t="shared" si="130"/>
        <v/>
      </c>
    </row>
    <row r="537" spans="1:20" ht="12.75" hidden="1" customHeight="1" x14ac:dyDescent="0.2">
      <c r="A537" s="18"/>
      <c r="B537" s="3" t="str">
        <f>IF('[1]E-AV'!B24="","-",'[1]E-AV'!B24)</f>
        <v>PKW-Anhänger</v>
      </c>
      <c r="C537" s="93" t="str">
        <f t="shared" si="135"/>
        <v>Bish. Nutzungsd.</v>
      </c>
      <c r="D537" s="26">
        <f>IF('[1]E-AV'!$G24="","",'[1]E-AV'!$G24)</f>
        <v>9</v>
      </c>
      <c r="E537" s="27"/>
      <c r="F537" s="27"/>
      <c r="H537" s="96">
        <f>IF(AV!$G24="","",AV!$G24)</f>
        <v>9</v>
      </c>
      <c r="I537" s="29" t="str">
        <f t="shared" si="136"/>
        <v>Richtig!</v>
      </c>
      <c r="J537" s="30" t="str">
        <f t="shared" si="137"/>
        <v>-</v>
      </c>
      <c r="K537" s="23" t="str">
        <f t="shared" si="126"/>
        <v/>
      </c>
      <c r="L537" s="24" t="str">
        <f t="shared" si="125"/>
        <v/>
      </c>
      <c r="N537" s="882"/>
      <c r="P537" s="26">
        <f t="shared" si="131"/>
        <v>9</v>
      </c>
      <c r="Q537" s="27" t="str">
        <f t="shared" si="127"/>
        <v/>
      </c>
      <c r="R537" s="27" t="str">
        <f t="shared" si="128"/>
        <v/>
      </c>
      <c r="S537" s="1" t="str">
        <f t="shared" si="129"/>
        <v/>
      </c>
      <c r="T537" s="96">
        <f t="shared" si="130"/>
        <v>9</v>
      </c>
    </row>
    <row r="538" spans="1:20" ht="12.75" hidden="1" customHeight="1" x14ac:dyDescent="0.2">
      <c r="A538" s="18"/>
      <c r="B538" s="3" t="str">
        <f>IF('[1]E-AV'!B25="","-",'[1]E-AV'!B25)</f>
        <v>Ladewagen</v>
      </c>
      <c r="C538" s="93" t="str">
        <f t="shared" si="135"/>
        <v>Bish. Nutzungsd.</v>
      </c>
      <c r="D538" s="26">
        <f>IF('[1]E-AV'!$G25="","",'[1]E-AV'!$G25)</f>
        <v>21</v>
      </c>
      <c r="E538" s="27"/>
      <c r="F538" s="27"/>
      <c r="H538" s="96">
        <f>IF(AV!$G25="","",AV!$G25)</f>
        <v>21</v>
      </c>
      <c r="I538" s="29" t="str">
        <f t="shared" si="136"/>
        <v>Richtig!</v>
      </c>
      <c r="J538" s="30" t="str">
        <f t="shared" si="137"/>
        <v>-</v>
      </c>
      <c r="K538" s="23" t="str">
        <f t="shared" si="126"/>
        <v/>
      </c>
      <c r="L538" s="24" t="str">
        <f t="shared" si="125"/>
        <v/>
      </c>
      <c r="N538" s="882"/>
      <c r="P538" s="26">
        <f t="shared" si="131"/>
        <v>21</v>
      </c>
      <c r="Q538" s="27" t="str">
        <f t="shared" si="127"/>
        <v/>
      </c>
      <c r="R538" s="27" t="str">
        <f t="shared" si="128"/>
        <v/>
      </c>
      <c r="S538" s="1" t="str">
        <f t="shared" si="129"/>
        <v/>
      </c>
      <c r="T538" s="96">
        <f t="shared" si="130"/>
        <v>21</v>
      </c>
    </row>
    <row r="539" spans="1:20" ht="12.75" hidden="1" customHeight="1" x14ac:dyDescent="0.2">
      <c r="A539" s="18"/>
      <c r="B539" s="3" t="str">
        <f>IF('[1]E-AV'!B26="","-",'[1]E-AV'!B26)</f>
        <v>Kreiselschwader</v>
      </c>
      <c r="C539" s="93" t="str">
        <f t="shared" si="135"/>
        <v>Bish. Nutzungsd.</v>
      </c>
      <c r="D539" s="26">
        <f>IF('[1]E-AV'!$G26="","",'[1]E-AV'!$G26)</f>
        <v>9</v>
      </c>
      <c r="E539" s="27"/>
      <c r="F539" s="27"/>
      <c r="H539" s="96">
        <f>IF(AV!$G26="","",AV!$G26)</f>
        <v>9</v>
      </c>
      <c r="I539" s="29" t="str">
        <f t="shared" si="136"/>
        <v>Richtig!</v>
      </c>
      <c r="J539" s="30" t="str">
        <f t="shared" si="137"/>
        <v>-</v>
      </c>
      <c r="K539" s="23" t="str">
        <f t="shared" si="126"/>
        <v/>
      </c>
      <c r="L539" s="24" t="str">
        <f t="shared" si="125"/>
        <v/>
      </c>
      <c r="N539" s="882"/>
      <c r="P539" s="26">
        <f t="shared" si="131"/>
        <v>9</v>
      </c>
      <c r="Q539" s="27" t="str">
        <f t="shared" si="127"/>
        <v/>
      </c>
      <c r="R539" s="27" t="str">
        <f t="shared" si="128"/>
        <v/>
      </c>
      <c r="S539" s="1" t="str">
        <f t="shared" si="129"/>
        <v/>
      </c>
      <c r="T539" s="96">
        <f t="shared" si="130"/>
        <v>9</v>
      </c>
    </row>
    <row r="540" spans="1:20" ht="12.75" hidden="1" customHeight="1" x14ac:dyDescent="0.2">
      <c r="A540" s="18"/>
      <c r="B540" s="3" t="str">
        <f>IF('[1]E-AV'!B27="","-",'[1]E-AV'!B27)</f>
        <v>Kreiselzetter</v>
      </c>
      <c r="C540" s="93" t="str">
        <f t="shared" si="135"/>
        <v>Bish. Nutzungsd.</v>
      </c>
      <c r="D540" s="26">
        <f>IF('[1]E-AV'!$G27="","",'[1]E-AV'!$G27)</f>
        <v>16</v>
      </c>
      <c r="E540" s="27"/>
      <c r="F540" s="27"/>
      <c r="H540" s="96">
        <f>IF(AV!$G27="","",AV!$G27)</f>
        <v>16</v>
      </c>
      <c r="I540" s="29" t="str">
        <f t="shared" si="136"/>
        <v>Richtig!</v>
      </c>
      <c r="J540" s="30" t="str">
        <f t="shared" si="137"/>
        <v>-</v>
      </c>
      <c r="K540" s="23" t="str">
        <f t="shared" si="126"/>
        <v/>
      </c>
      <c r="L540" s="24" t="str">
        <f t="shared" si="125"/>
        <v/>
      </c>
      <c r="N540" s="882"/>
      <c r="P540" s="26">
        <f t="shared" si="131"/>
        <v>16</v>
      </c>
      <c r="Q540" s="27" t="str">
        <f t="shared" si="127"/>
        <v/>
      </c>
      <c r="R540" s="27" t="str">
        <f t="shared" si="128"/>
        <v/>
      </c>
      <c r="S540" s="1" t="str">
        <f t="shared" si="129"/>
        <v/>
      </c>
      <c r="T540" s="96">
        <f t="shared" si="130"/>
        <v>16</v>
      </c>
    </row>
    <row r="541" spans="1:20" ht="12.75" hidden="1" customHeight="1" x14ac:dyDescent="0.2">
      <c r="A541" s="18"/>
      <c r="B541" s="3" t="str">
        <f>IF('[1]E-AV'!B28="","-",'[1]E-AV'!B28)</f>
        <v>Mähwerk</v>
      </c>
      <c r="C541" s="93" t="str">
        <f t="shared" si="135"/>
        <v>Bish. Nutzungsd.</v>
      </c>
      <c r="D541" s="26">
        <f>IF('[1]E-AV'!$G28="","",'[1]E-AV'!$G28)</f>
        <v>10</v>
      </c>
      <c r="E541" s="27"/>
      <c r="F541" s="27"/>
      <c r="H541" s="96">
        <f>IF(AV!$G28="","",AV!$G28)</f>
        <v>10</v>
      </c>
      <c r="I541" s="29" t="str">
        <f t="shared" si="136"/>
        <v>Richtig!</v>
      </c>
      <c r="J541" s="30" t="str">
        <f t="shared" si="137"/>
        <v>-</v>
      </c>
      <c r="K541" s="23" t="str">
        <f t="shared" si="126"/>
        <v/>
      </c>
      <c r="L541" s="24" t="str">
        <f t="shared" si="125"/>
        <v/>
      </c>
      <c r="N541" s="882"/>
      <c r="P541" s="26">
        <f t="shared" si="131"/>
        <v>10</v>
      </c>
      <c r="Q541" s="27" t="str">
        <f t="shared" si="127"/>
        <v/>
      </c>
      <c r="R541" s="27" t="str">
        <f t="shared" si="128"/>
        <v/>
      </c>
      <c r="S541" s="1" t="str">
        <f t="shared" si="129"/>
        <v/>
      </c>
      <c r="T541" s="96">
        <f t="shared" si="130"/>
        <v>10</v>
      </c>
    </row>
    <row r="542" spans="1:20" ht="12.75" hidden="1" customHeight="1" x14ac:dyDescent="0.2">
      <c r="A542" s="18"/>
      <c r="B542" s="3" t="str">
        <f>IF('[1]E-AV'!B29="","-",'[1]E-AV'!B29)</f>
        <v>Motormäher</v>
      </c>
      <c r="C542" s="93" t="str">
        <f t="shared" si="135"/>
        <v>Bish. Nutzungsd.</v>
      </c>
      <c r="D542" s="26">
        <f>IF('[1]E-AV'!$G29="","",'[1]E-AV'!$G29)</f>
        <v>11</v>
      </c>
      <c r="E542" s="27"/>
      <c r="F542" s="27"/>
      <c r="H542" s="96">
        <f>IF(AV!$G29="","",AV!$G29)</f>
        <v>11</v>
      </c>
      <c r="I542" s="29" t="str">
        <f t="shared" si="136"/>
        <v>Richtig!</v>
      </c>
      <c r="J542" s="30" t="str">
        <f t="shared" si="137"/>
        <v>-</v>
      </c>
      <c r="K542" s="23" t="str">
        <f t="shared" si="126"/>
        <v/>
      </c>
      <c r="L542" s="24" t="str">
        <f t="shared" si="125"/>
        <v/>
      </c>
      <c r="N542" s="882"/>
      <c r="P542" s="26">
        <f t="shared" si="131"/>
        <v>11</v>
      </c>
      <c r="Q542" s="27" t="str">
        <f t="shared" si="127"/>
        <v/>
      </c>
      <c r="R542" s="27" t="str">
        <f t="shared" si="128"/>
        <v/>
      </c>
      <c r="S542" s="1" t="str">
        <f t="shared" si="129"/>
        <v/>
      </c>
      <c r="T542" s="96">
        <f t="shared" si="130"/>
        <v>11</v>
      </c>
    </row>
    <row r="543" spans="1:20" ht="12.75" hidden="1" customHeight="1" x14ac:dyDescent="0.2">
      <c r="A543" s="18"/>
      <c r="B543" s="3" t="str">
        <f>IF('[1]E-AV'!B30="","-",'[1]E-AV'!B30)</f>
        <v>Gebläse</v>
      </c>
      <c r="C543" s="93" t="str">
        <f t="shared" si="135"/>
        <v>Bish. Nutzungsd.</v>
      </c>
      <c r="D543" s="26">
        <f>IF('[1]E-AV'!$G30="","",'[1]E-AV'!$G30)</f>
        <v>28</v>
      </c>
      <c r="E543" s="27"/>
      <c r="F543" s="27"/>
      <c r="H543" s="96">
        <f>IF(AV!$G30="","",AV!$G30)</f>
        <v>28</v>
      </c>
      <c r="I543" s="29" t="str">
        <f t="shared" si="136"/>
        <v>Richtig!</v>
      </c>
      <c r="J543" s="30" t="str">
        <f t="shared" si="137"/>
        <v>-</v>
      </c>
      <c r="K543" s="23" t="str">
        <f t="shared" si="126"/>
        <v/>
      </c>
      <c r="L543" s="24" t="str">
        <f t="shared" si="125"/>
        <v/>
      </c>
      <c r="N543" s="882"/>
      <c r="P543" s="26">
        <f t="shared" si="131"/>
        <v>28</v>
      </c>
      <c r="Q543" s="27" t="str">
        <f t="shared" si="127"/>
        <v/>
      </c>
      <c r="R543" s="27" t="str">
        <f t="shared" si="128"/>
        <v/>
      </c>
      <c r="S543" s="1" t="str">
        <f t="shared" si="129"/>
        <v/>
      </c>
      <c r="T543" s="96">
        <f t="shared" si="130"/>
        <v>28</v>
      </c>
    </row>
    <row r="544" spans="1:20" ht="12.75" hidden="1" customHeight="1" x14ac:dyDescent="0.2">
      <c r="A544" s="18"/>
      <c r="B544" s="3" t="str">
        <f>IF('[1]E-AV'!B31="","-",'[1]E-AV'!B31)</f>
        <v>Vakuumfass</v>
      </c>
      <c r="C544" s="93" t="str">
        <f t="shared" si="135"/>
        <v>Bish. Nutzungsd.</v>
      </c>
      <c r="D544" s="26">
        <f>IF('[1]E-AV'!$G31="","",'[1]E-AV'!$G31)</f>
        <v>13</v>
      </c>
      <c r="E544" s="27"/>
      <c r="F544" s="27"/>
      <c r="H544" s="96">
        <f>IF(AV!$G31="","",AV!$G31)</f>
        <v>13</v>
      </c>
      <c r="I544" s="29" t="str">
        <f t="shared" si="136"/>
        <v>Richtig!</v>
      </c>
      <c r="J544" s="30" t="str">
        <f t="shared" si="137"/>
        <v>-</v>
      </c>
      <c r="K544" s="23" t="str">
        <f t="shared" si="126"/>
        <v/>
      </c>
      <c r="L544" s="24" t="str">
        <f t="shared" si="125"/>
        <v/>
      </c>
      <c r="N544" s="882"/>
      <c r="P544" s="26">
        <f t="shared" si="131"/>
        <v>13</v>
      </c>
      <c r="Q544" s="27" t="str">
        <f t="shared" si="127"/>
        <v/>
      </c>
      <c r="R544" s="27" t="str">
        <f t="shared" si="128"/>
        <v/>
      </c>
      <c r="S544" s="1" t="str">
        <f t="shared" si="129"/>
        <v/>
      </c>
      <c r="T544" s="96">
        <f t="shared" si="130"/>
        <v>13</v>
      </c>
    </row>
    <row r="545" spans="1:20" ht="12.75" hidden="1" customHeight="1" x14ac:dyDescent="0.2">
      <c r="A545" s="18"/>
      <c r="B545" s="3" t="str">
        <f>IF('[1]E-AV'!B32="","-",'[1]E-AV'!B32)</f>
        <v>Miststreuer</v>
      </c>
      <c r="C545" s="93" t="str">
        <f t="shared" si="135"/>
        <v>Bish. Nutzungsd.</v>
      </c>
      <c r="D545" s="26">
        <f>IF('[1]E-AV'!$G32="","",'[1]E-AV'!$G32)</f>
        <v>13</v>
      </c>
      <c r="E545" s="27"/>
      <c r="F545" s="27"/>
      <c r="H545" s="96">
        <f>IF(AV!$G32="","",AV!$G32)</f>
        <v>13</v>
      </c>
      <c r="I545" s="29" t="str">
        <f t="shared" si="136"/>
        <v>Richtig!</v>
      </c>
      <c r="J545" s="30" t="str">
        <f t="shared" si="137"/>
        <v>-</v>
      </c>
      <c r="K545" s="23" t="str">
        <f t="shared" si="126"/>
        <v/>
      </c>
      <c r="L545" s="24" t="str">
        <f t="shared" si="125"/>
        <v/>
      </c>
      <c r="N545" s="882"/>
      <c r="P545" s="26">
        <f t="shared" si="131"/>
        <v>13</v>
      </c>
      <c r="Q545" s="27" t="str">
        <f t="shared" si="127"/>
        <v/>
      </c>
      <c r="R545" s="27" t="str">
        <f t="shared" si="128"/>
        <v/>
      </c>
      <c r="S545" s="1" t="str">
        <f t="shared" si="129"/>
        <v/>
      </c>
      <c r="T545" s="96">
        <f t="shared" si="130"/>
        <v>13</v>
      </c>
    </row>
    <row r="546" spans="1:20" ht="12.75" hidden="1" customHeight="1" x14ac:dyDescent="0.2">
      <c r="A546" s="18"/>
      <c r="B546" s="3" t="str">
        <f>IF('[1]E-AV'!B33="","-",'[1]E-AV'!B33)</f>
        <v>Butterfass</v>
      </c>
      <c r="C546" s="93" t="str">
        <f t="shared" si="135"/>
        <v>Bish. Nutzungsd.</v>
      </c>
      <c r="D546" s="26">
        <f>IF('[1]E-AV'!$G33="","",'[1]E-AV'!$G33)</f>
        <v>14</v>
      </c>
      <c r="E546" s="27"/>
      <c r="F546" s="27"/>
      <c r="H546" s="96">
        <f>IF(AV!$G33="","",AV!$G33)</f>
        <v>14</v>
      </c>
      <c r="I546" s="29" t="str">
        <f t="shared" si="136"/>
        <v>Richtig!</v>
      </c>
      <c r="J546" s="30" t="str">
        <f t="shared" si="137"/>
        <v>-</v>
      </c>
      <c r="K546" s="23" t="str">
        <f t="shared" si="126"/>
        <v/>
      </c>
      <c r="L546" s="24" t="str">
        <f t="shared" si="125"/>
        <v/>
      </c>
      <c r="N546" s="882"/>
      <c r="P546" s="26">
        <f t="shared" si="131"/>
        <v>14</v>
      </c>
      <c r="Q546" s="27" t="str">
        <f t="shared" si="127"/>
        <v/>
      </c>
      <c r="R546" s="27" t="str">
        <f t="shared" si="128"/>
        <v/>
      </c>
      <c r="S546" s="1" t="str">
        <f t="shared" si="129"/>
        <v/>
      </c>
      <c r="T546" s="96">
        <f t="shared" si="130"/>
        <v>14</v>
      </c>
    </row>
    <row r="547" spans="1:20" ht="12.75" hidden="1" customHeight="1" x14ac:dyDescent="0.2">
      <c r="A547" s="18"/>
      <c r="B547" s="3" t="str">
        <f>IF('[1]E-AV'!B34="","-",'[1]E-AV'!B34)</f>
        <v>Zentrifuge</v>
      </c>
      <c r="C547" s="93" t="str">
        <f t="shared" si="135"/>
        <v>Bish. Nutzungsd.</v>
      </c>
      <c r="D547" s="26">
        <f>IF('[1]E-AV'!$G34="","",'[1]E-AV'!$G34)</f>
        <v>26</v>
      </c>
      <c r="E547" s="27"/>
      <c r="F547" s="27"/>
      <c r="H547" s="96">
        <f>IF(AV!$G34="","",AV!$G34)</f>
        <v>26</v>
      </c>
      <c r="I547" s="29" t="str">
        <f t="shared" si="136"/>
        <v>Richtig!</v>
      </c>
      <c r="J547" s="30" t="str">
        <f t="shared" si="137"/>
        <v>-</v>
      </c>
      <c r="K547" s="23" t="str">
        <f t="shared" si="126"/>
        <v/>
      </c>
      <c r="L547" s="24" t="str">
        <f t="shared" si="125"/>
        <v/>
      </c>
      <c r="N547" s="882"/>
      <c r="P547" s="26">
        <f t="shared" si="131"/>
        <v>26</v>
      </c>
      <c r="Q547" s="27" t="str">
        <f t="shared" si="127"/>
        <v/>
      </c>
      <c r="R547" s="27" t="str">
        <f t="shared" si="128"/>
        <v/>
      </c>
      <c r="S547" s="1" t="str">
        <f t="shared" si="129"/>
        <v/>
      </c>
      <c r="T547" s="96">
        <f t="shared" si="130"/>
        <v>26</v>
      </c>
    </row>
    <row r="548" spans="1:20" ht="12.75" hidden="1" customHeight="1" x14ac:dyDescent="0.2">
      <c r="A548" s="18"/>
      <c r="B548" s="3" t="str">
        <f>IF('[1]E-AV'!B35="","-",'[1]E-AV'!B35)</f>
        <v>Pasteur</v>
      </c>
      <c r="C548" s="93" t="str">
        <f t="shared" si="135"/>
        <v>Bish. Nutzungsd.</v>
      </c>
      <c r="D548" s="26">
        <f>IF('[1]E-AV'!$G35="","",'[1]E-AV'!$G35)</f>
        <v>23</v>
      </c>
      <c r="E548" s="27"/>
      <c r="F548" s="27"/>
      <c r="H548" s="96">
        <f>IF(AV!$G35="","",AV!$G35)</f>
        <v>23</v>
      </c>
      <c r="I548" s="29" t="str">
        <f t="shared" si="136"/>
        <v>Richtig!</v>
      </c>
      <c r="J548" s="30" t="str">
        <f t="shared" si="137"/>
        <v>-</v>
      </c>
      <c r="K548" s="23" t="str">
        <f t="shared" si="126"/>
        <v/>
      </c>
      <c r="L548" s="24" t="str">
        <f t="shared" si="125"/>
        <v/>
      </c>
      <c r="N548" s="882"/>
      <c r="P548" s="26">
        <f t="shared" si="131"/>
        <v>23</v>
      </c>
      <c r="Q548" s="27" t="str">
        <f t="shared" si="127"/>
        <v/>
      </c>
      <c r="R548" s="27" t="str">
        <f t="shared" si="128"/>
        <v/>
      </c>
      <c r="S548" s="1" t="str">
        <f t="shared" si="129"/>
        <v/>
      </c>
      <c r="T548" s="96">
        <f t="shared" si="130"/>
        <v>23</v>
      </c>
    </row>
    <row r="549" spans="1:20" ht="12.75" hidden="1" customHeight="1" x14ac:dyDescent="0.2">
      <c r="A549" s="18"/>
      <c r="B549" s="3" t="str">
        <f>IF('[1]E-AV'!B36="","-",'[1]E-AV'!B36)</f>
        <v>Motorsäge</v>
      </c>
      <c r="C549" s="93" t="str">
        <f t="shared" si="135"/>
        <v>Bish. Nutzungsd.</v>
      </c>
      <c r="D549" s="26">
        <f>IF('[1]E-AV'!$G36="","",'[1]E-AV'!$G36)</f>
        <v>16</v>
      </c>
      <c r="E549" s="27"/>
      <c r="F549" s="27"/>
      <c r="H549" s="96">
        <f>IF(AV!$G36="","",AV!$G36)</f>
        <v>16</v>
      </c>
      <c r="I549" s="29" t="str">
        <f t="shared" si="136"/>
        <v>Richtig!</v>
      </c>
      <c r="J549" s="30" t="str">
        <f t="shared" si="137"/>
        <v>-</v>
      </c>
      <c r="K549" s="23" t="str">
        <f t="shared" si="126"/>
        <v/>
      </c>
      <c r="L549" s="24" t="str">
        <f t="shared" si="125"/>
        <v/>
      </c>
      <c r="N549" s="882"/>
      <c r="P549" s="26">
        <f t="shared" si="131"/>
        <v>16</v>
      </c>
      <c r="Q549" s="27" t="str">
        <f t="shared" si="127"/>
        <v/>
      </c>
      <c r="R549" s="27" t="str">
        <f t="shared" si="128"/>
        <v/>
      </c>
      <c r="S549" s="1" t="str">
        <f t="shared" si="129"/>
        <v/>
      </c>
      <c r="T549" s="96">
        <f t="shared" si="130"/>
        <v>16</v>
      </c>
    </row>
    <row r="550" spans="1:20" ht="12.75" hidden="1" customHeight="1" x14ac:dyDescent="0.2">
      <c r="A550" s="18"/>
      <c r="B550" s="3" t="str">
        <f>IF('[1]E-AV'!B37="","-",'[1]E-AV'!B37)</f>
        <v>Pflug</v>
      </c>
      <c r="C550" s="93" t="str">
        <f t="shared" si="135"/>
        <v>Bish. Nutzungsd.</v>
      </c>
      <c r="D550" s="26">
        <f>IF('[1]E-AV'!$G37="","",'[1]E-AV'!$G37)</f>
        <v>26</v>
      </c>
      <c r="E550" s="27"/>
      <c r="F550" s="27"/>
      <c r="H550" s="96">
        <f>IF(AV!$G37="","",AV!$G37)</f>
        <v>26</v>
      </c>
      <c r="I550" s="29" t="str">
        <f t="shared" si="136"/>
        <v>Richtig!</v>
      </c>
      <c r="J550" s="30" t="str">
        <f t="shared" si="137"/>
        <v>-</v>
      </c>
      <c r="K550" s="23" t="str">
        <f t="shared" si="126"/>
        <v/>
      </c>
      <c r="L550" s="24" t="str">
        <f t="shared" si="125"/>
        <v/>
      </c>
      <c r="N550" s="882"/>
      <c r="P550" s="26">
        <f t="shared" si="131"/>
        <v>26</v>
      </c>
      <c r="Q550" s="27" t="str">
        <f t="shared" si="127"/>
        <v/>
      </c>
      <c r="R550" s="27" t="str">
        <f t="shared" si="128"/>
        <v/>
      </c>
      <c r="S550" s="1" t="str">
        <f t="shared" si="129"/>
        <v/>
      </c>
      <c r="T550" s="96">
        <f t="shared" si="130"/>
        <v>26</v>
      </c>
    </row>
    <row r="551" spans="1:20" ht="12.75" hidden="1" customHeight="1" x14ac:dyDescent="0.2">
      <c r="A551" s="18"/>
      <c r="B551" s="3" t="str">
        <f>IF('[1]E-AV'!B38="","-",'[1]E-AV'!B38)</f>
        <v>Ackerschleppe</v>
      </c>
      <c r="C551" s="93" t="str">
        <f t="shared" si="135"/>
        <v>Bish. Nutzungsd.</v>
      </c>
      <c r="D551" s="26">
        <f>IF('[1]E-AV'!$G38="","",'[1]E-AV'!$G38)</f>
        <v>16</v>
      </c>
      <c r="E551" s="27"/>
      <c r="F551" s="27"/>
      <c r="H551" s="96">
        <f>IF(AV!$G38="","",AV!$G38)</f>
        <v>16</v>
      </c>
      <c r="I551" s="29" t="str">
        <f t="shared" si="136"/>
        <v>Richtig!</v>
      </c>
      <c r="J551" s="30" t="str">
        <f t="shared" si="137"/>
        <v>-</v>
      </c>
      <c r="K551" s="23" t="str">
        <f t="shared" si="126"/>
        <v/>
      </c>
      <c r="L551" s="24" t="str">
        <f t="shared" si="125"/>
        <v/>
      </c>
      <c r="N551" s="882"/>
      <c r="P551" s="26">
        <f t="shared" si="131"/>
        <v>16</v>
      </c>
      <c r="Q551" s="27" t="str">
        <f t="shared" si="127"/>
        <v/>
      </c>
      <c r="R551" s="27" t="str">
        <f t="shared" si="128"/>
        <v/>
      </c>
      <c r="S551" s="1" t="str">
        <f t="shared" si="129"/>
        <v/>
      </c>
      <c r="T551" s="96">
        <f t="shared" si="130"/>
        <v>16</v>
      </c>
    </row>
    <row r="552" spans="1:20" ht="12.75" hidden="1" customHeight="1" x14ac:dyDescent="0.2">
      <c r="A552" s="18"/>
      <c r="B552" s="3" t="str">
        <f>IF('[1]E-AV'!B39="","-",'[1]E-AV'!B39)</f>
        <v>Frontlader</v>
      </c>
      <c r="C552" s="93" t="str">
        <f t="shared" si="135"/>
        <v>Bish. Nutzungsd.</v>
      </c>
      <c r="D552" s="26">
        <f>IF('[1]E-AV'!$G39="","",'[1]E-AV'!$G39)</f>
        <v>30</v>
      </c>
      <c r="E552" s="27"/>
      <c r="F552" s="27"/>
      <c r="H552" s="96">
        <f>IF(AV!$G39="","",AV!$G39)</f>
        <v>30</v>
      </c>
      <c r="I552" s="29" t="str">
        <f t="shared" si="136"/>
        <v>Richtig!</v>
      </c>
      <c r="J552" s="30" t="str">
        <f t="shared" si="137"/>
        <v>-</v>
      </c>
      <c r="K552" s="23" t="str">
        <f t="shared" si="126"/>
        <v/>
      </c>
      <c r="L552" s="24" t="str">
        <f t="shared" ref="L552:L583" si="138">IF(OR(B552="-",N552="",AND(P552="",T552="")),"",1)</f>
        <v/>
      </c>
      <c r="N552" s="882"/>
      <c r="P552" s="26">
        <f t="shared" si="131"/>
        <v>30</v>
      </c>
      <c r="Q552" s="27" t="str">
        <f t="shared" si="127"/>
        <v/>
      </c>
      <c r="R552" s="27" t="str">
        <f t="shared" si="128"/>
        <v/>
      </c>
      <c r="S552" s="1" t="str">
        <f t="shared" si="129"/>
        <v/>
      </c>
      <c r="T552" s="96">
        <f t="shared" si="130"/>
        <v>30</v>
      </c>
    </row>
    <row r="553" spans="1:20" ht="12.75" hidden="1" customHeight="1" x14ac:dyDescent="0.2">
      <c r="A553" s="18"/>
      <c r="B553" s="3" t="str">
        <f>IF('[1]E-AV'!B40="","-",'[1]E-AV'!B40)</f>
        <v>-</v>
      </c>
      <c r="C553" s="93" t="str">
        <f t="shared" si="135"/>
        <v>Bish. Nutzungsd.</v>
      </c>
      <c r="D553" s="26" t="str">
        <f>IF('[1]E-AV'!$G40="","",'[1]E-AV'!$G40)</f>
        <v/>
      </c>
      <c r="E553" s="27"/>
      <c r="F553" s="27"/>
      <c r="H553" s="96" t="str">
        <f>IF(AV!$G40="","",AV!$G40)</f>
        <v/>
      </c>
      <c r="I553" s="29" t="str">
        <f t="shared" si="136"/>
        <v/>
      </c>
      <c r="J553" s="30" t="str">
        <f t="shared" si="137"/>
        <v>-</v>
      </c>
      <c r="K553" s="23" t="str">
        <f t="shared" si="126"/>
        <v/>
      </c>
      <c r="L553" s="24" t="str">
        <f t="shared" si="138"/>
        <v/>
      </c>
      <c r="N553" s="882"/>
      <c r="P553" s="26" t="str">
        <f t="shared" si="131"/>
        <v/>
      </c>
      <c r="Q553" s="27" t="str">
        <f t="shared" si="127"/>
        <v/>
      </c>
      <c r="R553" s="27" t="str">
        <f t="shared" si="128"/>
        <v/>
      </c>
      <c r="S553" s="1" t="str">
        <f t="shared" si="129"/>
        <v/>
      </c>
      <c r="T553" s="96" t="str">
        <f t="shared" si="130"/>
        <v/>
      </c>
    </row>
    <row r="554" spans="1:20" ht="12.75" x14ac:dyDescent="0.2">
      <c r="A554" s="18"/>
      <c r="B554" s="18"/>
      <c r="C554" s="18"/>
      <c r="D554" s="19"/>
      <c r="H554" s="17"/>
      <c r="I554" s="21"/>
      <c r="J554" s="21"/>
      <c r="K554" s="23"/>
      <c r="L554" s="24" t="str">
        <f t="shared" si="138"/>
        <v/>
      </c>
      <c r="N554" s="883" t="str">
        <f>IF($L$1="","",$L$1)</f>
        <v>x</v>
      </c>
      <c r="P554" s="19" t="str">
        <f t="shared" si="131"/>
        <v/>
      </c>
      <c r="Q554" s="1" t="str">
        <f t="shared" si="127"/>
        <v/>
      </c>
      <c r="R554" s="1" t="str">
        <f t="shared" si="128"/>
        <v/>
      </c>
      <c r="S554" s="1" t="str">
        <f t="shared" si="129"/>
        <v/>
      </c>
      <c r="T554" s="17" t="str">
        <f t="shared" si="130"/>
        <v/>
      </c>
    </row>
    <row r="555" spans="1:20" ht="12.75" x14ac:dyDescent="0.2">
      <c r="A555" s="17" t="s">
        <v>12</v>
      </c>
      <c r="B555" s="17" t="s">
        <v>82</v>
      </c>
      <c r="C555" s="18"/>
      <c r="D555" s="19" t="str">
        <f>IF('[1]E-AV'!$G42="","",'[1]E-AV'!$G42)</f>
        <v/>
      </c>
      <c r="H555" s="17" t="str">
        <f>IF(AV!$G42="","",AV!$G42)</f>
        <v/>
      </c>
      <c r="I555" s="21" t="str">
        <f>IF(OR(B555="-",AND(P555="",T555="")),"",IF(T555=P555,"Richtig!",IF(T555="","Fehlt","Falsch")))</f>
        <v/>
      </c>
      <c r="J555" s="21"/>
      <c r="K555" s="23" t="str">
        <f t="shared" si="126"/>
        <v/>
      </c>
      <c r="L555" s="24" t="str">
        <f t="shared" si="138"/>
        <v/>
      </c>
      <c r="N555" s="880" t="str">
        <f>IF($L$1="","",$L$1)</f>
        <v>x</v>
      </c>
      <c r="P555" s="19" t="str">
        <f t="shared" si="131"/>
        <v/>
      </c>
      <c r="Q555" s="1" t="str">
        <f t="shared" si="127"/>
        <v/>
      </c>
      <c r="R555" s="1" t="str">
        <f t="shared" si="128"/>
        <v/>
      </c>
      <c r="S555" s="1" t="str">
        <f t="shared" si="129"/>
        <v/>
      </c>
      <c r="T555" s="17" t="str">
        <f t="shared" si="130"/>
        <v/>
      </c>
    </row>
    <row r="556" spans="1:20" ht="12.75" customHeight="1" x14ac:dyDescent="0.2">
      <c r="B556" s="95" t="str">
        <f>IF('[1]E-AV'!B6="","-",'[1]E-AV'!B6)</f>
        <v>Grundverbesserungen</v>
      </c>
      <c r="C556" s="42"/>
      <c r="D556" s="19"/>
      <c r="H556" s="17"/>
      <c r="I556" s="29"/>
      <c r="J556" s="29"/>
      <c r="K556" s="23" t="str">
        <f t="shared" si="126"/>
        <v/>
      </c>
      <c r="L556" s="24" t="str">
        <f t="shared" si="138"/>
        <v/>
      </c>
      <c r="N556" s="880" t="str">
        <f>IF($L$1="","",$L$1)</f>
        <v>x</v>
      </c>
      <c r="P556" s="19" t="str">
        <f t="shared" si="131"/>
        <v/>
      </c>
      <c r="Q556" s="1" t="str">
        <f t="shared" si="127"/>
        <v/>
      </c>
      <c r="R556" s="1" t="str">
        <f t="shared" si="128"/>
        <v/>
      </c>
      <c r="S556" s="1" t="str">
        <f t="shared" si="129"/>
        <v/>
      </c>
      <c r="T556" s="17" t="str">
        <f t="shared" si="130"/>
        <v/>
      </c>
    </row>
    <row r="557" spans="1:20" ht="12.75" hidden="1" customHeight="1" x14ac:dyDescent="0.2">
      <c r="A557" s="18"/>
      <c r="B557" s="36" t="str">
        <f>IF('[1]E-AV'!B7="","-",'[1]E-AV'!B7)</f>
        <v>Fixe Bewässerungsanlage</v>
      </c>
      <c r="C557" s="93" t="str">
        <f>MID($B$555,1,5)&amp;". "&amp;MID($B$555,9,7)&amp;"."</f>
        <v>Zeitw.  1. Jän.</v>
      </c>
      <c r="D557" s="31">
        <f>IF('[1]E-AV'!$H7="","",'[1]E-AV'!$H7)</f>
        <v>1</v>
      </c>
      <c r="E557" s="27"/>
      <c r="F557" s="32">
        <f>IF(OR(AV!I7="",AV!I7="noch leer",AV!G7="",AV!G7="noch leer"),"-",IF(AV!I7=0,1,AV!E7-AV!I7*AV!G7))</f>
        <v>1</v>
      </c>
      <c r="H557" s="97">
        <f>IF(AV!$H7="","",AV!$H7)</f>
        <v>1</v>
      </c>
      <c r="I557" s="29" t="str">
        <f>IF(B557="","",IF(T557=P557,"Richtig!",IF(AND(P557&lt;&gt;T557,R557=T557),"Formel: OK",IF(T557="","Fehlt","Falsch"))))</f>
        <v>Richtig!</v>
      </c>
      <c r="J557" s="30" t="str">
        <f>IF(OR(B557="-",N557="",AND(P557="",T557="")),"-",IF(I557="Richtig!",1,IF(I557="Formel: OK",0.5,IF(OR(I557="Falsch",I557="Fehlt"),0,""))))</f>
        <v>-</v>
      </c>
      <c r="K557" s="23" t="str">
        <f t="shared" si="126"/>
        <v/>
      </c>
      <c r="L557" s="24" t="str">
        <f t="shared" si="138"/>
        <v/>
      </c>
      <c r="N557" s="882"/>
      <c r="P557" s="31">
        <f t="shared" si="131"/>
        <v>1</v>
      </c>
      <c r="Q557" s="27" t="str">
        <f t="shared" si="127"/>
        <v/>
      </c>
      <c r="R557" s="32">
        <f t="shared" si="128"/>
        <v>1</v>
      </c>
      <c r="S557" s="1" t="str">
        <f t="shared" si="129"/>
        <v/>
      </c>
      <c r="T557" s="97">
        <f t="shared" si="130"/>
        <v>1</v>
      </c>
    </row>
    <row r="558" spans="1:20" ht="12.75" hidden="1" customHeight="1" x14ac:dyDescent="0.2">
      <c r="A558" s="18"/>
      <c r="B558" s="36" t="str">
        <f>IF('[1]E-AV'!B8="","-",'[1]E-AV'!B8)</f>
        <v>-</v>
      </c>
      <c r="C558" s="93" t="str">
        <f>MID($B$555,1,5)&amp;". "&amp;MID($B$555,9,7)&amp;"."</f>
        <v>Zeitw.  1. Jän.</v>
      </c>
      <c r="D558" s="31" t="str">
        <f>IF('[1]E-AV'!$H8="","",'[1]E-AV'!$H8)</f>
        <v/>
      </c>
      <c r="E558" s="27"/>
      <c r="F558" s="32" t="str">
        <f>IF(OR(AV!I8="",AV!I8="noch leer",AV!G8="",AV!G8="noch leer"),"-",IF(AV!I8=0,1,AV!E8-AV!I8*AV!G8))</f>
        <v>-</v>
      </c>
      <c r="H558" s="97" t="str">
        <f>IF(AV!$H8="","",AV!$H8)</f>
        <v/>
      </c>
      <c r="I558" s="29" t="str">
        <f>IF(B558="","",IF(T558=P558,"Richtig!",IF(AND(P558&lt;&gt;T558,R558=T558),"Formel: OK",IF(T558="","Fehlt","Falsch"))))</f>
        <v>Richtig!</v>
      </c>
      <c r="J558" s="30" t="str">
        <f>IF(OR(B558="-",N558="",AND(P558="",T558="")),"-",IF(I558="Richtig!",1,IF(I558="Formel: OK",0.5,IF(OR(I558="Falsch",I558="Fehlt"),0,""))))</f>
        <v>-</v>
      </c>
      <c r="K558" s="23" t="str">
        <f t="shared" si="126"/>
        <v/>
      </c>
      <c r="L558" s="24" t="str">
        <f t="shared" si="138"/>
        <v/>
      </c>
      <c r="N558" s="882"/>
      <c r="P558" s="31" t="str">
        <f t="shared" si="131"/>
        <v/>
      </c>
      <c r="Q558" s="27" t="str">
        <f t="shared" si="127"/>
        <v/>
      </c>
      <c r="R558" s="32" t="str">
        <f t="shared" si="128"/>
        <v>-</v>
      </c>
      <c r="S558" s="1" t="str">
        <f t="shared" si="129"/>
        <v/>
      </c>
      <c r="T558" s="97" t="str">
        <f t="shared" si="130"/>
        <v/>
      </c>
    </row>
    <row r="559" spans="1:20" ht="12.75" x14ac:dyDescent="0.2">
      <c r="A559" s="18"/>
      <c r="B559" s="92" t="str">
        <f>IF('[1]E-AV'!B9="","-",'[1]E-AV'!B9)</f>
        <v>Summe Grundverbesserungen</v>
      </c>
      <c r="C559" s="93" t="str">
        <f>MID($B$555,1,5)&amp;". "&amp;MID($B$555,9,7)&amp;"."</f>
        <v>Zeitw.  1. Jän.</v>
      </c>
      <c r="D559" s="31">
        <f>IF('[1]E-AV'!$H9="","",'[1]E-AV'!$H9)</f>
        <v>1</v>
      </c>
      <c r="E559" s="27"/>
      <c r="F559" s="32">
        <f>IF(AND(H557="",H558=""),"-",SUM(H557:H558))</f>
        <v>1</v>
      </c>
      <c r="H559" s="97" t="str">
        <f>IF(AV!$H9="","",AV!$H9)</f>
        <v/>
      </c>
      <c r="I559" s="29" t="str">
        <f>IF(B559="","",IF(T559=P559,"Richtig!",IF(AND(P559&lt;&gt;T559,R559=T559),"Formel: OK",IF(T559="","Fehlt","Falsch"))))</f>
        <v>Fehlt</v>
      </c>
      <c r="J559" s="30">
        <f>IF(OR(B559="-",N559="",AND(P559="",T559="")),"-",IF(I559="Richtig!",1,IF(I559="Formel: OK",0.5,IF(OR(I559="Falsch",I559="Fehlt"),0,""))))</f>
        <v>0</v>
      </c>
      <c r="K559" s="23" t="str">
        <f t="shared" si="126"/>
        <v>│</v>
      </c>
      <c r="L559" s="24">
        <f t="shared" si="138"/>
        <v>1</v>
      </c>
      <c r="N559" s="882" t="str">
        <f>IF($L$1="","",$L$1)</f>
        <v>x</v>
      </c>
      <c r="P559" s="31">
        <f t="shared" si="131"/>
        <v>1</v>
      </c>
      <c r="Q559" s="27" t="str">
        <f t="shared" si="127"/>
        <v/>
      </c>
      <c r="R559" s="32">
        <f t="shared" si="128"/>
        <v>1</v>
      </c>
      <c r="S559" s="1" t="str">
        <f t="shared" si="129"/>
        <v/>
      </c>
      <c r="T559" s="97" t="str">
        <f t="shared" si="130"/>
        <v/>
      </c>
    </row>
    <row r="560" spans="1:20" ht="12.75" customHeight="1" x14ac:dyDescent="0.2">
      <c r="B560" s="95" t="str">
        <f>IF('[1]E-AV'!B10="","-",'[1]E-AV'!B10)</f>
        <v>Gebäude und bauliche Anlagen</v>
      </c>
      <c r="C560" s="93"/>
      <c r="D560" s="19"/>
      <c r="H560" s="17"/>
      <c r="I560" s="29"/>
      <c r="J560" s="29"/>
      <c r="K560" s="23" t="str">
        <f t="shared" si="126"/>
        <v/>
      </c>
      <c r="L560" s="24" t="str">
        <f t="shared" si="138"/>
        <v/>
      </c>
      <c r="N560" s="880" t="str">
        <f>IF($L$1="","",$L$1)</f>
        <v>x</v>
      </c>
      <c r="P560" s="19" t="str">
        <f t="shared" si="131"/>
        <v/>
      </c>
      <c r="Q560" s="1" t="str">
        <f t="shared" si="127"/>
        <v/>
      </c>
      <c r="R560" s="1" t="str">
        <f t="shared" si="128"/>
        <v/>
      </c>
      <c r="S560" s="1" t="str">
        <f t="shared" si="129"/>
        <v/>
      </c>
      <c r="T560" s="17" t="str">
        <f t="shared" si="130"/>
        <v/>
      </c>
    </row>
    <row r="561" spans="1:20" ht="12.75" x14ac:dyDescent="0.2">
      <c r="A561" s="18"/>
      <c r="B561" s="36" t="str">
        <f>IF('[1]E-AV'!B11="","-",'[1]E-AV'!B11)</f>
        <v>Schuppen</v>
      </c>
      <c r="C561" s="93" t="str">
        <f t="shared" ref="C561:C569" si="139">MID($B$555,1,5)&amp;". "&amp;MID($B$555,9,7)&amp;"."</f>
        <v>Zeitw.  1. Jän.</v>
      </c>
      <c r="D561" s="31">
        <f>IF('[1]E-AV'!$H11="","",'[1]E-AV'!$H11)</f>
        <v>8619.6580645161303</v>
      </c>
      <c r="E561" s="27"/>
      <c r="F561" s="32" t="str">
        <f>IF(OR(AV!I11="",AV!I11="noch leer",AV!G11="",AV!G11="noch leer"),"-",IF(AV!I11=0,1,AV!E11-AV!I11*AV!G11))</f>
        <v>-</v>
      </c>
      <c r="H561" s="97" t="str">
        <f>IF(AV!$H11="","",AV!$H11)</f>
        <v>noch leer</v>
      </c>
      <c r="I561" s="29" t="str">
        <f t="shared" ref="I561:I569" si="140">IF(B561="","",IF(T561=P561,"Richtig!",IF(AND(P561&lt;&gt;T561,R561=T561),"Formel: OK",IF(T561="","Fehlt","Falsch"))))</f>
        <v>Falsch</v>
      </c>
      <c r="J561" s="30">
        <f t="shared" ref="J561:J569" si="141">IF(OR(B561="-",N561="",AND(P561="",T561="")),"-",IF(I561="Richtig!",1,IF(I561="Formel: OK",0.5,IF(OR(I561="Falsch",I561="Fehlt"),0,""))))</f>
        <v>0</v>
      </c>
      <c r="K561" s="23" t="str">
        <f t="shared" si="126"/>
        <v>│</v>
      </c>
      <c r="L561" s="24">
        <f t="shared" si="138"/>
        <v>1</v>
      </c>
      <c r="N561" s="882" t="str">
        <f>IF($L$1="","",$L$1)</f>
        <v>x</v>
      </c>
      <c r="P561" s="31">
        <f t="shared" si="131"/>
        <v>8619.6580599999998</v>
      </c>
      <c r="Q561" s="27" t="str">
        <f t="shared" si="127"/>
        <v/>
      </c>
      <c r="R561" s="32" t="str">
        <f t="shared" si="128"/>
        <v>-</v>
      </c>
      <c r="S561" s="1" t="str">
        <f t="shared" si="129"/>
        <v/>
      </c>
      <c r="T561" s="97" t="str">
        <f t="shared" si="130"/>
        <v>noch leer</v>
      </c>
    </row>
    <row r="562" spans="1:20" ht="12.75" x14ac:dyDescent="0.2">
      <c r="A562" s="18"/>
      <c r="B562" s="36" t="str">
        <f>IF('[1]E-AV'!B12="","-",'[1]E-AV'!B12)</f>
        <v>Masthühnerstall (Flachstall)</v>
      </c>
      <c r="C562" s="93" t="str">
        <f t="shared" si="139"/>
        <v>Zeitw.  1. Jän.</v>
      </c>
      <c r="D562" s="31">
        <f>IF('[1]E-AV'!$H12="","",'[1]E-AV'!$H12)</f>
        <v>15422.400000000001</v>
      </c>
      <c r="E562" s="27"/>
      <c r="F562" s="32" t="str">
        <f>IF(OR(AV!I12="",AV!I12="noch leer",AV!G12="",AV!G12="noch leer"),"-",IF(AV!I12=0,1,AV!E12-AV!I12*AV!G12))</f>
        <v>-</v>
      </c>
      <c r="H562" s="97" t="str">
        <f>IF(AV!$H12="","",AV!$H12)</f>
        <v>noch leer</v>
      </c>
      <c r="I562" s="29" t="str">
        <f t="shared" si="140"/>
        <v>Falsch</v>
      </c>
      <c r="J562" s="30">
        <f t="shared" si="141"/>
        <v>0</v>
      </c>
      <c r="K562" s="23" t="str">
        <f t="shared" si="126"/>
        <v>│</v>
      </c>
      <c r="L562" s="24">
        <f t="shared" si="138"/>
        <v>1</v>
      </c>
      <c r="N562" s="882" t="str">
        <f>IF($L$1="","",$L$1)</f>
        <v>x</v>
      </c>
      <c r="P562" s="31">
        <f t="shared" si="131"/>
        <v>15422.4</v>
      </c>
      <c r="Q562" s="27" t="str">
        <f t="shared" si="127"/>
        <v/>
      </c>
      <c r="R562" s="32" t="str">
        <f t="shared" si="128"/>
        <v>-</v>
      </c>
      <c r="S562" s="1" t="str">
        <f t="shared" si="129"/>
        <v/>
      </c>
      <c r="T562" s="97" t="str">
        <f t="shared" si="130"/>
        <v>noch leer</v>
      </c>
    </row>
    <row r="563" spans="1:20" ht="12.75" hidden="1" customHeight="1" x14ac:dyDescent="0.2">
      <c r="A563" s="18"/>
      <c r="B563" s="36" t="str">
        <f>IF('[1]E-AV'!B13="","-",'[1]E-AV'!B13)</f>
        <v>Rinderstall mit Bergeraum</v>
      </c>
      <c r="C563" s="93" t="str">
        <f t="shared" si="139"/>
        <v>Zeitw.  1. Jän.</v>
      </c>
      <c r="D563" s="31">
        <f>IF('[1]E-AV'!$H13="","",'[1]E-AV'!$H13)</f>
        <v>76267.100000000006</v>
      </c>
      <c r="E563" s="27"/>
      <c r="F563" s="32">
        <f>IF(OR(AV!I13="",AV!I13="noch leer",AV!G13="",AV!G13="noch leer"),"-",IF(AV!I13=0,1,AV!E13-AV!I13*AV!G13))</f>
        <v>76267.100000000006</v>
      </c>
      <c r="H563" s="97">
        <f>IF(AV!$H13="","",AV!$H13)</f>
        <v>76267.100000000006</v>
      </c>
      <c r="I563" s="29" t="str">
        <f t="shared" si="140"/>
        <v>Richtig!</v>
      </c>
      <c r="J563" s="30" t="str">
        <f t="shared" si="141"/>
        <v>-</v>
      </c>
      <c r="K563" s="23" t="str">
        <f t="shared" si="126"/>
        <v/>
      </c>
      <c r="L563" s="24" t="str">
        <f t="shared" si="138"/>
        <v/>
      </c>
      <c r="N563" s="882"/>
      <c r="P563" s="31">
        <f t="shared" si="131"/>
        <v>76267.100000000006</v>
      </c>
      <c r="Q563" s="27" t="str">
        <f t="shared" si="127"/>
        <v/>
      </c>
      <c r="R563" s="32">
        <f t="shared" si="128"/>
        <v>76267.100000000006</v>
      </c>
      <c r="S563" s="1" t="str">
        <f t="shared" si="129"/>
        <v/>
      </c>
      <c r="T563" s="97">
        <f t="shared" si="130"/>
        <v>76267.100000000006</v>
      </c>
    </row>
    <row r="564" spans="1:20" ht="12.75" hidden="1" customHeight="1" x14ac:dyDescent="0.2">
      <c r="A564" s="18"/>
      <c r="B564" s="36" t="str">
        <f>IF('[1]E-AV'!B14="","-",'[1]E-AV'!B14)</f>
        <v>Verarbeitungsraum</v>
      </c>
      <c r="C564" s="93" t="str">
        <f t="shared" si="139"/>
        <v>Zeitw.  1. Jän.</v>
      </c>
      <c r="D564" s="31">
        <f>IF('[1]E-AV'!$H14="","",'[1]E-AV'!$H14)</f>
        <v>19987.239999999998</v>
      </c>
      <c r="E564" s="27"/>
      <c r="F564" s="32">
        <f>IF(OR(AV!I14="",AV!I14="noch leer",AV!G14="",AV!G14="noch leer"),"-",IF(AV!I14=0,1,AV!E14-AV!I14*AV!G14))</f>
        <v>19987.239999999998</v>
      </c>
      <c r="H564" s="97">
        <f>IF(AV!$H14="","",AV!$H14)</f>
        <v>19987.239999999998</v>
      </c>
      <c r="I564" s="29" t="str">
        <f t="shared" si="140"/>
        <v>Richtig!</v>
      </c>
      <c r="J564" s="30" t="str">
        <f t="shared" si="141"/>
        <v>-</v>
      </c>
      <c r="K564" s="23" t="str">
        <f t="shared" si="126"/>
        <v/>
      </c>
      <c r="L564" s="24" t="str">
        <f t="shared" si="138"/>
        <v/>
      </c>
      <c r="N564" s="882"/>
      <c r="P564" s="31">
        <f t="shared" si="131"/>
        <v>19987.240000000002</v>
      </c>
      <c r="Q564" s="27" t="str">
        <f t="shared" si="127"/>
        <v/>
      </c>
      <c r="R564" s="32">
        <f t="shared" si="128"/>
        <v>19987.240000000002</v>
      </c>
      <c r="S564" s="1" t="str">
        <f t="shared" si="129"/>
        <v/>
      </c>
      <c r="T564" s="97">
        <f t="shared" si="130"/>
        <v>19987.240000000002</v>
      </c>
    </row>
    <row r="565" spans="1:20" ht="12.75" hidden="1" customHeight="1" x14ac:dyDescent="0.2">
      <c r="A565" s="18"/>
      <c r="B565" s="36" t="str">
        <f>IF('[1]E-AV'!B15="","-",'[1]E-AV'!B15)</f>
        <v>Garage mit Lagerraum</v>
      </c>
      <c r="C565" s="93" t="str">
        <f t="shared" si="139"/>
        <v>Zeitw.  1. Jän.</v>
      </c>
      <c r="D565" s="31">
        <f>IF('[1]E-AV'!$H15="","",'[1]E-AV'!$H15)</f>
        <v>1</v>
      </c>
      <c r="E565" s="27"/>
      <c r="F565" s="32">
        <f>IF(OR(AV!I15="",AV!I15="noch leer",AV!G15="",AV!G15="noch leer"),"-",IF(AV!I15=0,1,AV!E15-AV!I15*AV!G15))</f>
        <v>1</v>
      </c>
      <c r="H565" s="97">
        <f>IF(AV!$H15="","",AV!$H15)</f>
        <v>1</v>
      </c>
      <c r="I565" s="29" t="str">
        <f t="shared" si="140"/>
        <v>Richtig!</v>
      </c>
      <c r="J565" s="30" t="str">
        <f t="shared" si="141"/>
        <v>-</v>
      </c>
      <c r="K565" s="23" t="str">
        <f t="shared" si="126"/>
        <v/>
      </c>
      <c r="L565" s="24" t="str">
        <f t="shared" si="138"/>
        <v/>
      </c>
      <c r="N565" s="882"/>
      <c r="P565" s="31">
        <f t="shared" si="131"/>
        <v>1</v>
      </c>
      <c r="Q565" s="27" t="str">
        <f t="shared" si="127"/>
        <v/>
      </c>
      <c r="R565" s="32">
        <f t="shared" si="128"/>
        <v>1</v>
      </c>
      <c r="S565" s="1" t="str">
        <f t="shared" si="129"/>
        <v/>
      </c>
      <c r="T565" s="97">
        <f t="shared" si="130"/>
        <v>1</v>
      </c>
    </row>
    <row r="566" spans="1:20" ht="12.75" hidden="1" customHeight="1" x14ac:dyDescent="0.2">
      <c r="A566" s="18"/>
      <c r="B566" s="36" t="str">
        <f>IF('[1]E-AV'!B16="","-",'[1]E-AV'!B16)</f>
        <v>-</v>
      </c>
      <c r="C566" s="93" t="str">
        <f t="shared" si="139"/>
        <v>Zeitw.  1. Jän.</v>
      </c>
      <c r="D566" s="31" t="str">
        <f>IF('[1]E-AV'!$H16="","",'[1]E-AV'!$H16)</f>
        <v/>
      </c>
      <c r="E566" s="27"/>
      <c r="F566" s="32" t="str">
        <f>IF(OR(AV!I16="",AV!I16="noch leer",AV!G16="",AV!G16="noch leer"),"-",IF(AV!I16=0,1,AV!E16-AV!I16*AV!G16))</f>
        <v>-</v>
      </c>
      <c r="H566" s="97" t="str">
        <f>IF(AV!$H16="","",AV!$H16)</f>
        <v/>
      </c>
      <c r="I566" s="29" t="str">
        <f t="shared" si="140"/>
        <v>Richtig!</v>
      </c>
      <c r="J566" s="30" t="str">
        <f t="shared" si="141"/>
        <v>-</v>
      </c>
      <c r="K566" s="23" t="str">
        <f t="shared" si="126"/>
        <v/>
      </c>
      <c r="L566" s="24" t="str">
        <f t="shared" si="138"/>
        <v/>
      </c>
      <c r="N566" s="882"/>
      <c r="P566" s="31" t="str">
        <f t="shared" si="131"/>
        <v/>
      </c>
      <c r="Q566" s="27" t="str">
        <f t="shared" si="127"/>
        <v/>
      </c>
      <c r="R566" s="32" t="str">
        <f t="shared" si="128"/>
        <v>-</v>
      </c>
      <c r="S566" s="1" t="str">
        <f t="shared" si="129"/>
        <v/>
      </c>
      <c r="T566" s="97" t="str">
        <f t="shared" si="130"/>
        <v/>
      </c>
    </row>
    <row r="567" spans="1:20" ht="12.75" hidden="1" customHeight="1" x14ac:dyDescent="0.2">
      <c r="A567" s="18"/>
      <c r="B567" s="36" t="str">
        <f>IF('[1]E-AV'!B17="","-",'[1]E-AV'!B17)</f>
        <v>-</v>
      </c>
      <c r="C567" s="93" t="str">
        <f t="shared" si="139"/>
        <v>Zeitw.  1. Jän.</v>
      </c>
      <c r="D567" s="31" t="str">
        <f>IF('[1]E-AV'!$H17="","",'[1]E-AV'!$H17)</f>
        <v/>
      </c>
      <c r="E567" s="27"/>
      <c r="F567" s="32" t="str">
        <f>IF(OR(AV!I17="",AV!I17="noch leer",AV!G17="",AV!G17="noch leer"),"-",IF(AV!I17=0,1,AV!E17-AV!I17*AV!G17))</f>
        <v>-</v>
      </c>
      <c r="H567" s="97" t="str">
        <f>IF(AV!$H17="","",AV!$H17)</f>
        <v/>
      </c>
      <c r="I567" s="29" t="str">
        <f t="shared" si="140"/>
        <v>Richtig!</v>
      </c>
      <c r="J567" s="30" t="str">
        <f t="shared" si="141"/>
        <v>-</v>
      </c>
      <c r="K567" s="23" t="str">
        <f t="shared" si="126"/>
        <v/>
      </c>
      <c r="L567" s="24" t="str">
        <f t="shared" si="138"/>
        <v/>
      </c>
      <c r="N567" s="882"/>
      <c r="P567" s="31" t="str">
        <f t="shared" si="131"/>
        <v/>
      </c>
      <c r="Q567" s="27" t="str">
        <f t="shared" si="127"/>
        <v/>
      </c>
      <c r="R567" s="32" t="str">
        <f t="shared" si="128"/>
        <v>-</v>
      </c>
      <c r="S567" s="1" t="str">
        <f t="shared" si="129"/>
        <v/>
      </c>
      <c r="T567" s="97" t="str">
        <f t="shared" si="130"/>
        <v/>
      </c>
    </row>
    <row r="568" spans="1:20" ht="12.75" hidden="1" customHeight="1" x14ac:dyDescent="0.2">
      <c r="A568" s="18"/>
      <c r="B568" s="36" t="str">
        <f>IF('[1]E-AV'!B18="","-",'[1]E-AV'!B18)</f>
        <v>-</v>
      </c>
      <c r="C568" s="93" t="str">
        <f t="shared" si="139"/>
        <v>Zeitw.  1. Jän.</v>
      </c>
      <c r="D568" s="31" t="str">
        <f>IF('[1]E-AV'!$H18="","",'[1]E-AV'!$H18)</f>
        <v/>
      </c>
      <c r="E568" s="27"/>
      <c r="F568" s="32" t="str">
        <f>IF(OR(AV!I18="",AV!I18="noch leer",AV!G18="",AV!G18="noch leer"),"-",IF(AV!I18=0,1,AV!E18-AV!I18*AV!G18))</f>
        <v>-</v>
      </c>
      <c r="H568" s="97" t="str">
        <f>IF(AV!$H18="","",AV!$H18)</f>
        <v/>
      </c>
      <c r="I568" s="29" t="str">
        <f t="shared" si="140"/>
        <v>Richtig!</v>
      </c>
      <c r="J568" s="30" t="str">
        <f t="shared" si="141"/>
        <v>-</v>
      </c>
      <c r="K568" s="23" t="str">
        <f t="shared" si="126"/>
        <v/>
      </c>
      <c r="L568" s="24" t="str">
        <f t="shared" si="138"/>
        <v/>
      </c>
      <c r="N568" s="882"/>
      <c r="P568" s="31" t="str">
        <f t="shared" si="131"/>
        <v/>
      </c>
      <c r="Q568" s="27" t="str">
        <f t="shared" si="127"/>
        <v/>
      </c>
      <c r="R568" s="32" t="str">
        <f t="shared" si="128"/>
        <v>-</v>
      </c>
      <c r="S568" s="1" t="str">
        <f t="shared" si="129"/>
        <v/>
      </c>
      <c r="T568" s="97" t="str">
        <f t="shared" si="130"/>
        <v/>
      </c>
    </row>
    <row r="569" spans="1:20" ht="12.75" x14ac:dyDescent="0.2">
      <c r="A569" s="18"/>
      <c r="B569" s="92" t="str">
        <f>IF('[1]E-AV'!B19="","-",'[1]E-AV'!B19)</f>
        <v>Summe Gebäude und bauliche Anlagen</v>
      </c>
      <c r="C569" s="93" t="str">
        <f t="shared" si="139"/>
        <v>Zeitw.  1. Jän.</v>
      </c>
      <c r="D569" s="31">
        <f>IF('[1]E-AV'!$H19="","",'[1]E-AV'!$H19)</f>
        <v>120297.39806451614</v>
      </c>
      <c r="E569" s="27"/>
      <c r="F569" s="32">
        <f>IF(AND(H561="",H562="",H563="",H564="",H565="",H566="",H567="",H568=""),"-",SUM(H561:H568))</f>
        <v>96255.34</v>
      </c>
      <c r="H569" s="97" t="str">
        <f>IF(AV!$H19="","",AV!$H19)</f>
        <v/>
      </c>
      <c r="I569" s="29" t="str">
        <f t="shared" si="140"/>
        <v>Fehlt</v>
      </c>
      <c r="J569" s="30">
        <f t="shared" si="141"/>
        <v>0</v>
      </c>
      <c r="K569" s="23" t="str">
        <f t="shared" si="126"/>
        <v>│</v>
      </c>
      <c r="L569" s="24">
        <f t="shared" si="138"/>
        <v>1</v>
      </c>
      <c r="N569" s="882" t="str">
        <f>IF($L$1="","",$L$1)</f>
        <v>x</v>
      </c>
      <c r="P569" s="31">
        <f t="shared" si="131"/>
        <v>120297.39806000001</v>
      </c>
      <c r="Q569" s="27" t="str">
        <f t="shared" si="127"/>
        <v/>
      </c>
      <c r="R569" s="32">
        <f t="shared" si="128"/>
        <v>96255.34</v>
      </c>
      <c r="S569" s="1" t="str">
        <f t="shared" si="129"/>
        <v/>
      </c>
      <c r="T569" s="97" t="str">
        <f t="shared" si="130"/>
        <v/>
      </c>
    </row>
    <row r="570" spans="1:20" ht="12.75" customHeight="1" x14ac:dyDescent="0.2">
      <c r="B570" s="95" t="str">
        <f>IF('[1]E-AV'!B20="","-",'[1]E-AV'!B20)</f>
        <v>Maschinen und Geräte</v>
      </c>
      <c r="C570" s="93"/>
      <c r="D570" s="19"/>
      <c r="H570" s="17"/>
      <c r="I570" s="29"/>
      <c r="J570" s="29"/>
      <c r="K570" s="23" t="str">
        <f t="shared" si="126"/>
        <v/>
      </c>
      <c r="L570" s="24" t="str">
        <f t="shared" si="138"/>
        <v/>
      </c>
      <c r="N570" s="880" t="str">
        <f>IF($L$1="","",$L$1)</f>
        <v>x</v>
      </c>
      <c r="P570" s="19" t="str">
        <f t="shared" si="131"/>
        <v/>
      </c>
      <c r="Q570" s="1" t="str">
        <f t="shared" si="127"/>
        <v/>
      </c>
      <c r="R570" s="1" t="str">
        <f t="shared" si="128"/>
        <v/>
      </c>
      <c r="S570" s="1" t="str">
        <f t="shared" si="129"/>
        <v/>
      </c>
      <c r="T570" s="17" t="str">
        <f t="shared" si="130"/>
        <v/>
      </c>
    </row>
    <row r="571" spans="1:20" ht="12.75" hidden="1" customHeight="1" x14ac:dyDescent="0.2">
      <c r="A571" s="18"/>
      <c r="B571" s="36" t="str">
        <f>IF('[1]E-AV'!B21="","-",'[1]E-AV'!B21)</f>
        <v>Allradtraktor</v>
      </c>
      <c r="C571" s="93" t="str">
        <f t="shared" ref="C571:C591" si="142">MID($B$555,1,5)&amp;". "&amp;MID($B$555,9,7)&amp;"."</f>
        <v>Zeitw.  1. Jän.</v>
      </c>
      <c r="D571" s="31">
        <f>IF('[1]E-AV'!$H21="","",'[1]E-AV'!$H21)</f>
        <v>19046.666666666664</v>
      </c>
      <c r="E571" s="27"/>
      <c r="F571" s="32" t="str">
        <f>IF(OR(AV!I21="",AV!I21="noch leer",AV!G21="",AV!G21="noch leer"),"-",IF(AV!I21=0,1,AV!E21-AV!I21*AV!G21))</f>
        <v>-</v>
      </c>
      <c r="H571" s="97" t="str">
        <f>IF(AV!$H21="","",AV!$H21)</f>
        <v>noch leer</v>
      </c>
      <c r="I571" s="29" t="str">
        <f t="shared" ref="I571:I591" si="143">IF(B571="","",IF(T571=P571,"Richtig!",IF(AND(P571&lt;&gt;T571,R571=T571),"Formel: OK",IF(T571="","Fehlt","Falsch"))))</f>
        <v>Falsch</v>
      </c>
      <c r="J571" s="30" t="str">
        <f t="shared" ref="J571:J591" si="144">IF(OR(B571="-",N571="",AND(P571="",T571="")),"-",IF(I571="Richtig!",1,IF(I571="Formel: OK",0.5,IF(OR(I571="Falsch",I571="Fehlt"),0,""))))</f>
        <v>-</v>
      </c>
      <c r="K571" s="23" t="str">
        <f t="shared" si="126"/>
        <v/>
      </c>
      <c r="L571" s="24" t="str">
        <f t="shared" si="138"/>
        <v/>
      </c>
      <c r="N571" s="882"/>
      <c r="P571" s="31">
        <f t="shared" si="131"/>
        <v>19046.666669999999</v>
      </c>
      <c r="Q571" s="27" t="str">
        <f t="shared" si="127"/>
        <v/>
      </c>
      <c r="R571" s="32" t="str">
        <f t="shared" si="128"/>
        <v>-</v>
      </c>
      <c r="S571" s="1" t="str">
        <f t="shared" si="129"/>
        <v/>
      </c>
      <c r="T571" s="97" t="str">
        <f t="shared" si="130"/>
        <v>noch leer</v>
      </c>
    </row>
    <row r="572" spans="1:20" ht="12.75" hidden="1" customHeight="1" x14ac:dyDescent="0.2">
      <c r="A572" s="18"/>
      <c r="B572" s="36" t="str">
        <f>IF('[1]E-AV'!B22="","-",'[1]E-AV'!B22)</f>
        <v>Standardtraktor</v>
      </c>
      <c r="C572" s="93" t="str">
        <f t="shared" si="142"/>
        <v>Zeitw.  1. Jän.</v>
      </c>
      <c r="D572" s="31">
        <f>IF('[1]E-AV'!$H22="","",'[1]E-AV'!$H22)</f>
        <v>6620.25</v>
      </c>
      <c r="E572" s="27"/>
      <c r="F572" s="32">
        <f>IF(OR(AV!I22="",AV!I22="noch leer",AV!G22="",AV!G22="noch leer"),"-",IF(AV!I22=0,1,AV!E22-AV!I22*AV!G22))</f>
        <v>6620.25</v>
      </c>
      <c r="H572" s="97">
        <f>IF(AV!$H22="","",AV!$H22)</f>
        <v>6620.25</v>
      </c>
      <c r="I572" s="29" t="str">
        <f t="shared" si="143"/>
        <v>Richtig!</v>
      </c>
      <c r="J572" s="30" t="str">
        <f t="shared" si="144"/>
        <v>-</v>
      </c>
      <c r="K572" s="23" t="str">
        <f t="shared" si="126"/>
        <v/>
      </c>
      <c r="L572" s="24" t="str">
        <f t="shared" si="138"/>
        <v/>
      </c>
      <c r="N572" s="882"/>
      <c r="P572" s="31">
        <f t="shared" si="131"/>
        <v>6620.25</v>
      </c>
      <c r="Q572" s="27" t="str">
        <f t="shared" si="127"/>
        <v/>
      </c>
      <c r="R572" s="32">
        <f t="shared" si="128"/>
        <v>6620.25</v>
      </c>
      <c r="S572" s="1" t="str">
        <f t="shared" si="129"/>
        <v/>
      </c>
      <c r="T572" s="97">
        <f t="shared" si="130"/>
        <v>6620.25</v>
      </c>
    </row>
    <row r="573" spans="1:20" ht="12.75" hidden="1" customHeight="1" x14ac:dyDescent="0.2">
      <c r="A573" s="18"/>
      <c r="B573" s="36" t="str">
        <f>IF('[1]E-AV'!B23="","-",'[1]E-AV'!B23)</f>
        <v>-</v>
      </c>
      <c r="C573" s="93" t="str">
        <f t="shared" si="142"/>
        <v>Zeitw.  1. Jän.</v>
      </c>
      <c r="D573" s="31" t="str">
        <f>IF('[1]E-AV'!$H23="","",'[1]E-AV'!$H23)</f>
        <v/>
      </c>
      <c r="E573" s="27"/>
      <c r="F573" s="32" t="str">
        <f>IF(OR(AV!I23="",AV!I23="noch leer",AV!G23="",AV!G23="noch leer"),"-",IF(AV!I23=0,1,AV!E23-AV!I23*AV!G23))</f>
        <v>-</v>
      </c>
      <c r="H573" s="97" t="str">
        <f>IF(AV!$H23="","",AV!$H23)</f>
        <v/>
      </c>
      <c r="I573" s="29" t="str">
        <f t="shared" si="143"/>
        <v>Richtig!</v>
      </c>
      <c r="J573" s="30" t="str">
        <f t="shared" si="144"/>
        <v>-</v>
      </c>
      <c r="K573" s="23" t="str">
        <f t="shared" si="126"/>
        <v/>
      </c>
      <c r="L573" s="24" t="str">
        <f t="shared" si="138"/>
        <v/>
      </c>
      <c r="N573" s="882"/>
      <c r="P573" s="31" t="str">
        <f t="shared" si="131"/>
        <v/>
      </c>
      <c r="Q573" s="27" t="str">
        <f t="shared" si="127"/>
        <v/>
      </c>
      <c r="R573" s="32" t="str">
        <f t="shared" si="128"/>
        <v>-</v>
      </c>
      <c r="S573" s="1" t="str">
        <f t="shared" si="129"/>
        <v/>
      </c>
      <c r="T573" s="97" t="str">
        <f t="shared" si="130"/>
        <v/>
      </c>
    </row>
    <row r="574" spans="1:20" ht="12.75" hidden="1" customHeight="1" x14ac:dyDescent="0.2">
      <c r="A574" s="18"/>
      <c r="B574" s="36" t="str">
        <f>IF('[1]E-AV'!B24="","-",'[1]E-AV'!B24)</f>
        <v>PKW-Anhänger</v>
      </c>
      <c r="C574" s="93" t="str">
        <f t="shared" si="142"/>
        <v>Zeitw.  1. Jän.</v>
      </c>
      <c r="D574" s="31">
        <f>IF('[1]E-AV'!$H24="","",'[1]E-AV'!$H24)</f>
        <v>235</v>
      </c>
      <c r="E574" s="27"/>
      <c r="F574" s="32" t="str">
        <f>IF(OR(AV!I24="",AV!I24="noch leer",AV!G24="",AV!G24="noch leer"),"-",IF(AV!I24=0,1,AV!E24-AV!I24*AV!G24))</f>
        <v>-</v>
      </c>
      <c r="H574" s="97" t="str">
        <f>IF(AV!$H24="","",AV!$H24)</f>
        <v>noch leer</v>
      </c>
      <c r="I574" s="29" t="str">
        <f t="shared" si="143"/>
        <v>Falsch</v>
      </c>
      <c r="J574" s="30" t="str">
        <f t="shared" si="144"/>
        <v>-</v>
      </c>
      <c r="K574" s="23" t="str">
        <f t="shared" si="126"/>
        <v/>
      </c>
      <c r="L574" s="24" t="str">
        <f t="shared" si="138"/>
        <v/>
      </c>
      <c r="N574" s="882"/>
      <c r="P574" s="31">
        <f t="shared" si="131"/>
        <v>235</v>
      </c>
      <c r="Q574" s="27" t="str">
        <f t="shared" si="127"/>
        <v/>
      </c>
      <c r="R574" s="32" t="str">
        <f t="shared" si="128"/>
        <v>-</v>
      </c>
      <c r="S574" s="1" t="str">
        <f t="shared" si="129"/>
        <v/>
      </c>
      <c r="T574" s="97" t="str">
        <f t="shared" si="130"/>
        <v>noch leer</v>
      </c>
    </row>
    <row r="575" spans="1:20" ht="12.75" hidden="1" customHeight="1" x14ac:dyDescent="0.2">
      <c r="A575" s="18"/>
      <c r="B575" s="36" t="str">
        <f>IF('[1]E-AV'!B25="","-",'[1]E-AV'!B25)</f>
        <v>Ladewagen</v>
      </c>
      <c r="C575" s="93" t="str">
        <f t="shared" si="142"/>
        <v>Zeitw.  1. Jän.</v>
      </c>
      <c r="D575" s="31">
        <f>IF('[1]E-AV'!$H25="","",'[1]E-AV'!$H25)</f>
        <v>1</v>
      </c>
      <c r="E575" s="27"/>
      <c r="F575" s="32">
        <f>IF(OR(AV!I25="",AV!I25="noch leer",AV!G25="",AV!G25="noch leer"),"-",IF(AV!I25=0,1,AV!E25-AV!I25*AV!G25))</f>
        <v>1</v>
      </c>
      <c r="H575" s="97">
        <f>IF(AV!$H25="","",AV!$H25)</f>
        <v>1</v>
      </c>
      <c r="I575" s="29" t="str">
        <f t="shared" si="143"/>
        <v>Richtig!</v>
      </c>
      <c r="J575" s="30" t="str">
        <f t="shared" si="144"/>
        <v>-</v>
      </c>
      <c r="K575" s="23" t="str">
        <f t="shared" si="126"/>
        <v/>
      </c>
      <c r="L575" s="24" t="str">
        <f t="shared" si="138"/>
        <v/>
      </c>
      <c r="N575" s="882"/>
      <c r="P575" s="31">
        <f t="shared" si="131"/>
        <v>1</v>
      </c>
      <c r="Q575" s="27" t="str">
        <f t="shared" si="127"/>
        <v/>
      </c>
      <c r="R575" s="32">
        <f t="shared" si="128"/>
        <v>1</v>
      </c>
      <c r="S575" s="1" t="str">
        <f t="shared" si="129"/>
        <v/>
      </c>
      <c r="T575" s="97">
        <f t="shared" si="130"/>
        <v>1</v>
      </c>
    </row>
    <row r="576" spans="1:20" ht="12.75" hidden="1" customHeight="1" x14ac:dyDescent="0.2">
      <c r="A576" s="18"/>
      <c r="B576" s="36" t="str">
        <f>IF('[1]E-AV'!B26="","-",'[1]E-AV'!B26)</f>
        <v>Kreiselschwader</v>
      </c>
      <c r="C576" s="93" t="str">
        <f t="shared" si="142"/>
        <v>Zeitw.  1. Jän.</v>
      </c>
      <c r="D576" s="31">
        <f>IF('[1]E-AV'!$H26="","",'[1]E-AV'!$H26)</f>
        <v>477.75</v>
      </c>
      <c r="E576" s="27"/>
      <c r="F576" s="32">
        <f>IF(OR(AV!I26="",AV!I26="noch leer",AV!G26="",AV!G26="noch leer"),"-",IF(AV!I26=0,1,AV!E26-AV!I26*AV!G26))</f>
        <v>477.75</v>
      </c>
      <c r="H576" s="97">
        <f>IF(AV!$H26="","",AV!$H26)</f>
        <v>477.75</v>
      </c>
      <c r="I576" s="29" t="str">
        <f t="shared" si="143"/>
        <v>Richtig!</v>
      </c>
      <c r="J576" s="30" t="str">
        <f t="shared" si="144"/>
        <v>-</v>
      </c>
      <c r="K576" s="23" t="str">
        <f t="shared" si="126"/>
        <v/>
      </c>
      <c r="L576" s="24" t="str">
        <f t="shared" si="138"/>
        <v/>
      </c>
      <c r="N576" s="882"/>
      <c r="P576" s="31">
        <f t="shared" si="131"/>
        <v>477.75</v>
      </c>
      <c r="Q576" s="27" t="str">
        <f t="shared" si="127"/>
        <v/>
      </c>
      <c r="R576" s="32">
        <f t="shared" si="128"/>
        <v>477.75</v>
      </c>
      <c r="S576" s="1" t="str">
        <f t="shared" si="129"/>
        <v/>
      </c>
      <c r="T576" s="97">
        <f t="shared" si="130"/>
        <v>477.75</v>
      </c>
    </row>
    <row r="577" spans="1:20" ht="12.75" hidden="1" customHeight="1" x14ac:dyDescent="0.2">
      <c r="A577" s="18"/>
      <c r="B577" s="36" t="str">
        <f>IF('[1]E-AV'!B27="","-",'[1]E-AV'!B27)</f>
        <v>Kreiselzetter</v>
      </c>
      <c r="C577" s="93" t="str">
        <f t="shared" si="142"/>
        <v>Zeitw.  1. Jän.</v>
      </c>
      <c r="D577" s="31">
        <f>IF('[1]E-AV'!$H27="","",'[1]E-AV'!$H27)</f>
        <v>1</v>
      </c>
      <c r="E577" s="27"/>
      <c r="F577" s="32">
        <f>IF(OR(AV!I27="",AV!I27="noch leer",AV!G27="",AV!G27="noch leer"),"-",IF(AV!I27=0,1,AV!E27-AV!I27*AV!G27))</f>
        <v>1</v>
      </c>
      <c r="H577" s="97">
        <f>IF(AV!$H27="","",AV!$H27)</f>
        <v>1</v>
      </c>
      <c r="I577" s="29" t="str">
        <f t="shared" si="143"/>
        <v>Richtig!</v>
      </c>
      <c r="J577" s="30" t="str">
        <f t="shared" si="144"/>
        <v>-</v>
      </c>
      <c r="K577" s="23" t="str">
        <f t="shared" si="126"/>
        <v/>
      </c>
      <c r="L577" s="24" t="str">
        <f t="shared" si="138"/>
        <v/>
      </c>
      <c r="N577" s="882"/>
      <c r="P577" s="31">
        <f t="shared" si="131"/>
        <v>1</v>
      </c>
      <c r="Q577" s="27" t="str">
        <f t="shared" si="127"/>
        <v/>
      </c>
      <c r="R577" s="32">
        <f t="shared" si="128"/>
        <v>1</v>
      </c>
      <c r="S577" s="1" t="str">
        <f t="shared" si="129"/>
        <v/>
      </c>
      <c r="T577" s="97">
        <f t="shared" si="130"/>
        <v>1</v>
      </c>
    </row>
    <row r="578" spans="1:20" ht="12.75" x14ac:dyDescent="0.2">
      <c r="A578" s="18"/>
      <c r="B578" s="36" t="str">
        <f>IF('[1]E-AV'!B28="","-",'[1]E-AV'!B28)</f>
        <v>Mähwerk</v>
      </c>
      <c r="C578" s="93" t="str">
        <f t="shared" si="142"/>
        <v>Zeitw.  1. Jän.</v>
      </c>
      <c r="D578" s="31">
        <f>IF('[1]E-AV'!$H28="","",'[1]E-AV'!$H28)</f>
        <v>885.66666666666674</v>
      </c>
      <c r="E578" s="27"/>
      <c r="F578" s="32" t="str">
        <f>IF(OR(AV!I28="",AV!I28="noch leer",AV!G28="",AV!G28="noch leer"),"-",IF(AV!I28=0,1,AV!E28-AV!I28*AV!G28))</f>
        <v>-</v>
      </c>
      <c r="H578" s="97" t="str">
        <f>IF(AV!$H28="","",AV!$H28)</f>
        <v/>
      </c>
      <c r="I578" s="29" t="str">
        <f t="shared" si="143"/>
        <v>Fehlt</v>
      </c>
      <c r="J578" s="30">
        <f t="shared" si="144"/>
        <v>0</v>
      </c>
      <c r="K578" s="23" t="str">
        <f t="shared" si="126"/>
        <v>│</v>
      </c>
      <c r="L578" s="24">
        <f t="shared" si="138"/>
        <v>1</v>
      </c>
      <c r="N578" s="882" t="str">
        <f>IF($L$1="","",$L$1)</f>
        <v>x</v>
      </c>
      <c r="P578" s="31">
        <f t="shared" si="131"/>
        <v>885.66666999999995</v>
      </c>
      <c r="Q578" s="27" t="str">
        <f t="shared" si="127"/>
        <v/>
      </c>
      <c r="R578" s="32" t="str">
        <f t="shared" si="128"/>
        <v>-</v>
      </c>
      <c r="S578" s="1" t="str">
        <f t="shared" si="129"/>
        <v/>
      </c>
      <c r="T578" s="97" t="str">
        <f t="shared" si="130"/>
        <v/>
      </c>
    </row>
    <row r="579" spans="1:20" ht="12.75" x14ac:dyDescent="0.2">
      <c r="A579" s="18"/>
      <c r="B579" s="36" t="str">
        <f>IF('[1]E-AV'!B29="","-",'[1]E-AV'!B29)</f>
        <v>Motormäher</v>
      </c>
      <c r="C579" s="93" t="str">
        <f t="shared" si="142"/>
        <v>Zeitw.  1. Jän.</v>
      </c>
      <c r="D579" s="31">
        <f>IF('[1]E-AV'!$H29="","",'[1]E-AV'!$H29)</f>
        <v>357.1875</v>
      </c>
      <c r="E579" s="27"/>
      <c r="F579" s="32" t="str">
        <f>IF(OR(AV!I29="",AV!I29="noch leer",AV!G29="",AV!G29="noch leer"),"-",IF(AV!I29=0,1,AV!E29-AV!I29*AV!G29))</f>
        <v>-</v>
      </c>
      <c r="H579" s="97" t="str">
        <f>IF(AV!$H29="","",AV!$H29)</f>
        <v/>
      </c>
      <c r="I579" s="29" t="str">
        <f t="shared" si="143"/>
        <v>Fehlt</v>
      </c>
      <c r="J579" s="30">
        <f t="shared" si="144"/>
        <v>0</v>
      </c>
      <c r="K579" s="23" t="str">
        <f t="shared" si="126"/>
        <v>│</v>
      </c>
      <c r="L579" s="24">
        <f t="shared" si="138"/>
        <v>1</v>
      </c>
      <c r="N579" s="882" t="str">
        <f>IF($L$1="","",$L$1)</f>
        <v>x</v>
      </c>
      <c r="P579" s="31">
        <f t="shared" si="131"/>
        <v>357.1875</v>
      </c>
      <c r="Q579" s="27" t="str">
        <f t="shared" si="127"/>
        <v/>
      </c>
      <c r="R579" s="32" t="str">
        <f t="shared" si="128"/>
        <v>-</v>
      </c>
      <c r="S579" s="1" t="str">
        <f t="shared" si="129"/>
        <v/>
      </c>
      <c r="T579" s="97" t="str">
        <f t="shared" si="130"/>
        <v/>
      </c>
    </row>
    <row r="580" spans="1:20" ht="12.75" hidden="1" customHeight="1" x14ac:dyDescent="0.2">
      <c r="A580" s="18"/>
      <c r="B580" s="36" t="str">
        <f>IF('[1]E-AV'!B30="","-",'[1]E-AV'!B30)</f>
        <v>Gebläse</v>
      </c>
      <c r="C580" s="93" t="str">
        <f t="shared" si="142"/>
        <v>Zeitw.  1. Jän.</v>
      </c>
      <c r="D580" s="31">
        <f>IF('[1]E-AV'!$H30="","",'[1]E-AV'!$H30)</f>
        <v>1</v>
      </c>
      <c r="E580" s="27"/>
      <c r="F580" s="32">
        <f>IF(OR(AV!I30="",AV!I30="noch leer",AV!G30="",AV!G30="noch leer"),"-",IF(AV!I30=0,1,AV!E30-AV!I30*AV!G30))</f>
        <v>1</v>
      </c>
      <c r="H580" s="97">
        <f>IF(AV!$H30="","",AV!$H30)</f>
        <v>1</v>
      </c>
      <c r="I580" s="29" t="str">
        <f t="shared" si="143"/>
        <v>Richtig!</v>
      </c>
      <c r="J580" s="30" t="str">
        <f t="shared" si="144"/>
        <v>-</v>
      </c>
      <c r="K580" s="23" t="str">
        <f t="shared" si="126"/>
        <v/>
      </c>
      <c r="L580" s="24" t="str">
        <f t="shared" si="138"/>
        <v/>
      </c>
      <c r="N580" s="882"/>
      <c r="P580" s="31">
        <f t="shared" si="131"/>
        <v>1</v>
      </c>
      <c r="Q580" s="27" t="str">
        <f t="shared" si="127"/>
        <v/>
      </c>
      <c r="R580" s="32">
        <f t="shared" si="128"/>
        <v>1</v>
      </c>
      <c r="S580" s="1" t="str">
        <f t="shared" si="129"/>
        <v/>
      </c>
      <c r="T580" s="97">
        <f t="shared" si="130"/>
        <v>1</v>
      </c>
    </row>
    <row r="581" spans="1:20" ht="12.75" hidden="1" customHeight="1" x14ac:dyDescent="0.2">
      <c r="A581" s="18"/>
      <c r="B581" s="36" t="str">
        <f>IF('[1]E-AV'!B31="","-",'[1]E-AV'!B31)</f>
        <v>Vakuumfass</v>
      </c>
      <c r="C581" s="93" t="str">
        <f t="shared" si="142"/>
        <v>Zeitw.  1. Jän.</v>
      </c>
      <c r="D581" s="31">
        <f>IF('[1]E-AV'!$H31="","",'[1]E-AV'!$H31)</f>
        <v>216.5333333333333</v>
      </c>
      <c r="E581" s="27"/>
      <c r="F581" s="32">
        <f>IF(OR(AV!I31="",AV!I31="noch leer",AV!G31="",AV!G31="noch leer"),"-",IF(AV!I31=0,1,AV!E31-AV!I31*AV!G31))</f>
        <v>216.5333333333333</v>
      </c>
      <c r="H581" s="97">
        <f>IF(AV!$H31="","",AV!$H31)</f>
        <v>216.5333333333333</v>
      </c>
      <c r="I581" s="29" t="str">
        <f t="shared" si="143"/>
        <v>Richtig!</v>
      </c>
      <c r="J581" s="30" t="str">
        <f t="shared" si="144"/>
        <v>-</v>
      </c>
      <c r="K581" s="23" t="str">
        <f t="shared" si="126"/>
        <v/>
      </c>
      <c r="L581" s="24" t="str">
        <f t="shared" si="138"/>
        <v/>
      </c>
      <c r="N581" s="882"/>
      <c r="P581" s="31">
        <f t="shared" si="131"/>
        <v>216.53333000000001</v>
      </c>
      <c r="Q581" s="27" t="str">
        <f t="shared" si="127"/>
        <v/>
      </c>
      <c r="R581" s="32">
        <f t="shared" si="128"/>
        <v>216.53333000000001</v>
      </c>
      <c r="S581" s="1" t="str">
        <f t="shared" si="129"/>
        <v/>
      </c>
      <c r="T581" s="97">
        <f t="shared" si="130"/>
        <v>216.53333000000001</v>
      </c>
    </row>
    <row r="582" spans="1:20" ht="12.75" hidden="1" customHeight="1" x14ac:dyDescent="0.2">
      <c r="A582" s="18"/>
      <c r="B582" s="36" t="str">
        <f>IF('[1]E-AV'!B32="","-",'[1]E-AV'!B32)</f>
        <v>Miststreuer</v>
      </c>
      <c r="C582" s="93" t="str">
        <f t="shared" si="142"/>
        <v>Zeitw.  1. Jän.</v>
      </c>
      <c r="D582" s="31">
        <f>IF('[1]E-AV'!$H32="","",'[1]E-AV'!$H32)</f>
        <v>227.5</v>
      </c>
      <c r="E582" s="27"/>
      <c r="F582" s="32">
        <f>IF(OR(AV!I32="",AV!I32="noch leer",AV!G32="",AV!G32="noch leer"),"-",IF(AV!I32=0,1,AV!E32-AV!I32*AV!G32))</f>
        <v>227.5</v>
      </c>
      <c r="H582" s="97">
        <f>IF(AV!$H32="","",AV!$H32)</f>
        <v>227.5</v>
      </c>
      <c r="I582" s="29" t="str">
        <f t="shared" si="143"/>
        <v>Richtig!</v>
      </c>
      <c r="J582" s="30" t="str">
        <f t="shared" si="144"/>
        <v>-</v>
      </c>
      <c r="K582" s="23" t="str">
        <f t="shared" si="126"/>
        <v/>
      </c>
      <c r="L582" s="24" t="str">
        <f t="shared" si="138"/>
        <v/>
      </c>
      <c r="N582" s="882"/>
      <c r="P582" s="31">
        <f t="shared" si="131"/>
        <v>227.5</v>
      </c>
      <c r="Q582" s="27" t="str">
        <f t="shared" si="127"/>
        <v/>
      </c>
      <c r="R582" s="32">
        <f t="shared" si="128"/>
        <v>227.5</v>
      </c>
      <c r="S582" s="1" t="str">
        <f t="shared" si="129"/>
        <v/>
      </c>
      <c r="T582" s="97">
        <f t="shared" si="130"/>
        <v>227.5</v>
      </c>
    </row>
    <row r="583" spans="1:20" ht="12.75" hidden="1" customHeight="1" x14ac:dyDescent="0.2">
      <c r="A583" s="18"/>
      <c r="B583" s="36" t="str">
        <f>IF('[1]E-AV'!B33="","-",'[1]E-AV'!B33)</f>
        <v>Butterfass</v>
      </c>
      <c r="C583" s="93" t="str">
        <f t="shared" si="142"/>
        <v>Zeitw.  1. Jän.</v>
      </c>
      <c r="D583" s="31">
        <f>IF('[1]E-AV'!$H33="","",'[1]E-AV'!$H33)</f>
        <v>248.39999999999998</v>
      </c>
      <c r="E583" s="27"/>
      <c r="F583" s="32">
        <f>IF(OR(AV!I33="",AV!I33="noch leer",AV!G33="",AV!G33="noch leer"),"-",IF(AV!I33=0,1,AV!E33-AV!I33*AV!G33))</f>
        <v>248.39999999999998</v>
      </c>
      <c r="H583" s="97">
        <f>IF(AV!$H33="","",AV!$H33)</f>
        <v>248.39999999999998</v>
      </c>
      <c r="I583" s="29" t="str">
        <f t="shared" si="143"/>
        <v>Richtig!</v>
      </c>
      <c r="J583" s="30" t="str">
        <f t="shared" si="144"/>
        <v>-</v>
      </c>
      <c r="K583" s="23" t="str">
        <f t="shared" si="126"/>
        <v/>
      </c>
      <c r="L583" s="24" t="str">
        <f t="shared" si="138"/>
        <v/>
      </c>
      <c r="N583" s="882"/>
      <c r="P583" s="31">
        <f t="shared" si="131"/>
        <v>248.4</v>
      </c>
      <c r="Q583" s="27" t="str">
        <f t="shared" si="127"/>
        <v/>
      </c>
      <c r="R583" s="32">
        <f t="shared" si="128"/>
        <v>248.4</v>
      </c>
      <c r="S583" s="1" t="str">
        <f t="shared" si="129"/>
        <v/>
      </c>
      <c r="T583" s="97">
        <f t="shared" si="130"/>
        <v>248.4</v>
      </c>
    </row>
    <row r="584" spans="1:20" ht="12.75" hidden="1" customHeight="1" x14ac:dyDescent="0.2">
      <c r="A584" s="18"/>
      <c r="B584" s="36" t="str">
        <f>IF('[1]E-AV'!B34="","-",'[1]E-AV'!B34)</f>
        <v>Zentrifuge</v>
      </c>
      <c r="C584" s="93" t="str">
        <f t="shared" si="142"/>
        <v>Zeitw.  1. Jän.</v>
      </c>
      <c r="D584" s="31">
        <f>IF('[1]E-AV'!$H34="","",'[1]E-AV'!$H34)</f>
        <v>1</v>
      </c>
      <c r="E584" s="27"/>
      <c r="F584" s="32">
        <f>IF(OR(AV!I34="",AV!I34="noch leer",AV!G34="",AV!G34="noch leer"),"-",IF(AV!I34=0,1,AV!E34-AV!I34*AV!G34))</f>
        <v>1</v>
      </c>
      <c r="H584" s="97">
        <f>IF(AV!$H34="","",AV!$H34)</f>
        <v>1</v>
      </c>
      <c r="I584" s="29" t="str">
        <f t="shared" si="143"/>
        <v>Richtig!</v>
      </c>
      <c r="J584" s="30" t="str">
        <f t="shared" si="144"/>
        <v>-</v>
      </c>
      <c r="K584" s="23" t="str">
        <f t="shared" si="126"/>
        <v/>
      </c>
      <c r="L584" s="24" t="str">
        <f t="shared" ref="L584:L615" si="145">IF(OR(B584="-",N584="",AND(P584="",T584="")),"",1)</f>
        <v/>
      </c>
      <c r="N584" s="882"/>
      <c r="P584" s="31">
        <f t="shared" si="131"/>
        <v>1</v>
      </c>
      <c r="Q584" s="27" t="str">
        <f t="shared" si="127"/>
        <v/>
      </c>
      <c r="R584" s="32">
        <f t="shared" si="128"/>
        <v>1</v>
      </c>
      <c r="S584" s="1" t="str">
        <f t="shared" si="129"/>
        <v/>
      </c>
      <c r="T584" s="97">
        <f t="shared" si="130"/>
        <v>1</v>
      </c>
    </row>
    <row r="585" spans="1:20" ht="12.75" hidden="1" customHeight="1" x14ac:dyDescent="0.2">
      <c r="A585" s="18"/>
      <c r="B585" s="36" t="str">
        <f>IF('[1]E-AV'!B35="","-",'[1]E-AV'!B35)</f>
        <v>Pasteur</v>
      </c>
      <c r="C585" s="93" t="str">
        <f t="shared" si="142"/>
        <v>Zeitw.  1. Jän.</v>
      </c>
      <c r="D585" s="31">
        <f>IF('[1]E-AV'!$H35="","",'[1]E-AV'!$H35)</f>
        <v>1</v>
      </c>
      <c r="E585" s="27"/>
      <c r="F585" s="32">
        <f>IF(OR(AV!I35="",AV!I35="noch leer",AV!G35="",AV!G35="noch leer"),"-",IF(AV!I35=0,1,AV!E35-AV!I35*AV!G35))</f>
        <v>1</v>
      </c>
      <c r="H585" s="97">
        <f>IF(AV!$H35="","",AV!$H35)</f>
        <v>1</v>
      </c>
      <c r="I585" s="29" t="str">
        <f t="shared" si="143"/>
        <v>Richtig!</v>
      </c>
      <c r="J585" s="30" t="str">
        <f t="shared" si="144"/>
        <v>-</v>
      </c>
      <c r="K585" s="23" t="str">
        <f t="shared" si="126"/>
        <v/>
      </c>
      <c r="L585" s="24" t="str">
        <f t="shared" si="145"/>
        <v/>
      </c>
      <c r="N585" s="882"/>
      <c r="P585" s="31">
        <f t="shared" si="131"/>
        <v>1</v>
      </c>
      <c r="Q585" s="27" t="str">
        <f t="shared" si="127"/>
        <v/>
      </c>
      <c r="R585" s="32">
        <f t="shared" si="128"/>
        <v>1</v>
      </c>
      <c r="S585" s="1" t="str">
        <f t="shared" si="129"/>
        <v/>
      </c>
      <c r="T585" s="97">
        <f t="shared" si="130"/>
        <v>1</v>
      </c>
    </row>
    <row r="586" spans="1:20" ht="12.75" x14ac:dyDescent="0.2">
      <c r="A586" s="18"/>
      <c r="B586" s="36" t="str">
        <f>IF('[1]E-AV'!B36="","-",'[1]E-AV'!B36)</f>
        <v>Motorsäge</v>
      </c>
      <c r="C586" s="93" t="str">
        <f t="shared" si="142"/>
        <v>Zeitw.  1. Jän.</v>
      </c>
      <c r="D586" s="31">
        <f>IF('[1]E-AV'!$H36="","",'[1]E-AV'!$H36)</f>
        <v>1</v>
      </c>
      <c r="E586" s="27"/>
      <c r="F586" s="32" t="str">
        <f>IF(OR(AV!I36="",AV!I36="noch leer",AV!G36="",AV!G36="noch leer"),"-",IF(AV!I36=0,1,AV!E36-AV!I36*AV!G36))</f>
        <v>-</v>
      </c>
      <c r="H586" s="97" t="str">
        <f>IF(AV!$H36="","",AV!$H36)</f>
        <v/>
      </c>
      <c r="I586" s="29" t="str">
        <f t="shared" si="143"/>
        <v>Fehlt</v>
      </c>
      <c r="J586" s="30">
        <f t="shared" si="144"/>
        <v>0</v>
      </c>
      <c r="K586" s="23" t="str">
        <f t="shared" si="126"/>
        <v>│</v>
      </c>
      <c r="L586" s="24">
        <f t="shared" si="145"/>
        <v>1</v>
      </c>
      <c r="N586" s="882" t="str">
        <f>IF($L$1="","",$L$1)</f>
        <v>x</v>
      </c>
      <c r="P586" s="31">
        <f t="shared" si="131"/>
        <v>1</v>
      </c>
      <c r="Q586" s="27" t="str">
        <f t="shared" ref="Q586:Q649" si="146">IF(ISTEXT(E586),E586,IF(E586="","",ROUND(E586,$R$1)))</f>
        <v/>
      </c>
      <c r="R586" s="32" t="str">
        <f t="shared" ref="R586:R649" si="147">IF(ISTEXT(F586),F586,IF(F586="","",ROUND(F586,$R$1)))</f>
        <v>-</v>
      </c>
      <c r="S586" s="1" t="str">
        <f t="shared" ref="S586:S649" si="148">IF(ISTEXT(G586),G586,IF(G586="","",ROUND(G586,$R$1)))</f>
        <v/>
      </c>
      <c r="T586" s="97" t="str">
        <f t="shared" ref="T586:T649" si="149">IF(ISTEXT(H586),H586,IF(H586="","",ROUND(H586,$R$1)))</f>
        <v/>
      </c>
    </row>
    <row r="587" spans="1:20" ht="12.75" hidden="1" customHeight="1" x14ac:dyDescent="0.2">
      <c r="A587" s="18"/>
      <c r="B587" s="36" t="str">
        <f>IF('[1]E-AV'!B37="","-",'[1]E-AV'!B37)</f>
        <v>Pflug</v>
      </c>
      <c r="C587" s="93" t="str">
        <f t="shared" si="142"/>
        <v>Zeitw.  1. Jän.</v>
      </c>
      <c r="D587" s="31">
        <f>IF('[1]E-AV'!$H37="","",'[1]E-AV'!$H37)</f>
        <v>1</v>
      </c>
      <c r="E587" s="27"/>
      <c r="F587" s="32">
        <f>IF(OR(AV!I37="",AV!I37="noch leer",AV!G37="",AV!G37="noch leer"),"-",IF(AV!I37=0,1,AV!E37-AV!I37*AV!G37))</f>
        <v>1</v>
      </c>
      <c r="H587" s="97">
        <f>IF(AV!$H37="","",AV!$H37)</f>
        <v>1</v>
      </c>
      <c r="I587" s="29" t="str">
        <f t="shared" si="143"/>
        <v>Richtig!</v>
      </c>
      <c r="J587" s="30" t="str">
        <f t="shared" si="144"/>
        <v>-</v>
      </c>
      <c r="K587" s="23" t="str">
        <f t="shared" ref="K587:K652" si="150">IF(L587="","","│")</f>
        <v/>
      </c>
      <c r="L587" s="24" t="str">
        <f t="shared" si="145"/>
        <v/>
      </c>
      <c r="N587" s="882"/>
      <c r="P587" s="31">
        <f t="shared" ref="P587:P650" si="151">IF(ISTEXT(D587),D587,IF(D587="","",ROUND(D587,$R$1)))</f>
        <v>1</v>
      </c>
      <c r="Q587" s="27" t="str">
        <f t="shared" si="146"/>
        <v/>
      </c>
      <c r="R587" s="32">
        <f t="shared" si="147"/>
        <v>1</v>
      </c>
      <c r="S587" s="1" t="str">
        <f t="shared" si="148"/>
        <v/>
      </c>
      <c r="T587" s="97">
        <f t="shared" si="149"/>
        <v>1</v>
      </c>
    </row>
    <row r="588" spans="1:20" ht="12.75" hidden="1" customHeight="1" x14ac:dyDescent="0.2">
      <c r="A588" s="18"/>
      <c r="B588" s="36" t="str">
        <f>IF('[1]E-AV'!B38="","-",'[1]E-AV'!B38)</f>
        <v>Ackerschleppe</v>
      </c>
      <c r="C588" s="93" t="str">
        <f t="shared" si="142"/>
        <v>Zeitw.  1. Jän.</v>
      </c>
      <c r="D588" s="31">
        <f>IF('[1]E-AV'!$H38="","",'[1]E-AV'!$H38)</f>
        <v>1</v>
      </c>
      <c r="E588" s="27"/>
      <c r="F588" s="32">
        <f>IF(OR(AV!I38="",AV!I38="noch leer",AV!G38="",AV!G38="noch leer"),"-",IF(AV!I38=0,1,AV!E38-AV!I38*AV!G38))</f>
        <v>1</v>
      </c>
      <c r="H588" s="97">
        <f>IF(AV!$H38="","",AV!$H38)</f>
        <v>1</v>
      </c>
      <c r="I588" s="29" t="str">
        <f t="shared" si="143"/>
        <v>Richtig!</v>
      </c>
      <c r="J588" s="30" t="str">
        <f t="shared" si="144"/>
        <v>-</v>
      </c>
      <c r="K588" s="23" t="str">
        <f t="shared" si="150"/>
        <v/>
      </c>
      <c r="L588" s="24" t="str">
        <f t="shared" si="145"/>
        <v/>
      </c>
      <c r="N588" s="882"/>
      <c r="P588" s="31">
        <f t="shared" si="151"/>
        <v>1</v>
      </c>
      <c r="Q588" s="27" t="str">
        <f t="shared" si="146"/>
        <v/>
      </c>
      <c r="R588" s="32">
        <f t="shared" si="147"/>
        <v>1</v>
      </c>
      <c r="S588" s="1" t="str">
        <f t="shared" si="148"/>
        <v/>
      </c>
      <c r="T588" s="97">
        <f t="shared" si="149"/>
        <v>1</v>
      </c>
    </row>
    <row r="589" spans="1:20" ht="12.75" hidden="1" customHeight="1" x14ac:dyDescent="0.2">
      <c r="A589" s="18"/>
      <c r="B589" s="36" t="str">
        <f>IF('[1]E-AV'!B39="","-",'[1]E-AV'!B39)</f>
        <v>Frontlader</v>
      </c>
      <c r="C589" s="93" t="str">
        <f t="shared" si="142"/>
        <v>Zeitw.  1. Jän.</v>
      </c>
      <c r="D589" s="31">
        <f>IF('[1]E-AV'!$H39="","",'[1]E-AV'!$H39)</f>
        <v>1</v>
      </c>
      <c r="E589" s="27"/>
      <c r="F589" s="32">
        <f>IF(OR(AV!I39="",AV!I39="noch leer",AV!G39="",AV!G39="noch leer"),"-",IF(AV!I39=0,1,AV!E39-AV!I39*AV!G39))</f>
        <v>1</v>
      </c>
      <c r="H589" s="97">
        <f>IF(AV!$H39="","",AV!$H39)</f>
        <v>1</v>
      </c>
      <c r="I589" s="29" t="str">
        <f t="shared" si="143"/>
        <v>Richtig!</v>
      </c>
      <c r="J589" s="30" t="str">
        <f t="shared" si="144"/>
        <v>-</v>
      </c>
      <c r="K589" s="23" t="str">
        <f t="shared" si="150"/>
        <v/>
      </c>
      <c r="L589" s="24" t="str">
        <f t="shared" si="145"/>
        <v/>
      </c>
      <c r="N589" s="882"/>
      <c r="P589" s="31">
        <f t="shared" si="151"/>
        <v>1</v>
      </c>
      <c r="Q589" s="27" t="str">
        <f t="shared" si="146"/>
        <v/>
      </c>
      <c r="R589" s="32">
        <f t="shared" si="147"/>
        <v>1</v>
      </c>
      <c r="S589" s="1" t="str">
        <f t="shared" si="148"/>
        <v/>
      </c>
      <c r="T589" s="97">
        <f t="shared" si="149"/>
        <v>1</v>
      </c>
    </row>
    <row r="590" spans="1:20" ht="12.75" hidden="1" customHeight="1" x14ac:dyDescent="0.2">
      <c r="A590" s="18"/>
      <c r="B590" s="36" t="str">
        <f>IF('[1]E-AV'!B40="","-",'[1]E-AV'!B40)</f>
        <v>-</v>
      </c>
      <c r="C590" s="93" t="str">
        <f t="shared" si="142"/>
        <v>Zeitw.  1. Jän.</v>
      </c>
      <c r="D590" s="31" t="str">
        <f>IF('[1]E-AV'!$H40="","",'[1]E-AV'!$H40)</f>
        <v/>
      </c>
      <c r="E590" s="27"/>
      <c r="F590" s="32" t="str">
        <f>IF(OR(AV!I40="",AV!I40="noch leer",AV!G40="",AV!G40="noch leer"),"-",IF(AV!I40=0,1,AV!E40-AV!I40*AV!G40))</f>
        <v>-</v>
      </c>
      <c r="H590" s="97" t="str">
        <f>IF(AV!$H40="","",AV!$H40)</f>
        <v/>
      </c>
      <c r="I590" s="29" t="str">
        <f t="shared" si="143"/>
        <v>Richtig!</v>
      </c>
      <c r="J590" s="30" t="str">
        <f t="shared" si="144"/>
        <v>-</v>
      </c>
      <c r="K590" s="23" t="str">
        <f t="shared" si="150"/>
        <v/>
      </c>
      <c r="L590" s="24" t="str">
        <f t="shared" si="145"/>
        <v/>
      </c>
      <c r="N590" s="882"/>
      <c r="P590" s="31" t="str">
        <f t="shared" si="151"/>
        <v/>
      </c>
      <c r="Q590" s="27" t="str">
        <f t="shared" si="146"/>
        <v/>
      </c>
      <c r="R590" s="32" t="str">
        <f t="shared" si="147"/>
        <v>-</v>
      </c>
      <c r="S590" s="1" t="str">
        <f t="shared" si="148"/>
        <v/>
      </c>
      <c r="T590" s="97" t="str">
        <f t="shared" si="149"/>
        <v/>
      </c>
    </row>
    <row r="591" spans="1:20" ht="12.75" x14ac:dyDescent="0.2">
      <c r="A591" s="18"/>
      <c r="B591" s="92" t="str">
        <f>IF('[1]E-AV'!B41="","-",'[1]E-AV'!B41)</f>
        <v>Summe Maschinen und Geräte</v>
      </c>
      <c r="C591" s="93" t="str">
        <f t="shared" si="142"/>
        <v>Zeitw.  1. Jän.</v>
      </c>
      <c r="D591" s="31">
        <f>IF('[1]E-AV'!$H41="","",'[1]E-AV'!$H41)</f>
        <v>28323.954166666666</v>
      </c>
      <c r="E591" s="27"/>
      <c r="F591" s="32">
        <f>IF(AND(H571="",H572="",H573="",H574="",H575="",H576="",H577="",H578="",H579="",H580="",H581="",H582="",H583="",H584="",H585="",H586="",H587="",H588="",H589="",H590=""),"-",SUM(H571:H590))</f>
        <v>7798.4333333333325</v>
      </c>
      <c r="H591" s="97" t="str">
        <f>IF(AV!$H41="","",AV!$H41)</f>
        <v/>
      </c>
      <c r="I591" s="29" t="str">
        <f t="shared" si="143"/>
        <v>Fehlt</v>
      </c>
      <c r="J591" s="30">
        <f t="shared" si="144"/>
        <v>0</v>
      </c>
      <c r="K591" s="23" t="str">
        <f t="shared" si="150"/>
        <v>│</v>
      </c>
      <c r="L591" s="24">
        <f t="shared" si="145"/>
        <v>1</v>
      </c>
      <c r="N591" s="882" t="str">
        <f>IF($L$1="","",$L$1)</f>
        <v>x</v>
      </c>
      <c r="P591" s="31">
        <f t="shared" si="151"/>
        <v>28323.954170000001</v>
      </c>
      <c r="Q591" s="27" t="str">
        <f t="shared" si="146"/>
        <v/>
      </c>
      <c r="R591" s="32">
        <f t="shared" si="147"/>
        <v>7798.4333299999998</v>
      </c>
      <c r="S591" s="1" t="str">
        <f t="shared" si="148"/>
        <v/>
      </c>
      <c r="T591" s="97" t="str">
        <f t="shared" si="149"/>
        <v/>
      </c>
    </row>
    <row r="592" spans="1:20" ht="12.75" x14ac:dyDescent="0.2">
      <c r="A592" s="18"/>
      <c r="B592" s="18"/>
      <c r="C592" s="18"/>
      <c r="D592" s="19"/>
      <c r="H592" s="17"/>
      <c r="I592" s="21"/>
      <c r="J592" s="21"/>
      <c r="K592" s="23"/>
      <c r="L592" s="24" t="str">
        <f t="shared" si="145"/>
        <v/>
      </c>
      <c r="N592" s="883" t="str">
        <f>IF($L$1="","",$L$1)</f>
        <v>x</v>
      </c>
      <c r="P592" s="19" t="str">
        <f t="shared" si="151"/>
        <v/>
      </c>
      <c r="Q592" s="1" t="str">
        <f t="shared" si="146"/>
        <v/>
      </c>
      <c r="R592" s="1" t="str">
        <f t="shared" si="147"/>
        <v/>
      </c>
      <c r="S592" s="1" t="str">
        <f t="shared" si="148"/>
        <v/>
      </c>
      <c r="T592" s="17" t="str">
        <f t="shared" si="149"/>
        <v/>
      </c>
    </row>
    <row r="593" spans="1:20" ht="12.75" x14ac:dyDescent="0.2">
      <c r="A593" s="17" t="s">
        <v>14</v>
      </c>
      <c r="B593" s="17" t="s">
        <v>65</v>
      </c>
      <c r="C593" s="18"/>
      <c r="D593" s="19" t="str">
        <f>IF('[1]E-AV'!$G42="","",'[1]E-AV'!$G42)</f>
        <v/>
      </c>
      <c r="H593" s="17" t="str">
        <f>IF(AV!$G42="","",AV!$G42)</f>
        <v/>
      </c>
      <c r="I593" s="21"/>
      <c r="J593" s="21"/>
      <c r="K593" s="23" t="str">
        <f t="shared" si="150"/>
        <v/>
      </c>
      <c r="L593" s="24" t="str">
        <f t="shared" si="145"/>
        <v/>
      </c>
      <c r="N593" s="880" t="str">
        <f>IF($L$1="","",$L$1)</f>
        <v>x</v>
      </c>
      <c r="P593" s="19" t="str">
        <f t="shared" si="151"/>
        <v/>
      </c>
      <c r="Q593" s="1" t="str">
        <f t="shared" si="146"/>
        <v/>
      </c>
      <c r="R593" s="1" t="str">
        <f t="shared" si="147"/>
        <v/>
      </c>
      <c r="S593" s="1" t="str">
        <f t="shared" si="148"/>
        <v/>
      </c>
      <c r="T593" s="17" t="str">
        <f t="shared" si="149"/>
        <v/>
      </c>
    </row>
    <row r="594" spans="1:20" ht="12.75" x14ac:dyDescent="0.2">
      <c r="B594" s="95" t="str">
        <f>IF('[1]E-AV'!B6="","-",'[1]E-AV'!B6)</f>
        <v>Grundverbesserungen</v>
      </c>
      <c r="C594" s="42"/>
      <c r="D594" s="19"/>
      <c r="H594" s="17"/>
      <c r="I594" s="29"/>
      <c r="J594" s="29"/>
      <c r="K594" s="23" t="str">
        <f t="shared" si="150"/>
        <v/>
      </c>
      <c r="L594" s="24" t="str">
        <f t="shared" si="145"/>
        <v/>
      </c>
      <c r="N594" s="880" t="str">
        <f>IF($L$1="","",$L$1)</f>
        <v>x</v>
      </c>
      <c r="P594" s="19" t="str">
        <f t="shared" si="151"/>
        <v/>
      </c>
      <c r="Q594" s="1" t="str">
        <f t="shared" si="146"/>
        <v/>
      </c>
      <c r="R594" s="1" t="str">
        <f t="shared" si="147"/>
        <v/>
      </c>
      <c r="S594" s="1" t="str">
        <f t="shared" si="148"/>
        <v/>
      </c>
      <c r="T594" s="17" t="str">
        <f t="shared" si="149"/>
        <v/>
      </c>
    </row>
    <row r="595" spans="1:20" ht="12.75" hidden="1" customHeight="1" x14ac:dyDescent="0.2">
      <c r="A595" s="18"/>
      <c r="B595" s="3" t="str">
        <f>IF('[1]E-AV'!B7="","-",'[1]E-AV'!B7)</f>
        <v>Fixe Bewässerungsanlage</v>
      </c>
      <c r="C595" s="93" t="str">
        <f>MID($B$593,1,5)&amp;". "&amp;MID($B$593,10,7)</f>
        <v>Jährl.  Afa</v>
      </c>
      <c r="D595" s="26">
        <f>IF('[1]E-AV'!$I7="","",'[1]E-AV'!$I7)</f>
        <v>0</v>
      </c>
      <c r="E595" s="27"/>
      <c r="F595" s="27"/>
      <c r="H595" s="94">
        <f>IF(AV!$I7="","",AV!$I7)</f>
        <v>0</v>
      </c>
      <c r="I595" s="29" t="str">
        <f>IF(OR(B594="-",AND(P595="",T595="")),"",IF(T595=P595,"Richtig!",IF(T595="","Fehlt","Falsch")))</f>
        <v>Richtig!</v>
      </c>
      <c r="J595" s="30" t="str">
        <f>IF(OR(B595="-",N595="",AND(P595="",T595="")),"-",IF(I595="Richtig!",1,IF(I595="Formel: OK",0.5,IF(OR(I595="Falsch",I595="Fehlt"),0,""))))</f>
        <v>-</v>
      </c>
      <c r="K595" s="23" t="str">
        <f t="shared" si="150"/>
        <v/>
      </c>
      <c r="L595" s="24" t="str">
        <f t="shared" si="145"/>
        <v/>
      </c>
      <c r="N595" s="882"/>
      <c r="P595" s="26">
        <f t="shared" si="151"/>
        <v>0</v>
      </c>
      <c r="Q595" s="27" t="str">
        <f t="shared" si="146"/>
        <v/>
      </c>
      <c r="R595" s="27" t="str">
        <f t="shared" si="147"/>
        <v/>
      </c>
      <c r="S595" s="1" t="str">
        <f t="shared" si="148"/>
        <v/>
      </c>
      <c r="T595" s="94">
        <f t="shared" si="149"/>
        <v>0</v>
      </c>
    </row>
    <row r="596" spans="1:20" ht="12.75" hidden="1" customHeight="1" x14ac:dyDescent="0.2">
      <c r="A596" s="18"/>
      <c r="B596" s="3" t="str">
        <f>IF('[1]E-AV'!B8="","-",'[1]E-AV'!B8)</f>
        <v>-</v>
      </c>
      <c r="C596" s="93" t="str">
        <f>MID($B$593,1,5)&amp;". "&amp;MID($B$593,10,7)</f>
        <v>Jährl.  Afa</v>
      </c>
      <c r="D596" s="26" t="str">
        <f>IF('[1]E-AV'!$I8="","",'[1]E-AV'!$I8)</f>
        <v/>
      </c>
      <c r="E596" s="27"/>
      <c r="F596" s="27"/>
      <c r="H596" s="94" t="str">
        <f>IF(AV!$I8="","",AV!$I8)</f>
        <v/>
      </c>
      <c r="I596" s="29" t="str">
        <f>IF(OR(B595="-",AND(P596="",T596="")),"",IF(T596=P596,"Richtig!",IF(T596="","Fehlt","Falsch")))</f>
        <v/>
      </c>
      <c r="J596" s="30" t="str">
        <f>IF(OR(B596="-",N596="",AND(P596="",T596="")),"-",IF(I596="Richtig!",1,IF(I596="Formel: OK",0.5,IF(OR(I596="Falsch",I596="Fehlt"),0,""))))</f>
        <v>-</v>
      </c>
      <c r="K596" s="23" t="str">
        <f t="shared" si="150"/>
        <v/>
      </c>
      <c r="L596" s="24" t="str">
        <f t="shared" si="145"/>
        <v/>
      </c>
      <c r="N596" s="882"/>
      <c r="P596" s="26" t="str">
        <f t="shared" si="151"/>
        <v/>
      </c>
      <c r="Q596" s="27" t="str">
        <f t="shared" si="146"/>
        <v/>
      </c>
      <c r="R596" s="27" t="str">
        <f t="shared" si="147"/>
        <v/>
      </c>
      <c r="S596" s="1" t="str">
        <f t="shared" si="148"/>
        <v/>
      </c>
      <c r="T596" s="94" t="str">
        <f t="shared" si="149"/>
        <v/>
      </c>
    </row>
    <row r="597" spans="1:20" ht="12.75" x14ac:dyDescent="0.2">
      <c r="A597" s="18"/>
      <c r="B597" s="92" t="str">
        <f>IF('[1]E-AV'!B9="","-",'[1]E-AV'!B9)</f>
        <v>Summe Grundverbesserungen</v>
      </c>
      <c r="C597" s="93" t="str">
        <f>MID($B$593,1,5)&amp;". "&amp;MID($B$593,10,7)</f>
        <v>Jährl.  Afa</v>
      </c>
      <c r="D597" s="31">
        <f>IF('[1]E-AV'!$I9="","",'[1]E-AV'!$I9)</f>
        <v>0</v>
      </c>
      <c r="E597" s="27"/>
      <c r="F597" s="32">
        <f>IF(AND(H595="",H596=""),"-",SUM(H595:H596))</f>
        <v>0</v>
      </c>
      <c r="H597" s="97" t="str">
        <f>IF(AV!$I9="","",AV!$I9)</f>
        <v/>
      </c>
      <c r="I597" s="29" t="str">
        <f>IF(B597="","",IF(T597=P597,"Richtig!",IF(AND(P597&lt;&gt;T597,R597=T597),"Formel: OK",IF(T597="","Fehlt","Falsch"))))</f>
        <v>Fehlt</v>
      </c>
      <c r="J597" s="30">
        <f>IF(OR(B597="-",N597="",AND(P597="",T597="")),"-",IF(I597="Richtig!",1,IF(I597="Formel: OK",0.5,IF(OR(I597="Falsch",I597="Fehlt"),0,""))))</f>
        <v>0</v>
      </c>
      <c r="K597" s="23" t="str">
        <f t="shared" si="150"/>
        <v>│</v>
      </c>
      <c r="L597" s="24">
        <f t="shared" si="145"/>
        <v>1</v>
      </c>
      <c r="N597" s="882" t="str">
        <f>IF($L$1="","",$L$1)</f>
        <v>x</v>
      </c>
      <c r="P597" s="31">
        <f t="shared" si="151"/>
        <v>0</v>
      </c>
      <c r="Q597" s="27" t="str">
        <f t="shared" si="146"/>
        <v/>
      </c>
      <c r="R597" s="32">
        <f t="shared" si="147"/>
        <v>0</v>
      </c>
      <c r="S597" s="1" t="str">
        <f t="shared" si="148"/>
        <v/>
      </c>
      <c r="T597" s="97" t="str">
        <f t="shared" si="149"/>
        <v/>
      </c>
    </row>
    <row r="598" spans="1:20" ht="12.75" x14ac:dyDescent="0.2">
      <c r="B598" s="95" t="str">
        <f>IF('[1]E-AV'!B10="","-",'[1]E-AV'!B10)</f>
        <v>Gebäude und bauliche Anlagen</v>
      </c>
      <c r="C598" s="93"/>
      <c r="D598" s="19"/>
      <c r="H598" s="17"/>
      <c r="I598" s="29"/>
      <c r="J598" s="29"/>
      <c r="K598" s="23" t="str">
        <f t="shared" si="150"/>
        <v/>
      </c>
      <c r="L598" s="24" t="str">
        <f t="shared" si="145"/>
        <v/>
      </c>
      <c r="N598" s="880" t="str">
        <f>IF($L$1="","",$L$1)</f>
        <v>x</v>
      </c>
      <c r="P598" s="19" t="str">
        <f t="shared" si="151"/>
        <v/>
      </c>
      <c r="Q598" s="1" t="str">
        <f t="shared" si="146"/>
        <v/>
      </c>
      <c r="R598" s="1" t="str">
        <f t="shared" si="147"/>
        <v/>
      </c>
      <c r="S598" s="1" t="str">
        <f t="shared" si="148"/>
        <v/>
      </c>
      <c r="T598" s="17" t="str">
        <f t="shared" si="149"/>
        <v/>
      </c>
    </row>
    <row r="599" spans="1:20" ht="12.75" x14ac:dyDescent="0.2">
      <c r="A599" s="18"/>
      <c r="B599" s="3" t="str">
        <f>IF('[1]E-AV'!B11="","-",'[1]E-AV'!B11)</f>
        <v>Schuppen</v>
      </c>
      <c r="C599" s="93" t="str">
        <f t="shared" ref="C599:C607" si="152">MID($B$593,1,5)&amp;". "&amp;MID($B$593,10,7)</f>
        <v>Jährl.  Afa</v>
      </c>
      <c r="D599" s="26">
        <f>IF('[1]E-AV'!$I11="","",'[1]E-AV'!$I11)</f>
        <v>861.96580645161293</v>
      </c>
      <c r="E599" s="27"/>
      <c r="F599" s="27"/>
      <c r="H599" s="94" t="str">
        <f>IF(AV!$I11="","",AV!$I11)</f>
        <v>noch leer</v>
      </c>
      <c r="I599" s="29" t="str">
        <f t="shared" ref="I599:I606" si="153">IF(OR(B598="-",AND(P599="",T599="")),"",IF(T599=P599,"Richtig!",IF(T599="","Fehlt","Falsch")))</f>
        <v>Falsch</v>
      </c>
      <c r="J599" s="30">
        <f t="shared" ref="J599:J607" si="154">IF(OR(B599="-",N599="",AND(P599="",T599="")),"-",IF(I599="Richtig!",1,IF(I599="Formel: OK",0.5,IF(OR(I599="Falsch",I599="Fehlt"),0,""))))</f>
        <v>0</v>
      </c>
      <c r="K599" s="23" t="str">
        <f t="shared" si="150"/>
        <v>│</v>
      </c>
      <c r="L599" s="24">
        <f t="shared" si="145"/>
        <v>1</v>
      </c>
      <c r="N599" s="882" t="str">
        <f>IF($L$1="","",$L$1)</f>
        <v>x</v>
      </c>
      <c r="P599" s="26">
        <f t="shared" si="151"/>
        <v>861.96581000000003</v>
      </c>
      <c r="Q599" s="27" t="str">
        <f t="shared" si="146"/>
        <v/>
      </c>
      <c r="R599" s="27" t="str">
        <f t="shared" si="147"/>
        <v/>
      </c>
      <c r="S599" s="1" t="str">
        <f t="shared" si="148"/>
        <v/>
      </c>
      <c r="T599" s="94" t="str">
        <f t="shared" si="149"/>
        <v>noch leer</v>
      </c>
    </row>
    <row r="600" spans="1:20" ht="12.75" x14ac:dyDescent="0.2">
      <c r="A600" s="18"/>
      <c r="B600" s="3" t="str">
        <f>IF('[1]E-AV'!B12="","-",'[1]E-AV'!B12)</f>
        <v>Masthühnerstall (Flachstall)</v>
      </c>
      <c r="C600" s="93" t="str">
        <f t="shared" si="152"/>
        <v>Jährl.  Afa</v>
      </c>
      <c r="D600" s="26">
        <f>IF('[1]E-AV'!$I12="","",'[1]E-AV'!$I12)</f>
        <v>856.80000000000007</v>
      </c>
      <c r="E600" s="27"/>
      <c r="F600" s="27"/>
      <c r="H600" s="94" t="str">
        <f>IF(AV!$I12="","",AV!$I12)</f>
        <v>noch leer</v>
      </c>
      <c r="I600" s="29" t="str">
        <f t="shared" si="153"/>
        <v>Falsch</v>
      </c>
      <c r="J600" s="30">
        <f t="shared" si="154"/>
        <v>0</v>
      </c>
      <c r="K600" s="23" t="str">
        <f t="shared" si="150"/>
        <v>│</v>
      </c>
      <c r="L600" s="24">
        <f t="shared" si="145"/>
        <v>1</v>
      </c>
      <c r="N600" s="882" t="str">
        <f>IF($L$1="","",$L$1)</f>
        <v>x</v>
      </c>
      <c r="P600" s="26">
        <f t="shared" si="151"/>
        <v>856.8</v>
      </c>
      <c r="Q600" s="27" t="str">
        <f t="shared" si="146"/>
        <v/>
      </c>
      <c r="R600" s="27" t="str">
        <f t="shared" si="147"/>
        <v/>
      </c>
      <c r="S600" s="1" t="str">
        <f t="shared" si="148"/>
        <v/>
      </c>
      <c r="T600" s="94" t="str">
        <f t="shared" si="149"/>
        <v>noch leer</v>
      </c>
    </row>
    <row r="601" spans="1:20" ht="12.75" hidden="1" customHeight="1" x14ac:dyDescent="0.2">
      <c r="A601" s="18"/>
      <c r="B601" s="3" t="str">
        <f>IF('[1]E-AV'!B13="","-",'[1]E-AV'!B13)</f>
        <v>Rinderstall mit Bergeraum</v>
      </c>
      <c r="C601" s="93" t="str">
        <f t="shared" si="152"/>
        <v>Jährl.  Afa</v>
      </c>
      <c r="D601" s="26">
        <f>IF('[1]E-AV'!$I13="","",'[1]E-AV'!$I13)</f>
        <v>2243.15</v>
      </c>
      <c r="E601" s="27"/>
      <c r="F601" s="27"/>
      <c r="H601" s="94">
        <f>IF(AV!$I13="","",AV!$I13)</f>
        <v>2243.15</v>
      </c>
      <c r="I601" s="29" t="str">
        <f t="shared" si="153"/>
        <v>Richtig!</v>
      </c>
      <c r="J601" s="30" t="str">
        <f t="shared" si="154"/>
        <v>-</v>
      </c>
      <c r="K601" s="23" t="str">
        <f t="shared" si="150"/>
        <v/>
      </c>
      <c r="L601" s="24" t="str">
        <f t="shared" si="145"/>
        <v/>
      </c>
      <c r="N601" s="882"/>
      <c r="P601" s="26">
        <f t="shared" si="151"/>
        <v>2243.15</v>
      </c>
      <c r="Q601" s="27" t="str">
        <f t="shared" si="146"/>
        <v/>
      </c>
      <c r="R601" s="27" t="str">
        <f t="shared" si="147"/>
        <v/>
      </c>
      <c r="S601" s="1" t="str">
        <f t="shared" si="148"/>
        <v/>
      </c>
      <c r="T601" s="94">
        <f t="shared" si="149"/>
        <v>2243.15</v>
      </c>
    </row>
    <row r="602" spans="1:20" ht="12.75" hidden="1" customHeight="1" x14ac:dyDescent="0.2">
      <c r="A602" s="18"/>
      <c r="B602" s="3" t="str">
        <f>IF('[1]E-AV'!B14="","-",'[1]E-AV'!B14)</f>
        <v>Verarbeitungsraum</v>
      </c>
      <c r="C602" s="93" t="str">
        <f t="shared" si="152"/>
        <v>Jährl.  Afa</v>
      </c>
      <c r="D602" s="26">
        <f>IF('[1]E-AV'!$I14="","",'[1]E-AV'!$I14)</f>
        <v>1051.96</v>
      </c>
      <c r="E602" s="27"/>
      <c r="F602" s="27"/>
      <c r="H602" s="94">
        <f>IF(AV!$I14="","",AV!$I14)</f>
        <v>1051.96</v>
      </c>
      <c r="I602" s="29" t="str">
        <f t="shared" si="153"/>
        <v>Richtig!</v>
      </c>
      <c r="J602" s="30" t="str">
        <f t="shared" si="154"/>
        <v>-</v>
      </c>
      <c r="K602" s="23" t="str">
        <f t="shared" si="150"/>
        <v/>
      </c>
      <c r="L602" s="24" t="str">
        <f t="shared" si="145"/>
        <v/>
      </c>
      <c r="N602" s="882"/>
      <c r="P602" s="26">
        <f t="shared" si="151"/>
        <v>1051.96</v>
      </c>
      <c r="Q602" s="27" t="str">
        <f t="shared" si="146"/>
        <v/>
      </c>
      <c r="R602" s="27" t="str">
        <f t="shared" si="147"/>
        <v/>
      </c>
      <c r="S602" s="1" t="str">
        <f t="shared" si="148"/>
        <v/>
      </c>
      <c r="T602" s="94">
        <f t="shared" si="149"/>
        <v>1051.96</v>
      </c>
    </row>
    <row r="603" spans="1:20" ht="12.75" hidden="1" customHeight="1" x14ac:dyDescent="0.2">
      <c r="A603" s="18"/>
      <c r="B603" s="3" t="str">
        <f>IF('[1]E-AV'!B15="","-",'[1]E-AV'!B15)</f>
        <v>Garage mit Lagerraum</v>
      </c>
      <c r="C603" s="93" t="str">
        <f t="shared" si="152"/>
        <v>Jährl.  Afa</v>
      </c>
      <c r="D603" s="26">
        <f>IF('[1]E-AV'!$I15="","",'[1]E-AV'!$I15)</f>
        <v>0</v>
      </c>
      <c r="E603" s="27"/>
      <c r="F603" s="27"/>
      <c r="H603" s="94">
        <f>IF(AV!$I15="","",AV!$I15)</f>
        <v>0</v>
      </c>
      <c r="I603" s="29" t="str">
        <f t="shared" si="153"/>
        <v>Richtig!</v>
      </c>
      <c r="J603" s="30" t="str">
        <f t="shared" si="154"/>
        <v>-</v>
      </c>
      <c r="K603" s="23" t="str">
        <f t="shared" si="150"/>
        <v/>
      </c>
      <c r="L603" s="24" t="str">
        <f t="shared" si="145"/>
        <v/>
      </c>
      <c r="N603" s="882"/>
      <c r="P603" s="26">
        <f t="shared" si="151"/>
        <v>0</v>
      </c>
      <c r="Q603" s="27" t="str">
        <f t="shared" si="146"/>
        <v/>
      </c>
      <c r="R603" s="27" t="str">
        <f t="shared" si="147"/>
        <v/>
      </c>
      <c r="S603" s="1" t="str">
        <f t="shared" si="148"/>
        <v/>
      </c>
      <c r="T603" s="94">
        <f t="shared" si="149"/>
        <v>0</v>
      </c>
    </row>
    <row r="604" spans="1:20" ht="12.75" hidden="1" customHeight="1" x14ac:dyDescent="0.2">
      <c r="A604" s="18"/>
      <c r="B604" s="3" t="str">
        <f>IF('[1]E-AV'!B16="","-",'[1]E-AV'!B16)</f>
        <v>-</v>
      </c>
      <c r="C604" s="93" t="str">
        <f t="shared" si="152"/>
        <v>Jährl.  Afa</v>
      </c>
      <c r="D604" s="26" t="str">
        <f>IF('[1]E-AV'!$I16="","",'[1]E-AV'!$I16)</f>
        <v/>
      </c>
      <c r="E604" s="27"/>
      <c r="F604" s="27"/>
      <c r="H604" s="94" t="str">
        <f>IF(AV!$I16="","",AV!$I16)</f>
        <v/>
      </c>
      <c r="I604" s="29" t="str">
        <f t="shared" si="153"/>
        <v/>
      </c>
      <c r="J604" s="30" t="str">
        <f t="shared" si="154"/>
        <v>-</v>
      </c>
      <c r="K604" s="23" t="str">
        <f t="shared" si="150"/>
        <v/>
      </c>
      <c r="L604" s="24" t="str">
        <f t="shared" si="145"/>
        <v/>
      </c>
      <c r="N604" s="882"/>
      <c r="P604" s="26" t="str">
        <f t="shared" si="151"/>
        <v/>
      </c>
      <c r="Q604" s="27" t="str">
        <f t="shared" si="146"/>
        <v/>
      </c>
      <c r="R604" s="27" t="str">
        <f t="shared" si="147"/>
        <v/>
      </c>
      <c r="S604" s="1" t="str">
        <f t="shared" si="148"/>
        <v/>
      </c>
      <c r="T604" s="94" t="str">
        <f t="shared" si="149"/>
        <v/>
      </c>
    </row>
    <row r="605" spans="1:20" ht="12.75" hidden="1" customHeight="1" x14ac:dyDescent="0.2">
      <c r="A605" s="18"/>
      <c r="B605" s="3" t="str">
        <f>IF('[1]E-AV'!B17="","-",'[1]E-AV'!B17)</f>
        <v>-</v>
      </c>
      <c r="C605" s="93" t="str">
        <f t="shared" si="152"/>
        <v>Jährl.  Afa</v>
      </c>
      <c r="D605" s="26" t="str">
        <f>IF('[1]E-AV'!$I17="","",'[1]E-AV'!$I17)</f>
        <v/>
      </c>
      <c r="E605" s="27"/>
      <c r="F605" s="27"/>
      <c r="H605" s="94" t="str">
        <f>IF(AV!$I17="","",AV!$I17)</f>
        <v/>
      </c>
      <c r="I605" s="29" t="str">
        <f t="shared" si="153"/>
        <v/>
      </c>
      <c r="J605" s="30" t="str">
        <f t="shared" si="154"/>
        <v>-</v>
      </c>
      <c r="K605" s="23" t="str">
        <f t="shared" si="150"/>
        <v/>
      </c>
      <c r="L605" s="24" t="str">
        <f t="shared" si="145"/>
        <v/>
      </c>
      <c r="N605" s="882"/>
      <c r="P605" s="26" t="str">
        <f t="shared" si="151"/>
        <v/>
      </c>
      <c r="Q605" s="27" t="str">
        <f t="shared" si="146"/>
        <v/>
      </c>
      <c r="R605" s="27" t="str">
        <f t="shared" si="147"/>
        <v/>
      </c>
      <c r="S605" s="1" t="str">
        <f t="shared" si="148"/>
        <v/>
      </c>
      <c r="T605" s="94" t="str">
        <f t="shared" si="149"/>
        <v/>
      </c>
    </row>
    <row r="606" spans="1:20" ht="12.75" hidden="1" customHeight="1" x14ac:dyDescent="0.2">
      <c r="A606" s="18"/>
      <c r="B606" s="3" t="str">
        <f>IF('[1]E-AV'!B18="","-",'[1]E-AV'!B18)</f>
        <v>-</v>
      </c>
      <c r="C606" s="93" t="str">
        <f t="shared" si="152"/>
        <v>Jährl.  Afa</v>
      </c>
      <c r="D606" s="26" t="str">
        <f>IF('[1]E-AV'!$I18="","",'[1]E-AV'!$I18)</f>
        <v/>
      </c>
      <c r="E606" s="27"/>
      <c r="F606" s="27"/>
      <c r="H606" s="94" t="str">
        <f>IF(AV!$I18="","",AV!$I18)</f>
        <v/>
      </c>
      <c r="I606" s="29" t="str">
        <f t="shared" si="153"/>
        <v/>
      </c>
      <c r="J606" s="30" t="str">
        <f t="shared" si="154"/>
        <v>-</v>
      </c>
      <c r="K606" s="23" t="str">
        <f t="shared" si="150"/>
        <v/>
      </c>
      <c r="L606" s="24" t="str">
        <f t="shared" si="145"/>
        <v/>
      </c>
      <c r="N606" s="882"/>
      <c r="P606" s="26" t="str">
        <f t="shared" si="151"/>
        <v/>
      </c>
      <c r="Q606" s="27" t="str">
        <f t="shared" si="146"/>
        <v/>
      </c>
      <c r="R606" s="27" t="str">
        <f t="shared" si="147"/>
        <v/>
      </c>
      <c r="S606" s="1" t="str">
        <f t="shared" si="148"/>
        <v/>
      </c>
      <c r="T606" s="94" t="str">
        <f t="shared" si="149"/>
        <v/>
      </c>
    </row>
    <row r="607" spans="1:20" ht="12.75" x14ac:dyDescent="0.2">
      <c r="A607" s="18"/>
      <c r="B607" s="92" t="str">
        <f>IF('[1]E-AV'!B19="","-",'[1]E-AV'!B19)</f>
        <v>Summe Gebäude und bauliche Anlagen</v>
      </c>
      <c r="C607" s="93" t="str">
        <f t="shared" si="152"/>
        <v>Jährl.  Afa</v>
      </c>
      <c r="D607" s="31">
        <f>IF('[1]E-AV'!$I19="","",'[1]E-AV'!$I19)</f>
        <v>5013.8758064516132</v>
      </c>
      <c r="E607" s="27"/>
      <c r="F607" s="32">
        <f>IF(AND(H599="",H600="",H601="",H602="",H603="",H604="",H605="",H606=""),"-",SUM(H599:H606))</f>
        <v>3295.11</v>
      </c>
      <c r="H607" s="97" t="str">
        <f>IF(AV!$I19="","",AV!$I19)</f>
        <v/>
      </c>
      <c r="I607" s="29" t="str">
        <f>IF(B607="","",IF(T607=P607,"Richtig!",IF(AND(P607&lt;&gt;T607,R607=T607),"Formel: OK",IF(T607="","Fehlt","Falsch"))))</f>
        <v>Fehlt</v>
      </c>
      <c r="J607" s="30">
        <f t="shared" si="154"/>
        <v>0</v>
      </c>
      <c r="K607" s="23" t="str">
        <f t="shared" si="150"/>
        <v>│</v>
      </c>
      <c r="L607" s="24">
        <f t="shared" si="145"/>
        <v>1</v>
      </c>
      <c r="N607" s="882" t="str">
        <f>IF($L$1="","",$L$1)</f>
        <v>x</v>
      </c>
      <c r="P607" s="31">
        <f t="shared" si="151"/>
        <v>5013.8758099999995</v>
      </c>
      <c r="Q607" s="27" t="str">
        <f t="shared" si="146"/>
        <v/>
      </c>
      <c r="R607" s="32">
        <f t="shared" si="147"/>
        <v>3295.11</v>
      </c>
      <c r="S607" s="1" t="str">
        <f t="shared" si="148"/>
        <v/>
      </c>
      <c r="T607" s="97" t="str">
        <f t="shared" si="149"/>
        <v/>
      </c>
    </row>
    <row r="608" spans="1:20" ht="12.75" x14ac:dyDescent="0.2">
      <c r="B608" s="95" t="str">
        <f>IF('[1]E-AV'!B20="","-",'[1]E-AV'!B20)</f>
        <v>Maschinen und Geräte</v>
      </c>
      <c r="C608" s="93"/>
      <c r="D608" s="19"/>
      <c r="H608" s="17"/>
      <c r="I608" s="29"/>
      <c r="J608" s="29"/>
      <c r="K608" s="23" t="str">
        <f t="shared" si="150"/>
        <v/>
      </c>
      <c r="L608" s="24" t="str">
        <f t="shared" si="145"/>
        <v/>
      </c>
      <c r="N608" s="880" t="str">
        <f>IF($L$1="","",$L$1)</f>
        <v>x</v>
      </c>
      <c r="P608" s="19" t="str">
        <f t="shared" si="151"/>
        <v/>
      </c>
      <c r="Q608" s="1" t="str">
        <f t="shared" si="146"/>
        <v/>
      </c>
      <c r="R608" s="1" t="str">
        <f t="shared" si="147"/>
        <v/>
      </c>
      <c r="S608" s="1" t="str">
        <f t="shared" si="148"/>
        <v/>
      </c>
      <c r="T608" s="17" t="str">
        <f t="shared" si="149"/>
        <v/>
      </c>
    </row>
    <row r="609" spans="1:20" ht="12.75" hidden="1" customHeight="1" x14ac:dyDescent="0.2">
      <c r="A609" s="18"/>
      <c r="B609" s="3" t="str">
        <f>IF('[1]E-AV'!B21="","-",'[1]E-AV'!B21)</f>
        <v>Allradtraktor</v>
      </c>
      <c r="C609" s="93" t="str">
        <f t="shared" ref="C609:C629" si="155">MID($B$593,1,5)&amp;". "&amp;MID($B$593,10,7)</f>
        <v>Jährl.  Afa</v>
      </c>
      <c r="D609" s="26">
        <f>IF('[1]E-AV'!$I21="","",'[1]E-AV'!$I21)</f>
        <v>1904.6666666666667</v>
      </c>
      <c r="E609" s="27"/>
      <c r="F609" s="27"/>
      <c r="H609" s="94" t="str">
        <f>IF(AV!$I21="","",AV!$I21)</f>
        <v>noch leer</v>
      </c>
      <c r="I609" s="29" t="str">
        <f t="shared" ref="I609:I628" si="156">IF(OR(B609="-",AND(P609="",T609="")),"",IF(T609=P609,"Richtig!",IF(T609="","Fehlt","Falsch")))</f>
        <v>Falsch</v>
      </c>
      <c r="J609" s="30" t="str">
        <f t="shared" ref="J609:J629" si="157">IF(OR(B609="-",N609="",AND(P609="",T609="")),"-",IF(I609="Richtig!",1,IF(I609="Formel: OK",0.5,IF(OR(I609="Falsch",I609="Fehlt"),0,""))))</f>
        <v>-</v>
      </c>
      <c r="K609" s="23" t="str">
        <f t="shared" si="150"/>
        <v/>
      </c>
      <c r="L609" s="24" t="str">
        <f t="shared" si="145"/>
        <v/>
      </c>
      <c r="N609" s="882"/>
      <c r="P609" s="26">
        <f t="shared" si="151"/>
        <v>1904.6666700000001</v>
      </c>
      <c r="Q609" s="27" t="str">
        <f t="shared" si="146"/>
        <v/>
      </c>
      <c r="R609" s="27" t="str">
        <f t="shared" si="147"/>
        <v/>
      </c>
      <c r="S609" s="1" t="str">
        <f t="shared" si="148"/>
        <v/>
      </c>
      <c r="T609" s="94" t="str">
        <f t="shared" si="149"/>
        <v>noch leer</v>
      </c>
    </row>
    <row r="610" spans="1:20" ht="12.75" hidden="1" customHeight="1" x14ac:dyDescent="0.2">
      <c r="A610" s="18"/>
      <c r="B610" s="3" t="str">
        <f>IF('[1]E-AV'!B22="","-",'[1]E-AV'!B22)</f>
        <v>Standardtraktor</v>
      </c>
      <c r="C610" s="93" t="str">
        <f t="shared" si="155"/>
        <v>Jährl.  Afa</v>
      </c>
      <c r="D610" s="26">
        <f>IF('[1]E-AV'!$I22="","",'[1]E-AV'!$I22)</f>
        <v>1103.375</v>
      </c>
      <c r="E610" s="27"/>
      <c r="F610" s="27"/>
      <c r="H610" s="94">
        <f>IF(AV!$I22="","",AV!$I22)</f>
        <v>1103.375</v>
      </c>
      <c r="I610" s="29" t="str">
        <f t="shared" si="156"/>
        <v>Richtig!</v>
      </c>
      <c r="J610" s="30" t="str">
        <f t="shared" si="157"/>
        <v>-</v>
      </c>
      <c r="K610" s="23" t="str">
        <f t="shared" si="150"/>
        <v/>
      </c>
      <c r="L610" s="24" t="str">
        <f t="shared" si="145"/>
        <v/>
      </c>
      <c r="N610" s="882"/>
      <c r="P610" s="26">
        <f t="shared" si="151"/>
        <v>1103.375</v>
      </c>
      <c r="Q610" s="27" t="str">
        <f t="shared" si="146"/>
        <v/>
      </c>
      <c r="R610" s="27" t="str">
        <f t="shared" si="147"/>
        <v/>
      </c>
      <c r="S610" s="1" t="str">
        <f t="shared" si="148"/>
        <v/>
      </c>
      <c r="T610" s="94">
        <f t="shared" si="149"/>
        <v>1103.375</v>
      </c>
    </row>
    <row r="611" spans="1:20" ht="12.75" hidden="1" customHeight="1" x14ac:dyDescent="0.2">
      <c r="A611" s="18"/>
      <c r="B611" s="3" t="str">
        <f>IF('[1]E-AV'!B23="","-",'[1]E-AV'!B23)</f>
        <v>-</v>
      </c>
      <c r="C611" s="93" t="str">
        <f t="shared" si="155"/>
        <v>Jährl.  Afa</v>
      </c>
      <c r="D611" s="26" t="str">
        <f>IF('[1]E-AV'!$I23="","",'[1]E-AV'!$I23)</f>
        <v/>
      </c>
      <c r="E611" s="27"/>
      <c r="F611" s="27"/>
      <c r="H611" s="94" t="str">
        <f>IF(AV!$I23="","",AV!$I23)</f>
        <v/>
      </c>
      <c r="I611" s="29" t="str">
        <f t="shared" si="156"/>
        <v/>
      </c>
      <c r="J611" s="30" t="str">
        <f t="shared" si="157"/>
        <v>-</v>
      </c>
      <c r="K611" s="23" t="str">
        <f t="shared" si="150"/>
        <v/>
      </c>
      <c r="L611" s="24" t="str">
        <f t="shared" si="145"/>
        <v/>
      </c>
      <c r="N611" s="882"/>
      <c r="P611" s="26" t="str">
        <f t="shared" si="151"/>
        <v/>
      </c>
      <c r="Q611" s="27" t="str">
        <f t="shared" si="146"/>
        <v/>
      </c>
      <c r="R611" s="27" t="str">
        <f t="shared" si="147"/>
        <v/>
      </c>
      <c r="S611" s="1" t="str">
        <f t="shared" si="148"/>
        <v/>
      </c>
      <c r="T611" s="94" t="str">
        <f t="shared" si="149"/>
        <v/>
      </c>
    </row>
    <row r="612" spans="1:20" ht="12.75" hidden="1" customHeight="1" x14ac:dyDescent="0.2">
      <c r="A612" s="18"/>
      <c r="B612" s="3" t="str">
        <f>IF('[1]E-AV'!B24="","-",'[1]E-AV'!B24)</f>
        <v>PKW-Anhänger</v>
      </c>
      <c r="C612" s="93" t="str">
        <f t="shared" si="155"/>
        <v>Jährl.  Afa</v>
      </c>
      <c r="D612" s="26">
        <f>IF('[1]E-AV'!$I24="","",'[1]E-AV'!$I24)</f>
        <v>78.333333333333329</v>
      </c>
      <c r="E612" s="27"/>
      <c r="F612" s="27"/>
      <c r="H612" s="94" t="str">
        <f>IF(AV!$I24="","",AV!$I24)</f>
        <v>noch leer</v>
      </c>
      <c r="I612" s="29" t="str">
        <f t="shared" si="156"/>
        <v>Falsch</v>
      </c>
      <c r="J612" s="30" t="str">
        <f t="shared" si="157"/>
        <v>-</v>
      </c>
      <c r="K612" s="23" t="str">
        <f t="shared" si="150"/>
        <v/>
      </c>
      <c r="L612" s="24" t="str">
        <f t="shared" si="145"/>
        <v/>
      </c>
      <c r="N612" s="882"/>
      <c r="P612" s="26">
        <f t="shared" si="151"/>
        <v>78.333330000000004</v>
      </c>
      <c r="Q612" s="27" t="str">
        <f t="shared" si="146"/>
        <v/>
      </c>
      <c r="R612" s="27" t="str">
        <f t="shared" si="147"/>
        <v/>
      </c>
      <c r="S612" s="1" t="str">
        <f t="shared" si="148"/>
        <v/>
      </c>
      <c r="T612" s="94" t="str">
        <f t="shared" si="149"/>
        <v>noch leer</v>
      </c>
    </row>
    <row r="613" spans="1:20" ht="12.75" hidden="1" customHeight="1" x14ac:dyDescent="0.2">
      <c r="A613" s="18"/>
      <c r="B613" s="3" t="str">
        <f>IF('[1]E-AV'!B25="","-",'[1]E-AV'!B25)</f>
        <v>Ladewagen</v>
      </c>
      <c r="C613" s="93" t="str">
        <f t="shared" si="155"/>
        <v>Jährl.  Afa</v>
      </c>
      <c r="D613" s="26">
        <f>IF('[1]E-AV'!$I25="","",'[1]E-AV'!$I25)</f>
        <v>0</v>
      </c>
      <c r="E613" s="27"/>
      <c r="F613" s="27"/>
      <c r="H613" s="94">
        <f>IF(AV!$I25="","",AV!$I25)</f>
        <v>0</v>
      </c>
      <c r="I613" s="29" t="str">
        <f t="shared" si="156"/>
        <v>Richtig!</v>
      </c>
      <c r="J613" s="30" t="str">
        <f t="shared" si="157"/>
        <v>-</v>
      </c>
      <c r="K613" s="23" t="str">
        <f t="shared" si="150"/>
        <v/>
      </c>
      <c r="L613" s="24" t="str">
        <f t="shared" si="145"/>
        <v/>
      </c>
      <c r="N613" s="882"/>
      <c r="P613" s="26">
        <f t="shared" si="151"/>
        <v>0</v>
      </c>
      <c r="Q613" s="27" t="str">
        <f t="shared" si="146"/>
        <v/>
      </c>
      <c r="R613" s="27" t="str">
        <f t="shared" si="147"/>
        <v/>
      </c>
      <c r="S613" s="1" t="str">
        <f t="shared" si="148"/>
        <v/>
      </c>
      <c r="T613" s="94">
        <f t="shared" si="149"/>
        <v>0</v>
      </c>
    </row>
    <row r="614" spans="1:20" ht="12.75" hidden="1" customHeight="1" x14ac:dyDescent="0.2">
      <c r="A614" s="18"/>
      <c r="B614" s="3" t="str">
        <f>IF('[1]E-AV'!B26="","-",'[1]E-AV'!B26)</f>
        <v>Kreiselschwader</v>
      </c>
      <c r="C614" s="93" t="str">
        <f t="shared" si="155"/>
        <v>Jährl.  Afa</v>
      </c>
      <c r="D614" s="26">
        <f>IF('[1]E-AV'!$I26="","",'[1]E-AV'!$I26)</f>
        <v>159.25</v>
      </c>
      <c r="E614" s="27"/>
      <c r="F614" s="27"/>
      <c r="H614" s="94">
        <f>IF(AV!$I26="","",AV!$I26)</f>
        <v>159.25</v>
      </c>
      <c r="I614" s="29" t="str">
        <f t="shared" si="156"/>
        <v>Richtig!</v>
      </c>
      <c r="J614" s="30" t="str">
        <f t="shared" si="157"/>
        <v>-</v>
      </c>
      <c r="K614" s="23" t="str">
        <f t="shared" si="150"/>
        <v/>
      </c>
      <c r="L614" s="24" t="str">
        <f t="shared" si="145"/>
        <v/>
      </c>
      <c r="N614" s="882"/>
      <c r="P614" s="26">
        <f t="shared" si="151"/>
        <v>159.25</v>
      </c>
      <c r="Q614" s="27" t="str">
        <f t="shared" si="146"/>
        <v/>
      </c>
      <c r="R614" s="27" t="str">
        <f t="shared" si="147"/>
        <v/>
      </c>
      <c r="S614" s="1" t="str">
        <f t="shared" si="148"/>
        <v/>
      </c>
      <c r="T614" s="94">
        <f t="shared" si="149"/>
        <v>159.25</v>
      </c>
    </row>
    <row r="615" spans="1:20" ht="12.75" hidden="1" customHeight="1" x14ac:dyDescent="0.2">
      <c r="A615" s="18"/>
      <c r="B615" s="3" t="str">
        <f>IF('[1]E-AV'!B27="","-",'[1]E-AV'!B27)</f>
        <v>Kreiselzetter</v>
      </c>
      <c r="C615" s="93" t="str">
        <f t="shared" si="155"/>
        <v>Jährl.  Afa</v>
      </c>
      <c r="D615" s="26">
        <f>IF('[1]E-AV'!$I27="","",'[1]E-AV'!$I27)</f>
        <v>0</v>
      </c>
      <c r="E615" s="27"/>
      <c r="F615" s="27"/>
      <c r="H615" s="94">
        <f>IF(AV!$I27="","",AV!$I27)</f>
        <v>0</v>
      </c>
      <c r="I615" s="29" t="str">
        <f t="shared" si="156"/>
        <v>Richtig!</v>
      </c>
      <c r="J615" s="30" t="str">
        <f t="shared" si="157"/>
        <v>-</v>
      </c>
      <c r="K615" s="23" t="str">
        <f t="shared" si="150"/>
        <v/>
      </c>
      <c r="L615" s="24" t="str">
        <f t="shared" si="145"/>
        <v/>
      </c>
      <c r="N615" s="882"/>
      <c r="P615" s="26">
        <f t="shared" si="151"/>
        <v>0</v>
      </c>
      <c r="Q615" s="27" t="str">
        <f t="shared" si="146"/>
        <v/>
      </c>
      <c r="R615" s="27" t="str">
        <f t="shared" si="147"/>
        <v/>
      </c>
      <c r="S615" s="1" t="str">
        <f t="shared" si="148"/>
        <v/>
      </c>
      <c r="T615" s="94">
        <f t="shared" si="149"/>
        <v>0</v>
      </c>
    </row>
    <row r="616" spans="1:20" ht="12.75" x14ac:dyDescent="0.2">
      <c r="A616" s="18"/>
      <c r="B616" s="3" t="str">
        <f>IF('[1]E-AV'!B28="","-",'[1]E-AV'!B28)</f>
        <v>Mähwerk</v>
      </c>
      <c r="C616" s="93" t="str">
        <f t="shared" si="155"/>
        <v>Jährl.  Afa</v>
      </c>
      <c r="D616" s="26">
        <f>IF('[1]E-AV'!$I28="","",'[1]E-AV'!$I28)</f>
        <v>177.13333333333333</v>
      </c>
      <c r="E616" s="27"/>
      <c r="F616" s="27"/>
      <c r="H616" s="94" t="str">
        <f>IF(AV!$I28="","",AV!$I28)</f>
        <v/>
      </c>
      <c r="I616" s="29" t="str">
        <f t="shared" si="156"/>
        <v>Fehlt</v>
      </c>
      <c r="J616" s="30">
        <f t="shared" si="157"/>
        <v>0</v>
      </c>
      <c r="K616" s="23" t="str">
        <f t="shared" si="150"/>
        <v>│</v>
      </c>
      <c r="L616" s="24">
        <f t="shared" ref="L616:L647" si="158">IF(OR(B616="-",N616="",AND(P616="",T616="")),"",1)</f>
        <v>1</v>
      </c>
      <c r="N616" s="882" t="str">
        <f>IF($L$1="","",$L$1)</f>
        <v>x</v>
      </c>
      <c r="P616" s="26">
        <f t="shared" si="151"/>
        <v>177.13333</v>
      </c>
      <c r="Q616" s="27" t="str">
        <f t="shared" si="146"/>
        <v/>
      </c>
      <c r="R616" s="27" t="str">
        <f t="shared" si="147"/>
        <v/>
      </c>
      <c r="S616" s="1" t="str">
        <f t="shared" si="148"/>
        <v/>
      </c>
      <c r="T616" s="94" t="str">
        <f t="shared" si="149"/>
        <v/>
      </c>
    </row>
    <row r="617" spans="1:20" ht="12.75" x14ac:dyDescent="0.2">
      <c r="A617" s="18"/>
      <c r="B617" s="3" t="str">
        <f>IF('[1]E-AV'!B29="","-",'[1]E-AV'!B29)</f>
        <v>Motormäher</v>
      </c>
      <c r="C617" s="93" t="str">
        <f t="shared" si="155"/>
        <v>Jährl.  Afa</v>
      </c>
      <c r="D617" s="26">
        <f>IF('[1]E-AV'!$I29="","",'[1]E-AV'!$I29)</f>
        <v>71.4375</v>
      </c>
      <c r="E617" s="27"/>
      <c r="F617" s="27"/>
      <c r="H617" s="94" t="str">
        <f>IF(AV!$I29="","",AV!$I29)</f>
        <v/>
      </c>
      <c r="I617" s="29" t="str">
        <f t="shared" si="156"/>
        <v>Fehlt</v>
      </c>
      <c r="J617" s="30">
        <f t="shared" si="157"/>
        <v>0</v>
      </c>
      <c r="K617" s="23" t="str">
        <f t="shared" si="150"/>
        <v>│</v>
      </c>
      <c r="L617" s="24">
        <f t="shared" si="158"/>
        <v>1</v>
      </c>
      <c r="N617" s="882" t="str">
        <f>IF($L$1="","",$L$1)</f>
        <v>x</v>
      </c>
      <c r="P617" s="26">
        <f t="shared" si="151"/>
        <v>71.4375</v>
      </c>
      <c r="Q617" s="27" t="str">
        <f t="shared" si="146"/>
        <v/>
      </c>
      <c r="R617" s="27" t="str">
        <f t="shared" si="147"/>
        <v/>
      </c>
      <c r="S617" s="1" t="str">
        <f t="shared" si="148"/>
        <v/>
      </c>
      <c r="T617" s="94" t="str">
        <f t="shared" si="149"/>
        <v/>
      </c>
    </row>
    <row r="618" spans="1:20" ht="12.75" hidden="1" customHeight="1" x14ac:dyDescent="0.2">
      <c r="A618" s="18"/>
      <c r="B618" s="3" t="str">
        <f>IF('[1]E-AV'!B30="","-",'[1]E-AV'!B30)</f>
        <v>Gebläse</v>
      </c>
      <c r="C618" s="93" t="str">
        <f t="shared" si="155"/>
        <v>Jährl.  Afa</v>
      </c>
      <c r="D618" s="26">
        <f>IF('[1]E-AV'!$I30="","",'[1]E-AV'!$I30)</f>
        <v>0</v>
      </c>
      <c r="E618" s="27"/>
      <c r="F618" s="27"/>
      <c r="H618" s="94">
        <f>IF(AV!$I30="","",AV!$I30)</f>
        <v>0</v>
      </c>
      <c r="I618" s="29" t="str">
        <f t="shared" si="156"/>
        <v>Richtig!</v>
      </c>
      <c r="J618" s="30" t="str">
        <f t="shared" si="157"/>
        <v>-</v>
      </c>
      <c r="K618" s="23" t="str">
        <f t="shared" si="150"/>
        <v/>
      </c>
      <c r="L618" s="24" t="str">
        <f t="shared" si="158"/>
        <v/>
      </c>
      <c r="N618" s="882"/>
      <c r="P618" s="26">
        <f t="shared" si="151"/>
        <v>0</v>
      </c>
      <c r="Q618" s="27" t="str">
        <f t="shared" si="146"/>
        <v/>
      </c>
      <c r="R618" s="27" t="str">
        <f t="shared" si="147"/>
        <v/>
      </c>
      <c r="S618" s="1" t="str">
        <f t="shared" si="148"/>
        <v/>
      </c>
      <c r="T618" s="94">
        <f t="shared" si="149"/>
        <v>0</v>
      </c>
    </row>
    <row r="619" spans="1:20" ht="12.75" hidden="1" customHeight="1" x14ac:dyDescent="0.2">
      <c r="A619" s="18"/>
      <c r="B619" s="3" t="str">
        <f>IF('[1]E-AV'!B31="","-",'[1]E-AV'!B31)</f>
        <v>Vakuumfass</v>
      </c>
      <c r="C619" s="93" t="str">
        <f t="shared" si="155"/>
        <v>Jährl.  Afa</v>
      </c>
      <c r="D619" s="26">
        <f>IF('[1]E-AV'!$I31="","",'[1]E-AV'!$I31)</f>
        <v>108.26666666666667</v>
      </c>
      <c r="E619" s="27"/>
      <c r="F619" s="27"/>
      <c r="H619" s="94">
        <f>IF(AV!$I31="","",AV!$I31)</f>
        <v>108.26666666666667</v>
      </c>
      <c r="I619" s="29" t="str">
        <f t="shared" si="156"/>
        <v>Richtig!</v>
      </c>
      <c r="J619" s="30" t="str">
        <f t="shared" si="157"/>
        <v>-</v>
      </c>
      <c r="K619" s="23" t="str">
        <f t="shared" si="150"/>
        <v/>
      </c>
      <c r="L619" s="24" t="str">
        <f t="shared" si="158"/>
        <v/>
      </c>
      <c r="N619" s="882"/>
      <c r="P619" s="26">
        <f t="shared" si="151"/>
        <v>108.26667</v>
      </c>
      <c r="Q619" s="27" t="str">
        <f t="shared" si="146"/>
        <v/>
      </c>
      <c r="R619" s="27" t="str">
        <f t="shared" si="147"/>
        <v/>
      </c>
      <c r="S619" s="1" t="str">
        <f t="shared" si="148"/>
        <v/>
      </c>
      <c r="T619" s="94">
        <f t="shared" si="149"/>
        <v>108.26667</v>
      </c>
    </row>
    <row r="620" spans="1:20" ht="12.75" hidden="1" customHeight="1" x14ac:dyDescent="0.2">
      <c r="A620" s="18"/>
      <c r="B620" s="3" t="str">
        <f>IF('[1]E-AV'!B32="","-",'[1]E-AV'!B32)</f>
        <v>Miststreuer</v>
      </c>
      <c r="C620" s="93" t="str">
        <f t="shared" si="155"/>
        <v>Jährl.  Afa</v>
      </c>
      <c r="D620" s="26">
        <f>IF('[1]E-AV'!$I32="","",'[1]E-AV'!$I32)</f>
        <v>227.5</v>
      </c>
      <c r="E620" s="27"/>
      <c r="F620" s="27"/>
      <c r="H620" s="94">
        <f>IF(AV!$I32="","",AV!$I32)</f>
        <v>227.5</v>
      </c>
      <c r="I620" s="29" t="str">
        <f t="shared" si="156"/>
        <v>Richtig!</v>
      </c>
      <c r="J620" s="30" t="str">
        <f t="shared" si="157"/>
        <v>-</v>
      </c>
      <c r="K620" s="23" t="str">
        <f t="shared" si="150"/>
        <v/>
      </c>
      <c r="L620" s="24" t="str">
        <f t="shared" si="158"/>
        <v/>
      </c>
      <c r="N620" s="882"/>
      <c r="P620" s="26">
        <f t="shared" si="151"/>
        <v>227.5</v>
      </c>
      <c r="Q620" s="27" t="str">
        <f t="shared" si="146"/>
        <v/>
      </c>
      <c r="R620" s="27" t="str">
        <f t="shared" si="147"/>
        <v/>
      </c>
      <c r="S620" s="1" t="str">
        <f t="shared" si="148"/>
        <v/>
      </c>
      <c r="T620" s="94">
        <f t="shared" si="149"/>
        <v>227.5</v>
      </c>
    </row>
    <row r="621" spans="1:20" ht="12.75" hidden="1" customHeight="1" x14ac:dyDescent="0.2">
      <c r="A621" s="18"/>
      <c r="B621" s="3" t="str">
        <f>IF('[1]E-AV'!B33="","-",'[1]E-AV'!B33)</f>
        <v>Butterfass</v>
      </c>
      <c r="C621" s="93" t="str">
        <f t="shared" si="155"/>
        <v>Jährl.  Afa</v>
      </c>
      <c r="D621" s="26">
        <f>IF('[1]E-AV'!$I33="","",'[1]E-AV'!$I33)</f>
        <v>41.4</v>
      </c>
      <c r="E621" s="27"/>
      <c r="F621" s="27"/>
      <c r="H621" s="94">
        <f>IF(AV!$I33="","",AV!$I33)</f>
        <v>41.4</v>
      </c>
      <c r="I621" s="29" t="str">
        <f t="shared" si="156"/>
        <v>Richtig!</v>
      </c>
      <c r="J621" s="30" t="str">
        <f t="shared" si="157"/>
        <v>-</v>
      </c>
      <c r="K621" s="23" t="str">
        <f t="shared" si="150"/>
        <v/>
      </c>
      <c r="L621" s="24" t="str">
        <f t="shared" si="158"/>
        <v/>
      </c>
      <c r="N621" s="882"/>
      <c r="P621" s="26">
        <f t="shared" si="151"/>
        <v>41.4</v>
      </c>
      <c r="Q621" s="27" t="str">
        <f t="shared" si="146"/>
        <v/>
      </c>
      <c r="R621" s="27" t="str">
        <f t="shared" si="147"/>
        <v/>
      </c>
      <c r="S621" s="1" t="str">
        <f t="shared" si="148"/>
        <v/>
      </c>
      <c r="T621" s="94">
        <f t="shared" si="149"/>
        <v>41.4</v>
      </c>
    </row>
    <row r="622" spans="1:20" ht="12.75" hidden="1" customHeight="1" x14ac:dyDescent="0.2">
      <c r="A622" s="18"/>
      <c r="B622" s="3" t="str">
        <f>IF('[1]E-AV'!B34="","-",'[1]E-AV'!B34)</f>
        <v>Zentrifuge</v>
      </c>
      <c r="C622" s="93" t="str">
        <f t="shared" si="155"/>
        <v>Jährl.  Afa</v>
      </c>
      <c r="D622" s="26">
        <f>IF('[1]E-AV'!$I34="","",'[1]E-AV'!$I34)</f>
        <v>0</v>
      </c>
      <c r="E622" s="27"/>
      <c r="F622" s="27"/>
      <c r="H622" s="94">
        <f>IF(AV!$I34="","",AV!$I34)</f>
        <v>0</v>
      </c>
      <c r="I622" s="29" t="str">
        <f t="shared" si="156"/>
        <v>Richtig!</v>
      </c>
      <c r="J622" s="30" t="str">
        <f t="shared" si="157"/>
        <v>-</v>
      </c>
      <c r="K622" s="23" t="str">
        <f t="shared" si="150"/>
        <v/>
      </c>
      <c r="L622" s="24" t="str">
        <f t="shared" si="158"/>
        <v/>
      </c>
      <c r="N622" s="882"/>
      <c r="P622" s="26">
        <f t="shared" si="151"/>
        <v>0</v>
      </c>
      <c r="Q622" s="27" t="str">
        <f t="shared" si="146"/>
        <v/>
      </c>
      <c r="R622" s="27" t="str">
        <f t="shared" si="147"/>
        <v/>
      </c>
      <c r="S622" s="1" t="str">
        <f t="shared" si="148"/>
        <v/>
      </c>
      <c r="T622" s="94">
        <f t="shared" si="149"/>
        <v>0</v>
      </c>
    </row>
    <row r="623" spans="1:20" ht="12.75" hidden="1" customHeight="1" x14ac:dyDescent="0.2">
      <c r="A623" s="18"/>
      <c r="B623" s="3" t="str">
        <f>IF('[1]E-AV'!B35="","-",'[1]E-AV'!B35)</f>
        <v>Pasteur</v>
      </c>
      <c r="C623" s="93" t="str">
        <f t="shared" si="155"/>
        <v>Jährl.  Afa</v>
      </c>
      <c r="D623" s="26">
        <f>IF('[1]E-AV'!$I35="","",'[1]E-AV'!$I35)</f>
        <v>0</v>
      </c>
      <c r="E623" s="27"/>
      <c r="F623" s="27"/>
      <c r="H623" s="94">
        <f>IF(AV!$I35="","",AV!$I35)</f>
        <v>0</v>
      </c>
      <c r="I623" s="29" t="str">
        <f t="shared" si="156"/>
        <v>Richtig!</v>
      </c>
      <c r="J623" s="30" t="str">
        <f t="shared" si="157"/>
        <v>-</v>
      </c>
      <c r="K623" s="23" t="str">
        <f t="shared" si="150"/>
        <v/>
      </c>
      <c r="L623" s="24" t="str">
        <f t="shared" si="158"/>
        <v/>
      </c>
      <c r="N623" s="882"/>
      <c r="P623" s="26">
        <f t="shared" si="151"/>
        <v>0</v>
      </c>
      <c r="Q623" s="27" t="str">
        <f t="shared" si="146"/>
        <v/>
      </c>
      <c r="R623" s="27" t="str">
        <f t="shared" si="147"/>
        <v/>
      </c>
      <c r="S623" s="1" t="str">
        <f t="shared" si="148"/>
        <v/>
      </c>
      <c r="T623" s="94">
        <f t="shared" si="149"/>
        <v>0</v>
      </c>
    </row>
    <row r="624" spans="1:20" ht="12.75" x14ac:dyDescent="0.2">
      <c r="A624" s="18"/>
      <c r="B624" s="3" t="str">
        <f>IF('[1]E-AV'!B36="","-",'[1]E-AV'!B36)</f>
        <v>Motorsäge</v>
      </c>
      <c r="C624" s="93" t="str">
        <f t="shared" si="155"/>
        <v>Jährl.  Afa</v>
      </c>
      <c r="D624" s="26">
        <f>IF('[1]E-AV'!$I36="","",'[1]E-AV'!$I36)</f>
        <v>0</v>
      </c>
      <c r="E624" s="27"/>
      <c r="F624" s="27"/>
      <c r="H624" s="94" t="str">
        <f>IF(AV!$I36="","",AV!$I36)</f>
        <v/>
      </c>
      <c r="I624" s="29" t="str">
        <f t="shared" si="156"/>
        <v>Fehlt</v>
      </c>
      <c r="J624" s="30">
        <f t="shared" si="157"/>
        <v>0</v>
      </c>
      <c r="K624" s="23" t="str">
        <f t="shared" si="150"/>
        <v>│</v>
      </c>
      <c r="L624" s="24">
        <f t="shared" si="158"/>
        <v>1</v>
      </c>
      <c r="N624" s="882" t="str">
        <f>IF($L$1="","",$L$1)</f>
        <v>x</v>
      </c>
      <c r="P624" s="26">
        <f t="shared" si="151"/>
        <v>0</v>
      </c>
      <c r="Q624" s="27" t="str">
        <f t="shared" si="146"/>
        <v/>
      </c>
      <c r="R624" s="27" t="str">
        <f t="shared" si="147"/>
        <v/>
      </c>
      <c r="S624" s="1" t="str">
        <f t="shared" si="148"/>
        <v/>
      </c>
      <c r="T624" s="94" t="str">
        <f t="shared" si="149"/>
        <v/>
      </c>
    </row>
    <row r="625" spans="1:20" ht="12.75" hidden="1" customHeight="1" x14ac:dyDescent="0.2">
      <c r="A625" s="18"/>
      <c r="B625" s="3" t="str">
        <f>IF('[1]E-AV'!B37="","-",'[1]E-AV'!B37)</f>
        <v>Pflug</v>
      </c>
      <c r="C625" s="93" t="str">
        <f t="shared" si="155"/>
        <v>Jährl.  Afa</v>
      </c>
      <c r="D625" s="26">
        <f>IF('[1]E-AV'!$I37="","",'[1]E-AV'!$I37)</f>
        <v>0</v>
      </c>
      <c r="E625" s="27"/>
      <c r="F625" s="27"/>
      <c r="H625" s="94">
        <f>IF(AV!$I37="","",AV!$I37)</f>
        <v>0</v>
      </c>
      <c r="I625" s="29" t="str">
        <f t="shared" si="156"/>
        <v>Richtig!</v>
      </c>
      <c r="J625" s="30" t="str">
        <f t="shared" si="157"/>
        <v>-</v>
      </c>
      <c r="K625" s="23" t="str">
        <f t="shared" si="150"/>
        <v/>
      </c>
      <c r="L625" s="24" t="str">
        <f t="shared" si="158"/>
        <v/>
      </c>
      <c r="N625" s="882"/>
      <c r="P625" s="26">
        <f t="shared" si="151"/>
        <v>0</v>
      </c>
      <c r="Q625" s="27" t="str">
        <f t="shared" si="146"/>
        <v/>
      </c>
      <c r="R625" s="27" t="str">
        <f t="shared" si="147"/>
        <v/>
      </c>
      <c r="S625" s="1" t="str">
        <f t="shared" si="148"/>
        <v/>
      </c>
      <c r="T625" s="94">
        <f t="shared" si="149"/>
        <v>0</v>
      </c>
    </row>
    <row r="626" spans="1:20" ht="12.75" hidden="1" customHeight="1" x14ac:dyDescent="0.2">
      <c r="A626" s="18"/>
      <c r="B626" s="3" t="str">
        <f>IF('[1]E-AV'!B38="","-",'[1]E-AV'!B38)</f>
        <v>Ackerschleppe</v>
      </c>
      <c r="C626" s="93" t="str">
        <f t="shared" si="155"/>
        <v>Jährl.  Afa</v>
      </c>
      <c r="D626" s="26">
        <f>IF('[1]E-AV'!$I38="","",'[1]E-AV'!$I38)</f>
        <v>0</v>
      </c>
      <c r="E626" s="27"/>
      <c r="F626" s="27"/>
      <c r="H626" s="94">
        <f>IF(AV!$I38="","",AV!$I38)</f>
        <v>0</v>
      </c>
      <c r="I626" s="29" t="str">
        <f t="shared" si="156"/>
        <v>Richtig!</v>
      </c>
      <c r="J626" s="30" t="str">
        <f t="shared" si="157"/>
        <v>-</v>
      </c>
      <c r="K626" s="23" t="str">
        <f t="shared" si="150"/>
        <v/>
      </c>
      <c r="L626" s="24" t="str">
        <f t="shared" si="158"/>
        <v/>
      </c>
      <c r="N626" s="882"/>
      <c r="P626" s="26">
        <f t="shared" si="151"/>
        <v>0</v>
      </c>
      <c r="Q626" s="27" t="str">
        <f t="shared" si="146"/>
        <v/>
      </c>
      <c r="R626" s="27" t="str">
        <f t="shared" si="147"/>
        <v/>
      </c>
      <c r="S626" s="1" t="str">
        <f t="shared" si="148"/>
        <v/>
      </c>
      <c r="T626" s="94">
        <f t="shared" si="149"/>
        <v>0</v>
      </c>
    </row>
    <row r="627" spans="1:20" ht="12.75" hidden="1" customHeight="1" x14ac:dyDescent="0.2">
      <c r="A627" s="18"/>
      <c r="B627" s="3" t="str">
        <f>IF('[1]E-AV'!B39="","-",'[1]E-AV'!B39)</f>
        <v>Frontlader</v>
      </c>
      <c r="C627" s="93" t="str">
        <f t="shared" si="155"/>
        <v>Jährl.  Afa</v>
      </c>
      <c r="D627" s="26">
        <f>IF('[1]E-AV'!$I39="","",'[1]E-AV'!$I39)</f>
        <v>0</v>
      </c>
      <c r="E627" s="27"/>
      <c r="F627" s="27"/>
      <c r="H627" s="94">
        <f>IF(AV!$I39="","",AV!$I39)</f>
        <v>0</v>
      </c>
      <c r="I627" s="29" t="str">
        <f t="shared" si="156"/>
        <v>Richtig!</v>
      </c>
      <c r="J627" s="30" t="str">
        <f t="shared" si="157"/>
        <v>-</v>
      </c>
      <c r="K627" s="23" t="str">
        <f t="shared" si="150"/>
        <v/>
      </c>
      <c r="L627" s="24" t="str">
        <f t="shared" si="158"/>
        <v/>
      </c>
      <c r="N627" s="882"/>
      <c r="P627" s="26">
        <f t="shared" si="151"/>
        <v>0</v>
      </c>
      <c r="Q627" s="27" t="str">
        <f t="shared" si="146"/>
        <v/>
      </c>
      <c r="R627" s="27" t="str">
        <f t="shared" si="147"/>
        <v/>
      </c>
      <c r="S627" s="1" t="str">
        <f t="shared" si="148"/>
        <v/>
      </c>
      <c r="T627" s="94">
        <f t="shared" si="149"/>
        <v>0</v>
      </c>
    </row>
    <row r="628" spans="1:20" ht="12.75" hidden="1" customHeight="1" x14ac:dyDescent="0.2">
      <c r="A628" s="18"/>
      <c r="B628" s="3" t="str">
        <f>IF('[1]E-AV'!B40="","-",'[1]E-AV'!B40)</f>
        <v>-</v>
      </c>
      <c r="C628" s="93" t="str">
        <f t="shared" si="155"/>
        <v>Jährl.  Afa</v>
      </c>
      <c r="D628" s="26" t="str">
        <f>IF('[1]E-AV'!$I40="","",'[1]E-AV'!$I40)</f>
        <v/>
      </c>
      <c r="E628" s="27"/>
      <c r="F628" s="27"/>
      <c r="H628" s="94" t="str">
        <f>IF(AV!$I40="","",AV!$I40)</f>
        <v/>
      </c>
      <c r="I628" s="29" t="str">
        <f t="shared" si="156"/>
        <v/>
      </c>
      <c r="J628" s="30" t="str">
        <f t="shared" si="157"/>
        <v>-</v>
      </c>
      <c r="K628" s="23" t="str">
        <f t="shared" si="150"/>
        <v/>
      </c>
      <c r="L628" s="24" t="str">
        <f t="shared" si="158"/>
        <v/>
      </c>
      <c r="N628" s="882"/>
      <c r="P628" s="26" t="str">
        <f t="shared" si="151"/>
        <v/>
      </c>
      <c r="Q628" s="27" t="str">
        <f t="shared" si="146"/>
        <v/>
      </c>
      <c r="R628" s="27" t="str">
        <f t="shared" si="147"/>
        <v/>
      </c>
      <c r="S628" s="1" t="str">
        <f t="shared" si="148"/>
        <v/>
      </c>
      <c r="T628" s="94" t="str">
        <f t="shared" si="149"/>
        <v/>
      </c>
    </row>
    <row r="629" spans="1:20" ht="12.75" x14ac:dyDescent="0.2">
      <c r="A629" s="18"/>
      <c r="B629" s="92" t="str">
        <f>IF('[1]E-AV'!B41="","-",'[1]E-AV'!B41)</f>
        <v>Summe Maschinen und Geräte</v>
      </c>
      <c r="C629" s="93" t="str">
        <f t="shared" si="155"/>
        <v>Jährl.  Afa</v>
      </c>
      <c r="D629" s="31">
        <f>IF('[1]E-AV'!$I41="","",'[1]E-AV'!$I41)</f>
        <v>3871.3625000000006</v>
      </c>
      <c r="E629" s="27"/>
      <c r="F629" s="32">
        <f>IF(AND(H609="",H610="",H611="",H612="",H613="",H614="",H615="",H616="",H617="",H618="",H619="",H620="",H621="",H622="",H623="",H624="",H625="",H626="",H627="",H628=""),"-",SUM(H609:H628))</f>
        <v>1639.7916666666667</v>
      </c>
      <c r="H629" s="97" t="str">
        <f>IF(AV!$I41="","",AV!$I41)</f>
        <v/>
      </c>
      <c r="I629" s="29" t="str">
        <f>IF(B629="","",IF(T629=P629,"Richtig!",IF(AND(P629&lt;&gt;T629,R629=T629),"Formel: OK",IF(T629="","Fehlt","Falsch"))))</f>
        <v>Fehlt</v>
      </c>
      <c r="J629" s="30">
        <f t="shared" si="157"/>
        <v>0</v>
      </c>
      <c r="K629" s="23" t="str">
        <f t="shared" si="150"/>
        <v>│</v>
      </c>
      <c r="L629" s="24">
        <f t="shared" si="158"/>
        <v>1</v>
      </c>
      <c r="N629" s="882" t="str">
        <f>IF($L$1="","",$L$1)</f>
        <v>x</v>
      </c>
      <c r="P629" s="31">
        <f t="shared" si="151"/>
        <v>3871.3625000000002</v>
      </c>
      <c r="Q629" s="27" t="str">
        <f t="shared" si="146"/>
        <v/>
      </c>
      <c r="R629" s="32">
        <f t="shared" si="147"/>
        <v>1639.7916700000001</v>
      </c>
      <c r="S629" s="1" t="str">
        <f t="shared" si="148"/>
        <v/>
      </c>
      <c r="T629" s="97" t="str">
        <f t="shared" si="149"/>
        <v/>
      </c>
    </row>
    <row r="630" spans="1:20" ht="12.75" x14ac:dyDescent="0.2">
      <c r="A630" s="18"/>
      <c r="B630" s="18"/>
      <c r="C630" s="18"/>
      <c r="D630" s="19"/>
      <c r="H630" s="17"/>
      <c r="I630" s="21"/>
      <c r="J630" s="21"/>
      <c r="K630" s="23"/>
      <c r="L630" s="24" t="str">
        <f t="shared" si="158"/>
        <v/>
      </c>
      <c r="N630" s="883" t="str">
        <f>IF($L$1="","",$L$1)</f>
        <v>x</v>
      </c>
      <c r="P630" s="19" t="str">
        <f t="shared" si="151"/>
        <v/>
      </c>
      <c r="Q630" s="1" t="str">
        <f t="shared" si="146"/>
        <v/>
      </c>
      <c r="R630" s="1" t="str">
        <f t="shared" si="147"/>
        <v/>
      </c>
      <c r="S630" s="1" t="str">
        <f t="shared" si="148"/>
        <v/>
      </c>
      <c r="T630" s="17" t="str">
        <f t="shared" si="149"/>
        <v/>
      </c>
    </row>
    <row r="631" spans="1:20" ht="12.75" x14ac:dyDescent="0.2">
      <c r="A631" s="17" t="s">
        <v>17</v>
      </c>
      <c r="B631" s="17" t="s">
        <v>83</v>
      </c>
      <c r="C631" s="18"/>
      <c r="D631" s="19" t="str">
        <f>IF('[1]E-AV'!$G42="","",'[1]E-AV'!$G42)</f>
        <v/>
      </c>
      <c r="H631" s="17" t="str">
        <f>IF(AV!$G42="","",AV!$G42)</f>
        <v/>
      </c>
      <c r="I631" s="21"/>
      <c r="J631" s="21"/>
      <c r="K631" s="23" t="str">
        <f t="shared" si="150"/>
        <v/>
      </c>
      <c r="L631" s="24" t="str">
        <f t="shared" si="158"/>
        <v/>
      </c>
      <c r="N631" s="880" t="str">
        <f>IF($L$1="","",$L$1)</f>
        <v>x</v>
      </c>
      <c r="P631" s="19" t="str">
        <f t="shared" si="151"/>
        <v/>
      </c>
      <c r="Q631" s="1" t="str">
        <f t="shared" si="146"/>
        <v/>
      </c>
      <c r="R631" s="1" t="str">
        <f t="shared" si="147"/>
        <v/>
      </c>
      <c r="S631" s="1" t="str">
        <f t="shared" si="148"/>
        <v/>
      </c>
      <c r="T631" s="17" t="str">
        <f t="shared" si="149"/>
        <v/>
      </c>
    </row>
    <row r="632" spans="1:20" ht="12.75" x14ac:dyDescent="0.2">
      <c r="B632" s="95" t="str">
        <f>IF('[1]E-AV'!B6="","-",'[1]E-AV'!B6)</f>
        <v>Grundverbesserungen</v>
      </c>
      <c r="C632" s="42"/>
      <c r="D632" s="19"/>
      <c r="H632" s="17"/>
      <c r="I632" s="29"/>
      <c r="J632" s="29"/>
      <c r="K632" s="23" t="str">
        <f t="shared" si="150"/>
        <v/>
      </c>
      <c r="L632" s="24" t="str">
        <f t="shared" si="158"/>
        <v/>
      </c>
      <c r="N632" s="880" t="str">
        <f>IF($L$1="","",$L$1)</f>
        <v>x</v>
      </c>
      <c r="P632" s="19" t="str">
        <f t="shared" si="151"/>
        <v/>
      </c>
      <c r="Q632" s="1" t="str">
        <f t="shared" si="146"/>
        <v/>
      </c>
      <c r="R632" s="1" t="str">
        <f t="shared" si="147"/>
        <v/>
      </c>
      <c r="S632" s="1" t="str">
        <f t="shared" si="148"/>
        <v/>
      </c>
      <c r="T632" s="17" t="str">
        <f t="shared" si="149"/>
        <v/>
      </c>
    </row>
    <row r="633" spans="1:20" ht="12.75" hidden="1" customHeight="1" x14ac:dyDescent="0.2">
      <c r="A633" s="18"/>
      <c r="B633" s="36" t="str">
        <f>IF('[1]E-AV'!B7="","-",'[1]E-AV'!B7)</f>
        <v>Fixe Bewässerungsanlage</v>
      </c>
      <c r="C633" s="93" t="str">
        <f>MID($B$631,1,5)&amp;". "&amp;MID($B$631,10,7)&amp;"."</f>
        <v>Zeitw. 31. Dez.</v>
      </c>
      <c r="D633" s="31">
        <f>IF('[1]E-AV'!$J7="","",'[1]E-AV'!$J7)</f>
        <v>1</v>
      </c>
      <c r="E633" s="27"/>
      <c r="F633" s="32">
        <f>IF(AND(OR(H557="",H557="noch leer"),OR(H595="",H595="noch leer")),"-",IF(H557-H595=0,1,H557-H595))</f>
        <v>1</v>
      </c>
      <c r="H633" s="97">
        <f>IF(AV!$J7="","",AV!$J7)</f>
        <v>1</v>
      </c>
      <c r="I633" s="29" t="str">
        <f>IF(B633="","",IF(T633=P633,"Richtig!",IF(AND(P633&lt;&gt;T633,R633=T633),"Formel: OK",IF(T633="","Fehlt","Falsch"))))</f>
        <v>Richtig!</v>
      </c>
      <c r="J633" s="30" t="str">
        <f>IF(OR(B633="-",N633="",AND(P633="",T633="")),"-",IF(I633="Richtig!",1,IF(I633="Formel: OK",0.5,IF(OR(I633="Falsch",I633="Fehlt"),0,""))))</f>
        <v>-</v>
      </c>
      <c r="K633" s="23" t="str">
        <f t="shared" si="150"/>
        <v/>
      </c>
      <c r="L633" s="24" t="str">
        <f t="shared" si="158"/>
        <v/>
      </c>
      <c r="N633" s="882"/>
      <c r="P633" s="31">
        <f t="shared" si="151"/>
        <v>1</v>
      </c>
      <c r="Q633" s="27" t="str">
        <f t="shared" si="146"/>
        <v/>
      </c>
      <c r="R633" s="32">
        <f t="shared" si="147"/>
        <v>1</v>
      </c>
      <c r="S633" s="1" t="str">
        <f t="shared" si="148"/>
        <v/>
      </c>
      <c r="T633" s="97">
        <f t="shared" si="149"/>
        <v>1</v>
      </c>
    </row>
    <row r="634" spans="1:20" ht="12.75" hidden="1" customHeight="1" x14ac:dyDescent="0.2">
      <c r="A634" s="18"/>
      <c r="B634" s="36" t="str">
        <f>IF('[1]E-AV'!B8="","-",'[1]E-AV'!B8)</f>
        <v>-</v>
      </c>
      <c r="C634" s="93" t="str">
        <f>MID($B$631,1,5)&amp;". "&amp;MID($B$631,10,7)&amp;"."</f>
        <v>Zeitw. 31. Dez.</v>
      </c>
      <c r="D634" s="31" t="str">
        <f>IF('[1]E-AV'!$J8="","",'[1]E-AV'!$J8)</f>
        <v/>
      </c>
      <c r="E634" s="27"/>
      <c r="F634" s="32" t="str">
        <f>IF(AND(OR(H558="",H558="noch leer"),OR(H596="",H596="noch leer")),"-",IF(H558-H596=0,1,H558-H596))</f>
        <v>-</v>
      </c>
      <c r="H634" s="97" t="str">
        <f>IF(AV!$J8="","",AV!$J8)</f>
        <v/>
      </c>
      <c r="I634" s="29" t="str">
        <f>IF(B634="","",IF(T634=P634,"Richtig!",IF(AND(P634&lt;&gt;T634,R634=T634),"Formel: OK",IF(T634="","Fehlt","Falsch"))))</f>
        <v>Richtig!</v>
      </c>
      <c r="J634" s="30" t="str">
        <f>IF(OR(B634="-",N634="",AND(P634="",T634="")),"-",IF(I634="Richtig!",1,IF(I634="Formel: OK",0.5,IF(OR(I634="Falsch",I634="Fehlt"),0,""))))</f>
        <v>-</v>
      </c>
      <c r="K634" s="23" t="str">
        <f t="shared" si="150"/>
        <v/>
      </c>
      <c r="L634" s="24" t="str">
        <f t="shared" si="158"/>
        <v/>
      </c>
      <c r="N634" s="882"/>
      <c r="P634" s="31" t="str">
        <f t="shared" si="151"/>
        <v/>
      </c>
      <c r="Q634" s="27" t="str">
        <f t="shared" si="146"/>
        <v/>
      </c>
      <c r="R634" s="32" t="str">
        <f t="shared" si="147"/>
        <v>-</v>
      </c>
      <c r="S634" s="1" t="str">
        <f t="shared" si="148"/>
        <v/>
      </c>
      <c r="T634" s="97" t="str">
        <f t="shared" si="149"/>
        <v/>
      </c>
    </row>
    <row r="635" spans="1:20" ht="12.75" x14ac:dyDescent="0.2">
      <c r="A635" s="18"/>
      <c r="B635" s="92" t="str">
        <f>IF('[1]E-AV'!B9="","-",'[1]E-AV'!B9)</f>
        <v>Summe Grundverbesserungen</v>
      </c>
      <c r="C635" s="93" t="str">
        <f>MID($B$631,1,5)&amp;". "&amp;MID($B$631,10,7)&amp;"."</f>
        <v>Zeitw. 31. Dez.</v>
      </c>
      <c r="D635" s="31">
        <f>IF('[1]E-AV'!$J9="","",'[1]E-AV'!$J9)</f>
        <v>1</v>
      </c>
      <c r="E635" s="27"/>
      <c r="F635" s="32">
        <f>IF(AND(H633="",H634=""),"-",SUM(H633:H634))</f>
        <v>1</v>
      </c>
      <c r="H635" s="97" t="str">
        <f>IF(AV!$J9="","",AV!$J9)</f>
        <v/>
      </c>
      <c r="I635" s="29" t="str">
        <f>IF(B635="","",IF(T635=P635,"Richtig!",IF(AND(P635&lt;&gt;T635,R635=T635),"Formel: OK",IF(T635="","Fehlt","Falsch"))))</f>
        <v>Fehlt</v>
      </c>
      <c r="J635" s="30">
        <f>IF(OR(B635="-",N635="",AND(P635="",T635="")),"-",IF(I635="Richtig!",1,IF(I635="Formel: OK",0.5,IF(OR(I635="Falsch",I635="Fehlt"),0,""))))</f>
        <v>0</v>
      </c>
      <c r="K635" s="23" t="str">
        <f t="shared" si="150"/>
        <v>│</v>
      </c>
      <c r="L635" s="24">
        <f t="shared" si="158"/>
        <v>1</v>
      </c>
      <c r="N635" s="882" t="str">
        <f>IF($L$1="","",$L$1)</f>
        <v>x</v>
      </c>
      <c r="P635" s="31">
        <f t="shared" si="151"/>
        <v>1</v>
      </c>
      <c r="Q635" s="27" t="str">
        <f t="shared" si="146"/>
        <v/>
      </c>
      <c r="R635" s="32">
        <f t="shared" si="147"/>
        <v>1</v>
      </c>
      <c r="S635" s="1" t="str">
        <f t="shared" si="148"/>
        <v/>
      </c>
      <c r="T635" s="97" t="str">
        <f t="shared" si="149"/>
        <v/>
      </c>
    </row>
    <row r="636" spans="1:20" ht="12.75" x14ac:dyDescent="0.2">
      <c r="B636" s="95" t="str">
        <f>IF('[1]E-AV'!B10="","-",'[1]E-AV'!B10)</f>
        <v>Gebäude und bauliche Anlagen</v>
      </c>
      <c r="C636" s="93"/>
      <c r="D636" s="19"/>
      <c r="H636" s="17"/>
      <c r="I636" s="29"/>
      <c r="J636" s="29"/>
      <c r="K636" s="23" t="str">
        <f t="shared" si="150"/>
        <v/>
      </c>
      <c r="L636" s="24" t="str">
        <f t="shared" si="158"/>
        <v/>
      </c>
      <c r="N636" s="880" t="str">
        <f>IF($L$1="","",$L$1)</f>
        <v>x</v>
      </c>
      <c r="P636" s="19" t="str">
        <f t="shared" si="151"/>
        <v/>
      </c>
      <c r="Q636" s="1" t="str">
        <f t="shared" si="146"/>
        <v/>
      </c>
      <c r="R636" s="1" t="str">
        <f t="shared" si="147"/>
        <v/>
      </c>
      <c r="S636" s="1" t="str">
        <f t="shared" si="148"/>
        <v/>
      </c>
      <c r="T636" s="17" t="str">
        <f t="shared" si="149"/>
        <v/>
      </c>
    </row>
    <row r="637" spans="1:20" ht="12.75" x14ac:dyDescent="0.2">
      <c r="A637" s="18"/>
      <c r="B637" s="36" t="str">
        <f>IF('[1]E-AV'!B11="","-",'[1]E-AV'!B11)</f>
        <v>Schuppen</v>
      </c>
      <c r="C637" s="93" t="str">
        <f t="shared" ref="C637:C645" si="159">MID($B$631,1,5)&amp;". "&amp;MID($B$631,10,7)&amp;"."</f>
        <v>Zeitw. 31. Dez.</v>
      </c>
      <c r="D637" s="31">
        <f>IF('[1]E-AV'!$J11="","",'[1]E-AV'!$J11)</f>
        <v>7757.6922580645169</v>
      </c>
      <c r="E637" s="27"/>
      <c r="F637" s="32" t="str">
        <f t="shared" ref="F637:F644" si="160">IF(AND(OR(H561="",H561="noch leer"),OR(H599="",H599="noch leer")),"-",IF(H561-H599=0,1,H561-H599))</f>
        <v>-</v>
      </c>
      <c r="H637" s="97" t="str">
        <f>IF(AV!$J11="","",AV!$J11)</f>
        <v>noch leer</v>
      </c>
      <c r="I637" s="29" t="str">
        <f t="shared" ref="I637:I645" si="161">IF(B637="","",IF(T637=P637,"Richtig!",IF(AND(P637&lt;&gt;T637,R637=T637),"Formel: OK",IF(T637="","Fehlt","Falsch"))))</f>
        <v>Falsch</v>
      </c>
      <c r="J637" s="30">
        <f t="shared" ref="J637:J645" si="162">IF(OR(B637="-",N637="",AND(P637="",T637="")),"-",IF(I637="Richtig!",1,IF(I637="Formel: OK",0.5,IF(OR(I637="Falsch",I637="Fehlt"),0,""))))</f>
        <v>0</v>
      </c>
      <c r="K637" s="23" t="str">
        <f t="shared" si="150"/>
        <v>│</v>
      </c>
      <c r="L637" s="24">
        <f t="shared" si="158"/>
        <v>1</v>
      </c>
      <c r="N637" s="882" t="str">
        <f>IF($L$1="","",$L$1)</f>
        <v>x</v>
      </c>
      <c r="P637" s="31">
        <f t="shared" si="151"/>
        <v>7757.6922599999998</v>
      </c>
      <c r="Q637" s="27" t="str">
        <f t="shared" si="146"/>
        <v/>
      </c>
      <c r="R637" s="32" t="str">
        <f t="shared" si="147"/>
        <v>-</v>
      </c>
      <c r="S637" s="1" t="str">
        <f t="shared" si="148"/>
        <v/>
      </c>
      <c r="T637" s="97" t="str">
        <f t="shared" si="149"/>
        <v>noch leer</v>
      </c>
    </row>
    <row r="638" spans="1:20" ht="12.75" x14ac:dyDescent="0.2">
      <c r="A638" s="18"/>
      <c r="B638" s="36" t="str">
        <f>IF('[1]E-AV'!B12="","-",'[1]E-AV'!B12)</f>
        <v>Masthühnerstall (Flachstall)</v>
      </c>
      <c r="C638" s="93" t="str">
        <f t="shared" si="159"/>
        <v>Zeitw. 31. Dez.</v>
      </c>
      <c r="D638" s="31">
        <f>IF('[1]E-AV'!$J12="","",'[1]E-AV'!$J12)</f>
        <v>14565.600000000002</v>
      </c>
      <c r="E638" s="27"/>
      <c r="F638" s="32" t="str">
        <f t="shared" si="160"/>
        <v>-</v>
      </c>
      <c r="H638" s="97" t="str">
        <f>IF(AV!$J12="","",AV!$J12)</f>
        <v>noch leer</v>
      </c>
      <c r="I638" s="29" t="str">
        <f t="shared" si="161"/>
        <v>Falsch</v>
      </c>
      <c r="J638" s="30">
        <f t="shared" si="162"/>
        <v>0</v>
      </c>
      <c r="K638" s="23" t="str">
        <f t="shared" si="150"/>
        <v>│</v>
      </c>
      <c r="L638" s="24">
        <f t="shared" si="158"/>
        <v>1</v>
      </c>
      <c r="N638" s="882" t="str">
        <f>IF($L$1="","",$L$1)</f>
        <v>x</v>
      </c>
      <c r="P638" s="31">
        <f t="shared" si="151"/>
        <v>14565.6</v>
      </c>
      <c r="Q638" s="27" t="str">
        <f t="shared" si="146"/>
        <v/>
      </c>
      <c r="R638" s="32" t="str">
        <f t="shared" si="147"/>
        <v>-</v>
      </c>
      <c r="S638" s="1" t="str">
        <f t="shared" si="148"/>
        <v/>
      </c>
      <c r="T638" s="97" t="str">
        <f t="shared" si="149"/>
        <v>noch leer</v>
      </c>
    </row>
    <row r="639" spans="1:20" ht="12.75" hidden="1" customHeight="1" x14ac:dyDescent="0.2">
      <c r="A639" s="18"/>
      <c r="B639" s="36" t="str">
        <f>IF('[1]E-AV'!B13="","-",'[1]E-AV'!B13)</f>
        <v>Rinderstall mit Bergeraum</v>
      </c>
      <c r="C639" s="93" t="str">
        <f t="shared" si="159"/>
        <v>Zeitw. 31. Dez.</v>
      </c>
      <c r="D639" s="31">
        <f>IF('[1]E-AV'!$J13="","",'[1]E-AV'!$J13)</f>
        <v>74023.950000000012</v>
      </c>
      <c r="E639" s="27"/>
      <c r="F639" s="32">
        <f t="shared" si="160"/>
        <v>74023.950000000012</v>
      </c>
      <c r="H639" s="97">
        <f>IF(AV!$J13="","",AV!$J13)</f>
        <v>74023.950000000012</v>
      </c>
      <c r="I639" s="29" t="str">
        <f t="shared" si="161"/>
        <v>Richtig!</v>
      </c>
      <c r="J639" s="30" t="str">
        <f t="shared" si="162"/>
        <v>-</v>
      </c>
      <c r="K639" s="23" t="str">
        <f t="shared" si="150"/>
        <v/>
      </c>
      <c r="L639" s="24" t="str">
        <f t="shared" si="158"/>
        <v/>
      </c>
      <c r="N639" s="882"/>
      <c r="P639" s="31">
        <f t="shared" si="151"/>
        <v>74023.95</v>
      </c>
      <c r="Q639" s="27" t="str">
        <f t="shared" si="146"/>
        <v/>
      </c>
      <c r="R639" s="32">
        <f t="shared" si="147"/>
        <v>74023.95</v>
      </c>
      <c r="S639" s="1" t="str">
        <f t="shared" si="148"/>
        <v/>
      </c>
      <c r="T639" s="97">
        <f t="shared" si="149"/>
        <v>74023.95</v>
      </c>
    </row>
    <row r="640" spans="1:20" ht="12.75" hidden="1" customHeight="1" x14ac:dyDescent="0.2">
      <c r="A640" s="18"/>
      <c r="B640" s="36" t="str">
        <f>IF('[1]E-AV'!B14="","-",'[1]E-AV'!B14)</f>
        <v>Verarbeitungsraum</v>
      </c>
      <c r="C640" s="93" t="str">
        <f t="shared" si="159"/>
        <v>Zeitw. 31. Dez.</v>
      </c>
      <c r="D640" s="31">
        <f>IF('[1]E-AV'!$J14="","",'[1]E-AV'!$J14)</f>
        <v>18935.28</v>
      </c>
      <c r="E640" s="27"/>
      <c r="F640" s="32">
        <f t="shared" si="160"/>
        <v>18935.28</v>
      </c>
      <c r="H640" s="97">
        <f>IF(AV!$J14="","",AV!$J14)</f>
        <v>18935.28</v>
      </c>
      <c r="I640" s="29" t="str">
        <f t="shared" si="161"/>
        <v>Richtig!</v>
      </c>
      <c r="J640" s="30" t="str">
        <f t="shared" si="162"/>
        <v>-</v>
      </c>
      <c r="K640" s="23" t="str">
        <f t="shared" si="150"/>
        <v/>
      </c>
      <c r="L640" s="24" t="str">
        <f t="shared" si="158"/>
        <v/>
      </c>
      <c r="N640" s="882"/>
      <c r="P640" s="31">
        <f t="shared" si="151"/>
        <v>18935.28</v>
      </c>
      <c r="Q640" s="27" t="str">
        <f t="shared" si="146"/>
        <v/>
      </c>
      <c r="R640" s="32">
        <f t="shared" si="147"/>
        <v>18935.28</v>
      </c>
      <c r="S640" s="1" t="str">
        <f t="shared" si="148"/>
        <v/>
      </c>
      <c r="T640" s="97">
        <f t="shared" si="149"/>
        <v>18935.28</v>
      </c>
    </row>
    <row r="641" spans="1:20" ht="12.75" hidden="1" customHeight="1" x14ac:dyDescent="0.2">
      <c r="A641" s="18"/>
      <c r="B641" s="36" t="str">
        <f>IF('[1]E-AV'!B15="","-",'[1]E-AV'!B15)</f>
        <v>Garage mit Lagerraum</v>
      </c>
      <c r="C641" s="93" t="str">
        <f t="shared" si="159"/>
        <v>Zeitw. 31. Dez.</v>
      </c>
      <c r="D641" s="31">
        <f>IF('[1]E-AV'!$J15="","",'[1]E-AV'!$J15)</f>
        <v>1</v>
      </c>
      <c r="E641" s="27"/>
      <c r="F641" s="32">
        <f t="shared" si="160"/>
        <v>1</v>
      </c>
      <c r="H641" s="97">
        <f>IF(AV!$J15="","",AV!$J15)</f>
        <v>1</v>
      </c>
      <c r="I641" s="29" t="str">
        <f t="shared" si="161"/>
        <v>Richtig!</v>
      </c>
      <c r="J641" s="30" t="str">
        <f t="shared" si="162"/>
        <v>-</v>
      </c>
      <c r="K641" s="23" t="str">
        <f t="shared" si="150"/>
        <v/>
      </c>
      <c r="L641" s="24" t="str">
        <f t="shared" si="158"/>
        <v/>
      </c>
      <c r="N641" s="882"/>
      <c r="P641" s="31">
        <f t="shared" si="151"/>
        <v>1</v>
      </c>
      <c r="Q641" s="27" t="str">
        <f t="shared" si="146"/>
        <v/>
      </c>
      <c r="R641" s="32">
        <f t="shared" si="147"/>
        <v>1</v>
      </c>
      <c r="S641" s="1" t="str">
        <f t="shared" si="148"/>
        <v/>
      </c>
      <c r="T641" s="97">
        <f t="shared" si="149"/>
        <v>1</v>
      </c>
    </row>
    <row r="642" spans="1:20" ht="12.75" hidden="1" customHeight="1" x14ac:dyDescent="0.2">
      <c r="A642" s="18"/>
      <c r="B642" s="36" t="str">
        <f>IF('[1]E-AV'!B16="","-",'[1]E-AV'!B16)</f>
        <v>-</v>
      </c>
      <c r="C642" s="93" t="str">
        <f t="shared" si="159"/>
        <v>Zeitw. 31. Dez.</v>
      </c>
      <c r="D642" s="31" t="str">
        <f>IF('[1]E-AV'!$J16="","",'[1]E-AV'!$J16)</f>
        <v/>
      </c>
      <c r="E642" s="27"/>
      <c r="F642" s="32" t="str">
        <f t="shared" si="160"/>
        <v>-</v>
      </c>
      <c r="H642" s="97" t="str">
        <f>IF(AV!$J16="","",AV!$J16)</f>
        <v/>
      </c>
      <c r="I642" s="29" t="str">
        <f t="shared" si="161"/>
        <v>Richtig!</v>
      </c>
      <c r="J642" s="30" t="str">
        <f t="shared" si="162"/>
        <v>-</v>
      </c>
      <c r="K642" s="23" t="str">
        <f t="shared" si="150"/>
        <v/>
      </c>
      <c r="L642" s="24" t="str">
        <f t="shared" si="158"/>
        <v/>
      </c>
      <c r="N642" s="882"/>
      <c r="P642" s="31" t="str">
        <f t="shared" si="151"/>
        <v/>
      </c>
      <c r="Q642" s="27" t="str">
        <f t="shared" si="146"/>
        <v/>
      </c>
      <c r="R642" s="32" t="str">
        <f t="shared" si="147"/>
        <v>-</v>
      </c>
      <c r="S642" s="1" t="str">
        <f t="shared" si="148"/>
        <v/>
      </c>
      <c r="T642" s="97" t="str">
        <f t="shared" si="149"/>
        <v/>
      </c>
    </row>
    <row r="643" spans="1:20" ht="12.75" hidden="1" customHeight="1" x14ac:dyDescent="0.2">
      <c r="A643" s="18"/>
      <c r="B643" s="36" t="str">
        <f>IF('[1]E-AV'!B17="","-",'[1]E-AV'!B17)</f>
        <v>-</v>
      </c>
      <c r="C643" s="93" t="str">
        <f t="shared" si="159"/>
        <v>Zeitw. 31. Dez.</v>
      </c>
      <c r="D643" s="31" t="str">
        <f>IF('[1]E-AV'!$J17="","",'[1]E-AV'!$J17)</f>
        <v/>
      </c>
      <c r="E643" s="27"/>
      <c r="F643" s="32" t="str">
        <f t="shared" si="160"/>
        <v>-</v>
      </c>
      <c r="H643" s="97" t="str">
        <f>IF(AV!$J17="","",AV!$J17)</f>
        <v/>
      </c>
      <c r="I643" s="29" t="str">
        <f t="shared" si="161"/>
        <v>Richtig!</v>
      </c>
      <c r="J643" s="30" t="str">
        <f t="shared" si="162"/>
        <v>-</v>
      </c>
      <c r="K643" s="23" t="str">
        <f t="shared" si="150"/>
        <v/>
      </c>
      <c r="L643" s="24" t="str">
        <f t="shared" si="158"/>
        <v/>
      </c>
      <c r="N643" s="882"/>
      <c r="P643" s="31" t="str">
        <f t="shared" si="151"/>
        <v/>
      </c>
      <c r="Q643" s="27" t="str">
        <f t="shared" si="146"/>
        <v/>
      </c>
      <c r="R643" s="32" t="str">
        <f t="shared" si="147"/>
        <v>-</v>
      </c>
      <c r="S643" s="1" t="str">
        <f t="shared" si="148"/>
        <v/>
      </c>
      <c r="T643" s="97" t="str">
        <f t="shared" si="149"/>
        <v/>
      </c>
    </row>
    <row r="644" spans="1:20" ht="12.75" hidden="1" customHeight="1" x14ac:dyDescent="0.2">
      <c r="A644" s="18"/>
      <c r="B644" s="36" t="str">
        <f>IF('[1]E-AV'!B18="","-",'[1]E-AV'!B18)</f>
        <v>-</v>
      </c>
      <c r="C644" s="93" t="str">
        <f t="shared" si="159"/>
        <v>Zeitw. 31. Dez.</v>
      </c>
      <c r="D644" s="31" t="str">
        <f>IF('[1]E-AV'!$J18="","",'[1]E-AV'!$J18)</f>
        <v/>
      </c>
      <c r="E644" s="27"/>
      <c r="F644" s="32" t="str">
        <f t="shared" si="160"/>
        <v>-</v>
      </c>
      <c r="H644" s="97" t="str">
        <f>IF(AV!$J18="","",AV!$J18)</f>
        <v/>
      </c>
      <c r="I644" s="29" t="str">
        <f t="shared" si="161"/>
        <v>Richtig!</v>
      </c>
      <c r="J644" s="30" t="str">
        <f t="shared" si="162"/>
        <v>-</v>
      </c>
      <c r="K644" s="23" t="str">
        <f t="shared" si="150"/>
        <v/>
      </c>
      <c r="L644" s="24" t="str">
        <f t="shared" si="158"/>
        <v/>
      </c>
      <c r="N644" s="882"/>
      <c r="P644" s="31" t="str">
        <f t="shared" si="151"/>
        <v/>
      </c>
      <c r="Q644" s="27" t="str">
        <f t="shared" si="146"/>
        <v/>
      </c>
      <c r="R644" s="32" t="str">
        <f t="shared" si="147"/>
        <v>-</v>
      </c>
      <c r="S644" s="1" t="str">
        <f t="shared" si="148"/>
        <v/>
      </c>
      <c r="T644" s="97" t="str">
        <f t="shared" si="149"/>
        <v/>
      </c>
    </row>
    <row r="645" spans="1:20" ht="12.75" x14ac:dyDescent="0.2">
      <c r="A645" s="18"/>
      <c r="B645" s="92" t="str">
        <f>IF('[1]E-AV'!B19="","-",'[1]E-AV'!B19)</f>
        <v>Summe Gebäude und bauliche Anlagen</v>
      </c>
      <c r="C645" s="93" t="str">
        <f t="shared" si="159"/>
        <v>Zeitw. 31. Dez.</v>
      </c>
      <c r="D645" s="31">
        <f>IF('[1]E-AV'!$J19="","",'[1]E-AV'!$J19)</f>
        <v>115283.52225806453</v>
      </c>
      <c r="E645" s="27"/>
      <c r="F645" s="32">
        <f>IF(AND(H637="",H638="",H639="",H640="",H641="",H642="",H643="",H644=""),"-",SUM(H637:H644))</f>
        <v>92960.23000000001</v>
      </c>
      <c r="H645" s="97" t="str">
        <f>IF(AV!$J19="","",AV!$J19)</f>
        <v/>
      </c>
      <c r="I645" s="29" t="str">
        <f t="shared" si="161"/>
        <v>Fehlt</v>
      </c>
      <c r="J645" s="30">
        <f t="shared" si="162"/>
        <v>0</v>
      </c>
      <c r="K645" s="23" t="str">
        <f t="shared" si="150"/>
        <v>│</v>
      </c>
      <c r="L645" s="24">
        <f t="shared" si="158"/>
        <v>1</v>
      </c>
      <c r="N645" s="882" t="str">
        <f>IF($L$1="","",$L$1)</f>
        <v>x</v>
      </c>
      <c r="P645" s="31">
        <f t="shared" si="151"/>
        <v>115283.52226</v>
      </c>
      <c r="Q645" s="27" t="str">
        <f t="shared" si="146"/>
        <v/>
      </c>
      <c r="R645" s="32">
        <f t="shared" si="147"/>
        <v>92960.23</v>
      </c>
      <c r="S645" s="1" t="str">
        <f t="shared" si="148"/>
        <v/>
      </c>
      <c r="T645" s="97" t="str">
        <f t="shared" si="149"/>
        <v/>
      </c>
    </row>
    <row r="646" spans="1:20" ht="12.75" x14ac:dyDescent="0.2">
      <c r="B646" s="95" t="str">
        <f>IF('[1]E-AV'!B20="","-",'[1]E-AV'!B20)</f>
        <v>Maschinen und Geräte</v>
      </c>
      <c r="C646" s="93"/>
      <c r="D646" s="19"/>
      <c r="H646" s="17"/>
      <c r="I646" s="29"/>
      <c r="J646" s="29"/>
      <c r="K646" s="23" t="str">
        <f t="shared" si="150"/>
        <v/>
      </c>
      <c r="L646" s="24" t="str">
        <f t="shared" si="158"/>
        <v/>
      </c>
      <c r="N646" s="880" t="str">
        <f>IF($L$1="","",$L$1)</f>
        <v>x</v>
      </c>
      <c r="P646" s="19" t="str">
        <f t="shared" si="151"/>
        <v/>
      </c>
      <c r="Q646" s="1" t="str">
        <f t="shared" si="146"/>
        <v/>
      </c>
      <c r="R646" s="1" t="str">
        <f t="shared" si="147"/>
        <v/>
      </c>
      <c r="S646" s="1" t="str">
        <f t="shared" si="148"/>
        <v/>
      </c>
      <c r="T646" s="17" t="str">
        <f t="shared" si="149"/>
        <v/>
      </c>
    </row>
    <row r="647" spans="1:20" ht="12.75" hidden="1" customHeight="1" x14ac:dyDescent="0.2">
      <c r="A647" s="18"/>
      <c r="B647" s="36" t="str">
        <f>IF('[1]E-AV'!B21="","-",'[1]E-AV'!B21)</f>
        <v>Allradtraktor</v>
      </c>
      <c r="C647" s="93" t="str">
        <f t="shared" ref="C647:C667" si="163">MID($B$631,1,5)&amp;". "&amp;MID($B$631,10,7)&amp;"."</f>
        <v>Zeitw. 31. Dez.</v>
      </c>
      <c r="D647" s="31">
        <f>IF('[1]E-AV'!$J21="","",'[1]E-AV'!$J21)</f>
        <v>17141.999999999996</v>
      </c>
      <c r="E647" s="27"/>
      <c r="F647" s="32" t="str">
        <f t="shared" ref="F647:F666" si="164">IF(AND(OR(H571="",H571="noch leer"),OR(H609="",H609="noch leer")),"-",IF(H571-H609=0,1,H571-H609))</f>
        <v>-</v>
      </c>
      <c r="H647" s="97" t="str">
        <f>IF(AV!$J21="","",AV!$J21)</f>
        <v>noch leer</v>
      </c>
      <c r="I647" s="29" t="str">
        <f t="shared" ref="I647:I667" si="165">IF(B647="","",IF(T647=P647,"Richtig!",IF(AND(P647&lt;&gt;T647,R647=T647),"Formel: OK",IF(T647="","Fehlt","Falsch"))))</f>
        <v>Falsch</v>
      </c>
      <c r="J647" s="30" t="str">
        <f t="shared" ref="J647:J667" si="166">IF(OR(B647="-",N647="",AND(P647="",T647="")),"-",IF(I647="Richtig!",1,IF(I647="Formel: OK",0.5,IF(OR(I647="Falsch",I647="Fehlt"),0,""))))</f>
        <v>-</v>
      </c>
      <c r="K647" s="23" t="str">
        <f t="shared" si="150"/>
        <v/>
      </c>
      <c r="L647" s="24" t="str">
        <f t="shared" si="158"/>
        <v/>
      </c>
      <c r="N647" s="882"/>
      <c r="P647" s="31">
        <f t="shared" si="151"/>
        <v>17142</v>
      </c>
      <c r="Q647" s="27" t="str">
        <f t="shared" si="146"/>
        <v/>
      </c>
      <c r="R647" s="32" t="str">
        <f t="shared" si="147"/>
        <v>-</v>
      </c>
      <c r="S647" s="1" t="str">
        <f t="shared" si="148"/>
        <v/>
      </c>
      <c r="T647" s="97" t="str">
        <f t="shared" si="149"/>
        <v>noch leer</v>
      </c>
    </row>
    <row r="648" spans="1:20" ht="12.75" hidden="1" customHeight="1" x14ac:dyDescent="0.2">
      <c r="A648" s="18"/>
      <c r="B648" s="36" t="str">
        <f>IF('[1]E-AV'!B22="","-",'[1]E-AV'!B22)</f>
        <v>Standardtraktor</v>
      </c>
      <c r="C648" s="93" t="str">
        <f t="shared" si="163"/>
        <v>Zeitw. 31. Dez.</v>
      </c>
      <c r="D648" s="31">
        <f>IF('[1]E-AV'!$J22="","",'[1]E-AV'!$J22)</f>
        <v>5516.875</v>
      </c>
      <c r="E648" s="27"/>
      <c r="F648" s="32">
        <f t="shared" si="164"/>
        <v>5516.875</v>
      </c>
      <c r="H648" s="97">
        <f>IF(AV!$J22="","",AV!$J22)</f>
        <v>5516.875</v>
      </c>
      <c r="I648" s="29" t="str">
        <f t="shared" si="165"/>
        <v>Richtig!</v>
      </c>
      <c r="J648" s="30" t="str">
        <f t="shared" si="166"/>
        <v>-</v>
      </c>
      <c r="K648" s="23" t="str">
        <f t="shared" si="150"/>
        <v/>
      </c>
      <c r="L648" s="24" t="str">
        <f t="shared" ref="L648:L668" si="167">IF(OR(B648="-",N648="",AND(P648="",T648="")),"",1)</f>
        <v/>
      </c>
      <c r="N648" s="882"/>
      <c r="P648" s="31">
        <f t="shared" si="151"/>
        <v>5516.875</v>
      </c>
      <c r="Q648" s="27" t="str">
        <f t="shared" si="146"/>
        <v/>
      </c>
      <c r="R648" s="32">
        <f t="shared" si="147"/>
        <v>5516.875</v>
      </c>
      <c r="S648" s="1" t="str">
        <f t="shared" si="148"/>
        <v/>
      </c>
      <c r="T648" s="97">
        <f t="shared" si="149"/>
        <v>5516.875</v>
      </c>
    </row>
    <row r="649" spans="1:20" ht="12.75" hidden="1" customHeight="1" x14ac:dyDescent="0.2">
      <c r="A649" s="18"/>
      <c r="B649" s="36" t="str">
        <f>IF('[1]E-AV'!B23="","-",'[1]E-AV'!B23)</f>
        <v>-</v>
      </c>
      <c r="C649" s="93" t="str">
        <f t="shared" si="163"/>
        <v>Zeitw. 31. Dez.</v>
      </c>
      <c r="D649" s="31" t="str">
        <f>IF('[1]E-AV'!$J23="","",'[1]E-AV'!$J23)</f>
        <v/>
      </c>
      <c r="E649" s="27"/>
      <c r="F649" s="32" t="str">
        <f t="shared" si="164"/>
        <v>-</v>
      </c>
      <c r="H649" s="97" t="str">
        <f>IF(AV!$J23="","",AV!$J23)</f>
        <v/>
      </c>
      <c r="I649" s="29" t="str">
        <f t="shared" si="165"/>
        <v>Richtig!</v>
      </c>
      <c r="J649" s="30" t="str">
        <f t="shared" si="166"/>
        <v>-</v>
      </c>
      <c r="K649" s="23" t="str">
        <f t="shared" si="150"/>
        <v/>
      </c>
      <c r="L649" s="24" t="str">
        <f t="shared" si="167"/>
        <v/>
      </c>
      <c r="N649" s="882"/>
      <c r="P649" s="31" t="str">
        <f t="shared" si="151"/>
        <v/>
      </c>
      <c r="Q649" s="27" t="str">
        <f t="shared" si="146"/>
        <v/>
      </c>
      <c r="R649" s="32" t="str">
        <f t="shared" si="147"/>
        <v>-</v>
      </c>
      <c r="S649" s="1" t="str">
        <f t="shared" si="148"/>
        <v/>
      </c>
      <c r="T649" s="97" t="str">
        <f t="shared" si="149"/>
        <v/>
      </c>
    </row>
    <row r="650" spans="1:20" ht="12.75" hidden="1" customHeight="1" x14ac:dyDescent="0.2">
      <c r="A650" s="18"/>
      <c r="B650" s="36" t="str">
        <f>IF('[1]E-AV'!B24="","-",'[1]E-AV'!B24)</f>
        <v>PKW-Anhänger</v>
      </c>
      <c r="C650" s="93" t="str">
        <f t="shared" si="163"/>
        <v>Zeitw. 31. Dez.</v>
      </c>
      <c r="D650" s="31">
        <f>IF('[1]E-AV'!$J24="","",'[1]E-AV'!$J24)</f>
        <v>156.66666666666669</v>
      </c>
      <c r="E650" s="27"/>
      <c r="F650" s="32" t="str">
        <f t="shared" si="164"/>
        <v>-</v>
      </c>
      <c r="H650" s="97" t="str">
        <f>IF(AV!$J24="","",AV!$J24)</f>
        <v>noch leer</v>
      </c>
      <c r="I650" s="29" t="str">
        <f t="shared" si="165"/>
        <v>Falsch</v>
      </c>
      <c r="J650" s="30" t="str">
        <f t="shared" si="166"/>
        <v>-</v>
      </c>
      <c r="K650" s="23" t="str">
        <f t="shared" si="150"/>
        <v/>
      </c>
      <c r="L650" s="24" t="str">
        <f t="shared" si="167"/>
        <v/>
      </c>
      <c r="N650" s="882"/>
      <c r="P650" s="31">
        <f t="shared" si="151"/>
        <v>156.66667000000001</v>
      </c>
      <c r="Q650" s="27" t="str">
        <f t="shared" ref="Q650:Q713" si="168">IF(ISTEXT(E650),E650,IF(E650="","",ROUND(E650,$R$1)))</f>
        <v/>
      </c>
      <c r="R650" s="32" t="str">
        <f t="shared" ref="R650:R713" si="169">IF(ISTEXT(F650),F650,IF(F650="","",ROUND(F650,$R$1)))</f>
        <v>-</v>
      </c>
      <c r="S650" s="1" t="str">
        <f t="shared" ref="S650:S713" si="170">IF(ISTEXT(G650),G650,IF(G650="","",ROUND(G650,$R$1)))</f>
        <v/>
      </c>
      <c r="T650" s="97" t="str">
        <f t="shared" ref="T650:T713" si="171">IF(ISTEXT(H650),H650,IF(H650="","",ROUND(H650,$R$1)))</f>
        <v>noch leer</v>
      </c>
    </row>
    <row r="651" spans="1:20" ht="12.75" hidden="1" customHeight="1" x14ac:dyDescent="0.2">
      <c r="A651" s="18"/>
      <c r="B651" s="36" t="str">
        <f>IF('[1]E-AV'!B25="","-",'[1]E-AV'!B25)</f>
        <v>Ladewagen</v>
      </c>
      <c r="C651" s="93" t="str">
        <f t="shared" si="163"/>
        <v>Zeitw. 31. Dez.</v>
      </c>
      <c r="D651" s="31">
        <f>IF('[1]E-AV'!$J25="","",'[1]E-AV'!$J25)</f>
        <v>1</v>
      </c>
      <c r="E651" s="27"/>
      <c r="F651" s="32">
        <f t="shared" si="164"/>
        <v>1</v>
      </c>
      <c r="H651" s="97">
        <f>IF(AV!$J25="","",AV!$J25)</f>
        <v>1</v>
      </c>
      <c r="I651" s="29" t="str">
        <f t="shared" si="165"/>
        <v>Richtig!</v>
      </c>
      <c r="J651" s="30" t="str">
        <f t="shared" si="166"/>
        <v>-</v>
      </c>
      <c r="K651" s="23" t="str">
        <f t="shared" si="150"/>
        <v/>
      </c>
      <c r="L651" s="24" t="str">
        <f t="shared" si="167"/>
        <v/>
      </c>
      <c r="N651" s="882"/>
      <c r="P651" s="31">
        <f t="shared" ref="P651:P714" si="172">IF(ISTEXT(D651),D651,IF(D651="","",ROUND(D651,$R$1)))</f>
        <v>1</v>
      </c>
      <c r="Q651" s="27" t="str">
        <f t="shared" si="168"/>
        <v/>
      </c>
      <c r="R651" s="32">
        <f t="shared" si="169"/>
        <v>1</v>
      </c>
      <c r="S651" s="1" t="str">
        <f t="shared" si="170"/>
        <v/>
      </c>
      <c r="T651" s="97">
        <f t="shared" si="171"/>
        <v>1</v>
      </c>
    </row>
    <row r="652" spans="1:20" ht="12.75" hidden="1" customHeight="1" x14ac:dyDescent="0.2">
      <c r="A652" s="18"/>
      <c r="B652" s="36" t="str">
        <f>IF('[1]E-AV'!B26="","-",'[1]E-AV'!B26)</f>
        <v>Kreiselschwader</v>
      </c>
      <c r="C652" s="93" t="str">
        <f t="shared" si="163"/>
        <v>Zeitw. 31. Dez.</v>
      </c>
      <c r="D652" s="31">
        <f>IF('[1]E-AV'!$J26="","",'[1]E-AV'!$J26)</f>
        <v>318.5</v>
      </c>
      <c r="E652" s="27"/>
      <c r="F652" s="32">
        <f t="shared" si="164"/>
        <v>318.5</v>
      </c>
      <c r="H652" s="97">
        <f>IF(AV!$J26="","",AV!$J26)</f>
        <v>318.5</v>
      </c>
      <c r="I652" s="29" t="str">
        <f t="shared" si="165"/>
        <v>Richtig!</v>
      </c>
      <c r="J652" s="30" t="str">
        <f t="shared" si="166"/>
        <v>-</v>
      </c>
      <c r="K652" s="23" t="str">
        <f t="shared" si="150"/>
        <v/>
      </c>
      <c r="L652" s="24" t="str">
        <f t="shared" si="167"/>
        <v/>
      </c>
      <c r="N652" s="882"/>
      <c r="P652" s="31">
        <f t="shared" si="172"/>
        <v>318.5</v>
      </c>
      <c r="Q652" s="27" t="str">
        <f t="shared" si="168"/>
        <v/>
      </c>
      <c r="R652" s="32">
        <f t="shared" si="169"/>
        <v>318.5</v>
      </c>
      <c r="S652" s="1" t="str">
        <f t="shared" si="170"/>
        <v/>
      </c>
      <c r="T652" s="97">
        <f t="shared" si="171"/>
        <v>318.5</v>
      </c>
    </row>
    <row r="653" spans="1:20" ht="12.75" hidden="1" customHeight="1" x14ac:dyDescent="0.2">
      <c r="A653" s="18"/>
      <c r="B653" s="36" t="str">
        <f>IF('[1]E-AV'!B27="","-",'[1]E-AV'!B27)</f>
        <v>Kreiselzetter</v>
      </c>
      <c r="C653" s="93" t="str">
        <f t="shared" si="163"/>
        <v>Zeitw. 31. Dez.</v>
      </c>
      <c r="D653" s="31">
        <f>IF('[1]E-AV'!$J27="","",'[1]E-AV'!$J27)</f>
        <v>1</v>
      </c>
      <c r="E653" s="27"/>
      <c r="F653" s="32">
        <f t="shared" si="164"/>
        <v>1</v>
      </c>
      <c r="H653" s="97">
        <f>IF(AV!$J27="","",AV!$J27)</f>
        <v>1</v>
      </c>
      <c r="I653" s="29" t="str">
        <f t="shared" si="165"/>
        <v>Richtig!</v>
      </c>
      <c r="J653" s="30" t="str">
        <f t="shared" si="166"/>
        <v>-</v>
      </c>
      <c r="K653" s="23" t="str">
        <f t="shared" ref="K653:K717" si="173">IF(L653="","","│")</f>
        <v/>
      </c>
      <c r="L653" s="24" t="str">
        <f t="shared" si="167"/>
        <v/>
      </c>
      <c r="N653" s="882"/>
      <c r="P653" s="31">
        <f t="shared" si="172"/>
        <v>1</v>
      </c>
      <c r="Q653" s="27" t="str">
        <f t="shared" si="168"/>
        <v/>
      </c>
      <c r="R653" s="32">
        <f t="shared" si="169"/>
        <v>1</v>
      </c>
      <c r="S653" s="1" t="str">
        <f t="shared" si="170"/>
        <v/>
      </c>
      <c r="T653" s="97">
        <f t="shared" si="171"/>
        <v>1</v>
      </c>
    </row>
    <row r="654" spans="1:20" ht="12.75" x14ac:dyDescent="0.2">
      <c r="A654" s="18"/>
      <c r="B654" s="36" t="str">
        <f>IF('[1]E-AV'!B28="","-",'[1]E-AV'!B28)</f>
        <v>Mähwerk</v>
      </c>
      <c r="C654" s="93" t="str">
        <f t="shared" si="163"/>
        <v>Zeitw. 31. Dez.</v>
      </c>
      <c r="D654" s="31">
        <f>IF('[1]E-AV'!$J28="","",'[1]E-AV'!$J28)</f>
        <v>708.53333333333342</v>
      </c>
      <c r="E654" s="27"/>
      <c r="F654" s="32" t="str">
        <f t="shared" si="164"/>
        <v>-</v>
      </c>
      <c r="H654" s="97" t="str">
        <f>IF(AV!$J28="","",AV!$J28)</f>
        <v/>
      </c>
      <c r="I654" s="29" t="str">
        <f t="shared" si="165"/>
        <v>Fehlt</v>
      </c>
      <c r="J654" s="30">
        <f t="shared" si="166"/>
        <v>0</v>
      </c>
      <c r="K654" s="23" t="str">
        <f t="shared" si="173"/>
        <v>│</v>
      </c>
      <c r="L654" s="24">
        <f t="shared" si="167"/>
        <v>1</v>
      </c>
      <c r="N654" s="882" t="str">
        <f>IF($L$1="","",$L$1)</f>
        <v>x</v>
      </c>
      <c r="P654" s="31">
        <f t="shared" si="172"/>
        <v>708.53332999999998</v>
      </c>
      <c r="Q654" s="27" t="str">
        <f t="shared" si="168"/>
        <v/>
      </c>
      <c r="R654" s="32" t="str">
        <f t="shared" si="169"/>
        <v>-</v>
      </c>
      <c r="S654" s="1" t="str">
        <f t="shared" si="170"/>
        <v/>
      </c>
      <c r="T654" s="97" t="str">
        <f t="shared" si="171"/>
        <v/>
      </c>
    </row>
    <row r="655" spans="1:20" ht="12.75" x14ac:dyDescent="0.2">
      <c r="A655" s="18"/>
      <c r="B655" s="36" t="str">
        <f>IF('[1]E-AV'!B29="","-",'[1]E-AV'!B29)</f>
        <v>Motormäher</v>
      </c>
      <c r="C655" s="93" t="str">
        <f t="shared" si="163"/>
        <v>Zeitw. 31. Dez.</v>
      </c>
      <c r="D655" s="31">
        <f>IF('[1]E-AV'!$J29="","",'[1]E-AV'!$J29)</f>
        <v>285.75</v>
      </c>
      <c r="E655" s="27"/>
      <c r="F655" s="32" t="str">
        <f t="shared" si="164"/>
        <v>-</v>
      </c>
      <c r="H655" s="97" t="str">
        <f>IF(AV!$J29="","",AV!$J29)</f>
        <v/>
      </c>
      <c r="I655" s="29" t="str">
        <f t="shared" si="165"/>
        <v>Fehlt</v>
      </c>
      <c r="J655" s="30">
        <f t="shared" si="166"/>
        <v>0</v>
      </c>
      <c r="K655" s="23" t="str">
        <f t="shared" si="173"/>
        <v>│</v>
      </c>
      <c r="L655" s="24">
        <f t="shared" si="167"/>
        <v>1</v>
      </c>
      <c r="N655" s="882" t="str">
        <f>IF($L$1="","",$L$1)</f>
        <v>x</v>
      </c>
      <c r="P655" s="31">
        <f t="shared" si="172"/>
        <v>285.75</v>
      </c>
      <c r="Q655" s="27" t="str">
        <f t="shared" si="168"/>
        <v/>
      </c>
      <c r="R655" s="32" t="str">
        <f t="shared" si="169"/>
        <v>-</v>
      </c>
      <c r="S655" s="1" t="str">
        <f t="shared" si="170"/>
        <v/>
      </c>
      <c r="T655" s="97" t="str">
        <f t="shared" si="171"/>
        <v/>
      </c>
    </row>
    <row r="656" spans="1:20" ht="12.75" hidden="1" customHeight="1" x14ac:dyDescent="0.2">
      <c r="A656" s="18"/>
      <c r="B656" s="36" t="str">
        <f>IF('[1]E-AV'!B30="","-",'[1]E-AV'!B30)</f>
        <v>Gebläse</v>
      </c>
      <c r="C656" s="93" t="str">
        <f t="shared" si="163"/>
        <v>Zeitw. 31. Dez.</v>
      </c>
      <c r="D656" s="31">
        <f>IF('[1]E-AV'!$J30="","",'[1]E-AV'!$J30)</f>
        <v>1</v>
      </c>
      <c r="E656" s="27"/>
      <c r="F656" s="32">
        <f t="shared" si="164"/>
        <v>1</v>
      </c>
      <c r="H656" s="97">
        <f>IF(AV!$J30="","",AV!$J30)</f>
        <v>1</v>
      </c>
      <c r="I656" s="29" t="str">
        <f t="shared" si="165"/>
        <v>Richtig!</v>
      </c>
      <c r="J656" s="30" t="str">
        <f t="shared" si="166"/>
        <v>-</v>
      </c>
      <c r="K656" s="23" t="str">
        <f t="shared" si="173"/>
        <v/>
      </c>
      <c r="L656" s="24" t="str">
        <f t="shared" si="167"/>
        <v/>
      </c>
      <c r="N656" s="882"/>
      <c r="P656" s="31">
        <f t="shared" si="172"/>
        <v>1</v>
      </c>
      <c r="Q656" s="27" t="str">
        <f t="shared" si="168"/>
        <v/>
      </c>
      <c r="R656" s="32">
        <f t="shared" si="169"/>
        <v>1</v>
      </c>
      <c r="S656" s="1" t="str">
        <f t="shared" si="170"/>
        <v/>
      </c>
      <c r="T656" s="97">
        <f t="shared" si="171"/>
        <v>1</v>
      </c>
    </row>
    <row r="657" spans="1:20" ht="12.75" hidden="1" customHeight="1" x14ac:dyDescent="0.2">
      <c r="A657" s="18"/>
      <c r="B657" s="36" t="str">
        <f>IF('[1]E-AV'!B31="","-",'[1]E-AV'!B31)</f>
        <v>Vakuumfass</v>
      </c>
      <c r="C657" s="93" t="str">
        <f t="shared" si="163"/>
        <v>Zeitw. 31. Dez.</v>
      </c>
      <c r="D657" s="31">
        <f>IF('[1]E-AV'!$J31="","",'[1]E-AV'!$J31)</f>
        <v>108.26666666666664</v>
      </c>
      <c r="E657" s="27"/>
      <c r="F657" s="32">
        <f t="shared" si="164"/>
        <v>108.26666666666664</v>
      </c>
      <c r="H657" s="97">
        <f>IF(AV!$J31="","",AV!$J31)</f>
        <v>108.26666666666664</v>
      </c>
      <c r="I657" s="29" t="str">
        <f t="shared" si="165"/>
        <v>Richtig!</v>
      </c>
      <c r="J657" s="30" t="str">
        <f t="shared" si="166"/>
        <v>-</v>
      </c>
      <c r="K657" s="23" t="str">
        <f t="shared" si="173"/>
        <v/>
      </c>
      <c r="L657" s="24" t="str">
        <f t="shared" si="167"/>
        <v/>
      </c>
      <c r="N657" s="882"/>
      <c r="P657" s="31">
        <f t="shared" si="172"/>
        <v>108.26667</v>
      </c>
      <c r="Q657" s="27" t="str">
        <f t="shared" si="168"/>
        <v/>
      </c>
      <c r="R657" s="32">
        <f t="shared" si="169"/>
        <v>108.26667</v>
      </c>
      <c r="S657" s="1" t="str">
        <f t="shared" si="170"/>
        <v/>
      </c>
      <c r="T657" s="97">
        <f t="shared" si="171"/>
        <v>108.26667</v>
      </c>
    </row>
    <row r="658" spans="1:20" ht="12.75" hidden="1" customHeight="1" x14ac:dyDescent="0.2">
      <c r="A658" s="18"/>
      <c r="B658" s="36" t="str">
        <f>IF('[1]E-AV'!B32="","-",'[1]E-AV'!B32)</f>
        <v>Miststreuer</v>
      </c>
      <c r="C658" s="93" t="str">
        <f t="shared" si="163"/>
        <v>Zeitw. 31. Dez.</v>
      </c>
      <c r="D658" s="31">
        <f>IF('[1]E-AV'!$J32="","",'[1]E-AV'!$J32)</f>
        <v>1</v>
      </c>
      <c r="E658" s="27"/>
      <c r="F658" s="32">
        <f t="shared" si="164"/>
        <v>1</v>
      </c>
      <c r="H658" s="97">
        <f>IF(AV!$J32="","",AV!$J32)</f>
        <v>1</v>
      </c>
      <c r="I658" s="29" t="str">
        <f t="shared" si="165"/>
        <v>Richtig!</v>
      </c>
      <c r="J658" s="30" t="str">
        <f t="shared" si="166"/>
        <v>-</v>
      </c>
      <c r="K658" s="23" t="str">
        <f t="shared" si="173"/>
        <v/>
      </c>
      <c r="L658" s="24" t="str">
        <f t="shared" si="167"/>
        <v/>
      </c>
      <c r="N658" s="882"/>
      <c r="P658" s="31">
        <f t="shared" si="172"/>
        <v>1</v>
      </c>
      <c r="Q658" s="27" t="str">
        <f t="shared" si="168"/>
        <v/>
      </c>
      <c r="R658" s="32">
        <f t="shared" si="169"/>
        <v>1</v>
      </c>
      <c r="S658" s="1" t="str">
        <f t="shared" si="170"/>
        <v/>
      </c>
      <c r="T658" s="97">
        <f t="shared" si="171"/>
        <v>1</v>
      </c>
    </row>
    <row r="659" spans="1:20" ht="12.75" hidden="1" customHeight="1" x14ac:dyDescent="0.2">
      <c r="A659" s="18"/>
      <c r="B659" s="36" t="str">
        <f>IF('[1]E-AV'!B33="","-",'[1]E-AV'!B33)</f>
        <v>Butterfass</v>
      </c>
      <c r="C659" s="93" t="str">
        <f t="shared" si="163"/>
        <v>Zeitw. 31. Dez.</v>
      </c>
      <c r="D659" s="31">
        <f>IF('[1]E-AV'!$J33="","",'[1]E-AV'!$J33)</f>
        <v>206.99999999999997</v>
      </c>
      <c r="E659" s="27"/>
      <c r="F659" s="32">
        <f t="shared" si="164"/>
        <v>206.99999999999997</v>
      </c>
      <c r="H659" s="97">
        <f>IF(AV!$J33="","",AV!$J33)</f>
        <v>206.99999999999997</v>
      </c>
      <c r="I659" s="29" t="str">
        <f t="shared" si="165"/>
        <v>Richtig!</v>
      </c>
      <c r="J659" s="30" t="str">
        <f t="shared" si="166"/>
        <v>-</v>
      </c>
      <c r="K659" s="23" t="str">
        <f t="shared" si="173"/>
        <v/>
      </c>
      <c r="L659" s="24" t="str">
        <f t="shared" si="167"/>
        <v/>
      </c>
      <c r="N659" s="882"/>
      <c r="P659" s="31">
        <f t="shared" si="172"/>
        <v>207</v>
      </c>
      <c r="Q659" s="27" t="str">
        <f t="shared" si="168"/>
        <v/>
      </c>
      <c r="R659" s="32">
        <f t="shared" si="169"/>
        <v>207</v>
      </c>
      <c r="S659" s="1" t="str">
        <f t="shared" si="170"/>
        <v/>
      </c>
      <c r="T659" s="97">
        <f t="shared" si="171"/>
        <v>207</v>
      </c>
    </row>
    <row r="660" spans="1:20" ht="12.75" hidden="1" customHeight="1" x14ac:dyDescent="0.2">
      <c r="A660" s="18"/>
      <c r="B660" s="36" t="str">
        <f>IF('[1]E-AV'!B34="","-",'[1]E-AV'!B34)</f>
        <v>Zentrifuge</v>
      </c>
      <c r="C660" s="93" t="str">
        <f t="shared" si="163"/>
        <v>Zeitw. 31. Dez.</v>
      </c>
      <c r="D660" s="31">
        <f>IF('[1]E-AV'!$J34="","",'[1]E-AV'!$J34)</f>
        <v>1</v>
      </c>
      <c r="E660" s="27"/>
      <c r="F660" s="32">
        <f t="shared" si="164"/>
        <v>1</v>
      </c>
      <c r="H660" s="97">
        <f>IF(AV!$J34="","",AV!$J34)</f>
        <v>1</v>
      </c>
      <c r="I660" s="29" t="str">
        <f t="shared" si="165"/>
        <v>Richtig!</v>
      </c>
      <c r="J660" s="30" t="str">
        <f t="shared" si="166"/>
        <v>-</v>
      </c>
      <c r="K660" s="23" t="str">
        <f t="shared" si="173"/>
        <v/>
      </c>
      <c r="L660" s="24" t="str">
        <f t="shared" si="167"/>
        <v/>
      </c>
      <c r="N660" s="882"/>
      <c r="P660" s="31">
        <f t="shared" si="172"/>
        <v>1</v>
      </c>
      <c r="Q660" s="27" t="str">
        <f t="shared" si="168"/>
        <v/>
      </c>
      <c r="R660" s="32">
        <f t="shared" si="169"/>
        <v>1</v>
      </c>
      <c r="S660" s="1" t="str">
        <f t="shared" si="170"/>
        <v/>
      </c>
      <c r="T660" s="97">
        <f t="shared" si="171"/>
        <v>1</v>
      </c>
    </row>
    <row r="661" spans="1:20" ht="12.75" hidden="1" customHeight="1" x14ac:dyDescent="0.2">
      <c r="A661" s="18"/>
      <c r="B661" s="36" t="str">
        <f>IF('[1]E-AV'!B35="","-",'[1]E-AV'!B35)</f>
        <v>Pasteur</v>
      </c>
      <c r="C661" s="93" t="str">
        <f t="shared" si="163"/>
        <v>Zeitw. 31. Dez.</v>
      </c>
      <c r="D661" s="31">
        <f>IF('[1]E-AV'!$J35="","",'[1]E-AV'!$J35)</f>
        <v>1</v>
      </c>
      <c r="E661" s="27"/>
      <c r="F661" s="32">
        <f t="shared" si="164"/>
        <v>1</v>
      </c>
      <c r="H661" s="97">
        <f>IF(AV!$J35="","",AV!$J35)</f>
        <v>1</v>
      </c>
      <c r="I661" s="29" t="str">
        <f t="shared" si="165"/>
        <v>Richtig!</v>
      </c>
      <c r="J661" s="30" t="str">
        <f t="shared" si="166"/>
        <v>-</v>
      </c>
      <c r="K661" s="23" t="str">
        <f t="shared" si="173"/>
        <v/>
      </c>
      <c r="L661" s="24" t="str">
        <f t="shared" si="167"/>
        <v/>
      </c>
      <c r="N661" s="882"/>
      <c r="P661" s="31">
        <f t="shared" si="172"/>
        <v>1</v>
      </c>
      <c r="Q661" s="27" t="str">
        <f t="shared" si="168"/>
        <v/>
      </c>
      <c r="R661" s="32">
        <f t="shared" si="169"/>
        <v>1</v>
      </c>
      <c r="S661" s="1" t="str">
        <f t="shared" si="170"/>
        <v/>
      </c>
      <c r="T661" s="97">
        <f t="shared" si="171"/>
        <v>1</v>
      </c>
    </row>
    <row r="662" spans="1:20" ht="12.75" x14ac:dyDescent="0.2">
      <c r="A662" s="18"/>
      <c r="B662" s="36" t="str">
        <f>IF('[1]E-AV'!B36="","-",'[1]E-AV'!B36)</f>
        <v>Motorsäge</v>
      </c>
      <c r="C662" s="93" t="str">
        <f t="shared" si="163"/>
        <v>Zeitw. 31. Dez.</v>
      </c>
      <c r="D662" s="31">
        <f>IF('[1]E-AV'!$J36="","",'[1]E-AV'!$J36)</f>
        <v>1</v>
      </c>
      <c r="E662" s="27"/>
      <c r="F662" s="32" t="str">
        <f t="shared" si="164"/>
        <v>-</v>
      </c>
      <c r="H662" s="97" t="str">
        <f>IF(AV!$J36="","",AV!$J36)</f>
        <v/>
      </c>
      <c r="I662" s="29" t="str">
        <f t="shared" si="165"/>
        <v>Fehlt</v>
      </c>
      <c r="J662" s="30">
        <f t="shared" si="166"/>
        <v>0</v>
      </c>
      <c r="K662" s="23" t="str">
        <f t="shared" si="173"/>
        <v>│</v>
      </c>
      <c r="L662" s="24">
        <f t="shared" si="167"/>
        <v>1</v>
      </c>
      <c r="N662" s="882" t="str">
        <f>IF($L$1="","",$L$1)</f>
        <v>x</v>
      </c>
      <c r="P662" s="31">
        <f t="shared" si="172"/>
        <v>1</v>
      </c>
      <c r="Q662" s="27" t="str">
        <f t="shared" si="168"/>
        <v/>
      </c>
      <c r="R662" s="32" t="str">
        <f t="shared" si="169"/>
        <v>-</v>
      </c>
      <c r="S662" s="1" t="str">
        <f t="shared" si="170"/>
        <v/>
      </c>
      <c r="T662" s="97" t="str">
        <f t="shared" si="171"/>
        <v/>
      </c>
    </row>
    <row r="663" spans="1:20" ht="12.75" hidden="1" customHeight="1" x14ac:dyDescent="0.2">
      <c r="A663" s="18"/>
      <c r="B663" s="36" t="str">
        <f>IF('[1]E-AV'!B37="","-",'[1]E-AV'!B37)</f>
        <v>Pflug</v>
      </c>
      <c r="C663" s="93" t="str">
        <f t="shared" si="163"/>
        <v>Zeitw. 31. Dez.</v>
      </c>
      <c r="D663" s="31">
        <f>IF('[1]E-AV'!$J37="","",'[1]E-AV'!$J37)</f>
        <v>1</v>
      </c>
      <c r="E663" s="27"/>
      <c r="F663" s="32">
        <f t="shared" si="164"/>
        <v>1</v>
      </c>
      <c r="H663" s="97">
        <f>IF(AV!$J37="","",AV!$J37)</f>
        <v>1</v>
      </c>
      <c r="I663" s="29" t="str">
        <f t="shared" si="165"/>
        <v>Richtig!</v>
      </c>
      <c r="J663" s="30" t="str">
        <f t="shared" si="166"/>
        <v>-</v>
      </c>
      <c r="K663" s="23" t="str">
        <f t="shared" si="173"/>
        <v/>
      </c>
      <c r="L663" s="24" t="str">
        <f t="shared" si="167"/>
        <v/>
      </c>
      <c r="N663" s="882"/>
      <c r="P663" s="31">
        <f t="shared" si="172"/>
        <v>1</v>
      </c>
      <c r="Q663" s="27" t="str">
        <f t="shared" si="168"/>
        <v/>
      </c>
      <c r="R663" s="32">
        <f t="shared" si="169"/>
        <v>1</v>
      </c>
      <c r="S663" s="1" t="str">
        <f t="shared" si="170"/>
        <v/>
      </c>
      <c r="T663" s="97">
        <f t="shared" si="171"/>
        <v>1</v>
      </c>
    </row>
    <row r="664" spans="1:20" ht="12.75" hidden="1" customHeight="1" x14ac:dyDescent="0.2">
      <c r="A664" s="18"/>
      <c r="B664" s="36" t="str">
        <f>IF('[1]E-AV'!B38="","-",'[1]E-AV'!B38)</f>
        <v>Ackerschleppe</v>
      </c>
      <c r="C664" s="93" t="str">
        <f t="shared" si="163"/>
        <v>Zeitw. 31. Dez.</v>
      </c>
      <c r="D664" s="31">
        <f>IF('[1]E-AV'!$J38="","",'[1]E-AV'!$J38)</f>
        <v>1</v>
      </c>
      <c r="E664" s="27"/>
      <c r="F664" s="32">
        <f t="shared" si="164"/>
        <v>1</v>
      </c>
      <c r="H664" s="97">
        <f>IF(AV!$J38="","",AV!$J38)</f>
        <v>1</v>
      </c>
      <c r="I664" s="29" t="str">
        <f t="shared" si="165"/>
        <v>Richtig!</v>
      </c>
      <c r="J664" s="30" t="str">
        <f t="shared" si="166"/>
        <v>-</v>
      </c>
      <c r="K664" s="23" t="str">
        <f t="shared" si="173"/>
        <v/>
      </c>
      <c r="L664" s="24" t="str">
        <f t="shared" si="167"/>
        <v/>
      </c>
      <c r="N664" s="882"/>
      <c r="P664" s="31">
        <f t="shared" si="172"/>
        <v>1</v>
      </c>
      <c r="Q664" s="27" t="str">
        <f t="shared" si="168"/>
        <v/>
      </c>
      <c r="R664" s="32">
        <f t="shared" si="169"/>
        <v>1</v>
      </c>
      <c r="S664" s="1" t="str">
        <f t="shared" si="170"/>
        <v/>
      </c>
      <c r="T664" s="97">
        <f t="shared" si="171"/>
        <v>1</v>
      </c>
    </row>
    <row r="665" spans="1:20" ht="12.75" hidden="1" customHeight="1" x14ac:dyDescent="0.2">
      <c r="A665" s="18"/>
      <c r="B665" s="36" t="str">
        <f>IF('[1]E-AV'!B39="","-",'[1]E-AV'!B39)</f>
        <v>Frontlader</v>
      </c>
      <c r="C665" s="93" t="str">
        <f t="shared" si="163"/>
        <v>Zeitw. 31. Dez.</v>
      </c>
      <c r="D665" s="31">
        <f>IF('[1]E-AV'!$J39="","",'[1]E-AV'!$J39)</f>
        <v>1</v>
      </c>
      <c r="E665" s="27"/>
      <c r="F665" s="32">
        <f t="shared" si="164"/>
        <v>1</v>
      </c>
      <c r="H665" s="97">
        <f>IF(AV!$J39="","",AV!$J39)</f>
        <v>1</v>
      </c>
      <c r="I665" s="29" t="str">
        <f t="shared" si="165"/>
        <v>Richtig!</v>
      </c>
      <c r="J665" s="30" t="str">
        <f t="shared" si="166"/>
        <v>-</v>
      </c>
      <c r="K665" s="23" t="str">
        <f t="shared" si="173"/>
        <v/>
      </c>
      <c r="L665" s="24" t="str">
        <f t="shared" si="167"/>
        <v/>
      </c>
      <c r="N665" s="882"/>
      <c r="P665" s="31">
        <f t="shared" si="172"/>
        <v>1</v>
      </c>
      <c r="Q665" s="27" t="str">
        <f t="shared" si="168"/>
        <v/>
      </c>
      <c r="R665" s="32">
        <f t="shared" si="169"/>
        <v>1</v>
      </c>
      <c r="S665" s="1" t="str">
        <f t="shared" si="170"/>
        <v/>
      </c>
      <c r="T665" s="97">
        <f t="shared" si="171"/>
        <v>1</v>
      </c>
    </row>
    <row r="666" spans="1:20" ht="12.75" hidden="1" customHeight="1" x14ac:dyDescent="0.2">
      <c r="A666" s="18"/>
      <c r="B666" s="36" t="str">
        <f>IF('[1]E-AV'!B40="","-",'[1]E-AV'!B40)</f>
        <v>-</v>
      </c>
      <c r="C666" s="93" t="str">
        <f t="shared" si="163"/>
        <v>Zeitw. 31. Dez.</v>
      </c>
      <c r="D666" s="31" t="str">
        <f>IF('[1]E-AV'!$J40="","",'[1]E-AV'!$J40)</f>
        <v/>
      </c>
      <c r="E666" s="27"/>
      <c r="F666" s="32" t="str">
        <f t="shared" si="164"/>
        <v>-</v>
      </c>
      <c r="H666" s="97" t="str">
        <f>IF(AV!$J40="","",AV!$J40)</f>
        <v/>
      </c>
      <c r="I666" s="29" t="str">
        <f t="shared" si="165"/>
        <v>Richtig!</v>
      </c>
      <c r="J666" s="30" t="str">
        <f t="shared" si="166"/>
        <v>-</v>
      </c>
      <c r="K666" s="23" t="str">
        <f t="shared" si="173"/>
        <v/>
      </c>
      <c r="L666" s="24" t="str">
        <f t="shared" si="167"/>
        <v/>
      </c>
      <c r="N666" s="882"/>
      <c r="P666" s="31" t="str">
        <f t="shared" si="172"/>
        <v/>
      </c>
      <c r="Q666" s="27" t="str">
        <f t="shared" si="168"/>
        <v/>
      </c>
      <c r="R666" s="32" t="str">
        <f t="shared" si="169"/>
        <v>-</v>
      </c>
      <c r="S666" s="1" t="str">
        <f t="shared" si="170"/>
        <v/>
      </c>
      <c r="T666" s="97" t="str">
        <f t="shared" si="171"/>
        <v/>
      </c>
    </row>
    <row r="667" spans="1:20" ht="12.75" x14ac:dyDescent="0.2">
      <c r="A667" s="18"/>
      <c r="B667" s="92" t="str">
        <f>IF('[1]E-AV'!B41="","-",'[1]E-AV'!B41)</f>
        <v>Summe Maschinen und Geräte</v>
      </c>
      <c r="C667" s="93" t="str">
        <f t="shared" si="163"/>
        <v>Zeitw. 31. Dez.</v>
      </c>
      <c r="D667" s="31">
        <f>IF('[1]E-AV'!$J41="","",'[1]E-AV'!$J41)</f>
        <v>24453.591666666664</v>
      </c>
      <c r="E667" s="27"/>
      <c r="F667" s="32">
        <f>IF(AND(H647="",H648="",H649="",H650="",H651="",H652="",H653="",H654="",H655="",H656="",H657="",H658="",H659="",H660="",H661="",H662="",H663="",H664="",H665="",H666=""),"-",SUM(H647:H666))</f>
        <v>6159.6416666666664</v>
      </c>
      <c r="H667" s="97" t="str">
        <f>IF(AV!$J41="","",AV!$J41)</f>
        <v/>
      </c>
      <c r="I667" s="29" t="str">
        <f t="shared" si="165"/>
        <v>Fehlt</v>
      </c>
      <c r="J667" s="30">
        <f t="shared" si="166"/>
        <v>0</v>
      </c>
      <c r="K667" s="23" t="str">
        <f t="shared" si="173"/>
        <v>│</v>
      </c>
      <c r="L667" s="24">
        <f t="shared" si="167"/>
        <v>1</v>
      </c>
      <c r="N667" s="882" t="str">
        <f>IF($L$1="","",$L$1)</f>
        <v>x</v>
      </c>
      <c r="P667" s="31">
        <f t="shared" si="172"/>
        <v>24453.591670000002</v>
      </c>
      <c r="Q667" s="27" t="str">
        <f t="shared" si="168"/>
        <v/>
      </c>
      <c r="R667" s="32">
        <f t="shared" si="169"/>
        <v>6159.64167</v>
      </c>
      <c r="S667" s="1" t="str">
        <f t="shared" si="170"/>
        <v/>
      </c>
      <c r="T667" s="97" t="str">
        <f t="shared" si="171"/>
        <v/>
      </c>
    </row>
    <row r="668" spans="1:20" ht="20.100000000000001" customHeight="1" x14ac:dyDescent="0.2">
      <c r="A668" s="18"/>
      <c r="B668" s="36"/>
      <c r="C668" s="42"/>
      <c r="D668" s="19"/>
      <c r="H668" s="17"/>
      <c r="I668" s="29"/>
      <c r="J668" s="29"/>
      <c r="K668" s="23" t="str">
        <f t="shared" si="173"/>
        <v/>
      </c>
      <c r="L668" s="24" t="str">
        <f t="shared" si="167"/>
        <v/>
      </c>
      <c r="N668" s="883" t="str">
        <f>IF($L$1="","",$L$1)</f>
        <v>x</v>
      </c>
      <c r="P668" s="19" t="str">
        <f t="shared" si="172"/>
        <v/>
      </c>
      <c r="Q668" s="1" t="str">
        <f t="shared" si="168"/>
        <v/>
      </c>
      <c r="R668" s="1" t="str">
        <f t="shared" si="169"/>
        <v/>
      </c>
      <c r="S668" s="1" t="str">
        <f t="shared" si="170"/>
        <v/>
      </c>
      <c r="T668" s="17" t="str">
        <f t="shared" si="171"/>
        <v/>
      </c>
    </row>
    <row r="669" spans="1:20" ht="22.5" x14ac:dyDescent="0.2">
      <c r="A669" s="10" t="s">
        <v>84</v>
      </c>
      <c r="B669" s="11"/>
      <c r="C669" s="12"/>
      <c r="D669" s="13" t="s">
        <v>4</v>
      </c>
      <c r="E669" s="13"/>
      <c r="F669" s="14" t="s">
        <v>5</v>
      </c>
      <c r="G669" s="12"/>
      <c r="H669" s="14" t="s">
        <v>6</v>
      </c>
      <c r="I669" s="15" t="str">
        <f>"Fehler"</f>
        <v>Fehler</v>
      </c>
      <c r="J669" s="16" t="s">
        <v>7</v>
      </c>
      <c r="K669" s="16"/>
      <c r="L669" s="16"/>
      <c r="N669" s="881" t="str">
        <f>IF($L$1="","",$L$1)</f>
        <v>x</v>
      </c>
      <c r="P669" s="13" t="str">
        <f t="shared" si="172"/>
        <v>Ergebnis</v>
      </c>
      <c r="Q669" s="13" t="str">
        <f t="shared" si="168"/>
        <v/>
      </c>
      <c r="R669" s="14" t="str">
        <f t="shared" si="169"/>
        <v>Formel-
prüfung</v>
      </c>
      <c r="S669" s="12" t="str">
        <f t="shared" si="170"/>
        <v/>
      </c>
      <c r="T669" s="14" t="str">
        <f t="shared" si="171"/>
        <v>Deine Be-rechnung</v>
      </c>
    </row>
    <row r="670" spans="1:20" ht="12.75" customHeight="1" x14ac:dyDescent="0.2">
      <c r="A670" s="17" t="s">
        <v>9</v>
      </c>
      <c r="B670" s="17" t="s">
        <v>85</v>
      </c>
      <c r="C670" s="18"/>
      <c r="D670" s="19"/>
      <c r="H670" s="17"/>
      <c r="I670" s="21"/>
      <c r="J670" s="21"/>
      <c r="K670" s="23" t="str">
        <f t="shared" si="173"/>
        <v/>
      </c>
      <c r="L670" s="24" t="str">
        <f t="shared" ref="L670:L701" si="174">IF(OR(B670="-",N670="",AND(P670="",T670="")),"",1)</f>
        <v/>
      </c>
      <c r="N670" s="880" t="str">
        <f>IF($L$1="","",$L$1)</f>
        <v>x</v>
      </c>
      <c r="P670" s="19" t="str">
        <f t="shared" si="172"/>
        <v/>
      </c>
      <c r="Q670" s="1" t="str">
        <f t="shared" si="168"/>
        <v/>
      </c>
      <c r="R670" s="1" t="str">
        <f t="shared" si="169"/>
        <v/>
      </c>
      <c r="S670" s="1" t="str">
        <f t="shared" si="170"/>
        <v/>
      </c>
      <c r="T670" s="17" t="str">
        <f t="shared" si="171"/>
        <v/>
      </c>
    </row>
    <row r="671" spans="1:20" ht="12.75" customHeight="1" x14ac:dyDescent="0.2">
      <c r="B671" s="95" t="str">
        <f>IF(UV!B5="","-",UV!B5)</f>
        <v>RINDER</v>
      </c>
      <c r="C671" s="42"/>
      <c r="D671" s="19" t="str">
        <f>IF('[1]E-2NGeb'!Q252="","",'[1]E-2NGeb'!Q252)</f>
        <v/>
      </c>
      <c r="H671" s="17" t="str">
        <f>IF('2NGeb'!Q252="","",'2NGeb'!Q252)</f>
        <v/>
      </c>
      <c r="I671" s="29" t="str">
        <f t="shared" ref="I671:I678" si="175">IF(OR(B671="-",AND(P671="",T671="")),"",IF(T671=P671,"Richtig!",IF(T671="","Fehlt","Falsch")))</f>
        <v/>
      </c>
      <c r="J671" s="29"/>
      <c r="K671" s="23" t="str">
        <f t="shared" si="173"/>
        <v/>
      </c>
      <c r="L671" s="24" t="str">
        <f t="shared" si="174"/>
        <v/>
      </c>
      <c r="N671" s="880" t="str">
        <f>IF($L$1="","",$L$1)</f>
        <v>x</v>
      </c>
      <c r="P671" s="19" t="str">
        <f t="shared" si="172"/>
        <v/>
      </c>
      <c r="Q671" s="1" t="str">
        <f t="shared" si="168"/>
        <v/>
      </c>
      <c r="R671" s="1" t="str">
        <f t="shared" si="169"/>
        <v/>
      </c>
      <c r="S671" s="1" t="str">
        <f t="shared" si="170"/>
        <v/>
      </c>
      <c r="T671" s="17" t="str">
        <f t="shared" si="171"/>
        <v/>
      </c>
    </row>
    <row r="672" spans="1:20" ht="12.75" hidden="1" customHeight="1" x14ac:dyDescent="0.2">
      <c r="B672" s="3" t="str">
        <f>IF(UV!B6="","-",UV!B6)</f>
        <v>Milchkühe</v>
      </c>
      <c r="C672" s="93" t="str">
        <f t="shared" ref="C672:C679" si="176">MID($B$670,1,11)&amp;"."</f>
        <v>Wert 1. Jän.</v>
      </c>
      <c r="D672" s="26">
        <f>IF('[1]E-UV'!$F6="","",'[1]E-UV'!$F6)</f>
        <v>12628</v>
      </c>
      <c r="E672" s="27"/>
      <c r="F672" s="27"/>
      <c r="H672" s="96">
        <f>IF(UV!$F6="","",UV!$F6)</f>
        <v>12628</v>
      </c>
      <c r="I672" s="29" t="str">
        <f t="shared" si="175"/>
        <v>Richtig!</v>
      </c>
      <c r="J672" s="30" t="str">
        <f t="shared" ref="J672:J679" si="177">IF(OR(B672="-",N672="",AND(P672="",T672="")),"-",IF(I672="Richtig!",1,IF(I672="Formel: OK",0.5,IF(OR(I672="Falsch",I672="Fehlt"),0,""))))</f>
        <v>-</v>
      </c>
      <c r="K672" s="23" t="str">
        <f t="shared" si="173"/>
        <v/>
      </c>
      <c r="L672" s="24" t="str">
        <f t="shared" si="174"/>
        <v/>
      </c>
      <c r="N672" s="882"/>
      <c r="P672" s="26">
        <f t="shared" si="172"/>
        <v>12628</v>
      </c>
      <c r="Q672" s="27" t="str">
        <f t="shared" si="168"/>
        <v/>
      </c>
      <c r="R672" s="27" t="str">
        <f t="shared" si="169"/>
        <v/>
      </c>
      <c r="S672" s="1" t="str">
        <f t="shared" si="170"/>
        <v/>
      </c>
      <c r="T672" s="96">
        <f t="shared" si="171"/>
        <v>12628</v>
      </c>
    </row>
    <row r="673" spans="1:20" ht="12.75" x14ac:dyDescent="0.2">
      <c r="A673" s="18"/>
      <c r="B673" s="3" t="str">
        <f>IF(UV!B7="","-",UV!B7)</f>
        <v>Kalbinnen</v>
      </c>
      <c r="C673" s="93" t="str">
        <f t="shared" si="176"/>
        <v>Wert 1. Jän.</v>
      </c>
      <c r="D673" s="26">
        <f>IF('[1]E-UV'!$F7="","",'[1]E-UV'!$F7)</f>
        <v>7734</v>
      </c>
      <c r="E673" s="27"/>
      <c r="F673" s="27"/>
      <c r="H673" s="96" t="str">
        <f>IF(UV!$F7="","",UV!$F7)</f>
        <v/>
      </c>
      <c r="I673" s="29" t="str">
        <f t="shared" si="175"/>
        <v>Fehlt</v>
      </c>
      <c r="J673" s="30">
        <f t="shared" si="177"/>
        <v>0</v>
      </c>
      <c r="K673" s="23" t="str">
        <f t="shared" si="173"/>
        <v>│</v>
      </c>
      <c r="L673" s="24">
        <f t="shared" si="174"/>
        <v>1</v>
      </c>
      <c r="N673" s="882" t="str">
        <f>IF($L$1="","",$L$1)</f>
        <v>x</v>
      </c>
      <c r="P673" s="26">
        <f t="shared" si="172"/>
        <v>7734</v>
      </c>
      <c r="Q673" s="27" t="str">
        <f t="shared" si="168"/>
        <v/>
      </c>
      <c r="R673" s="27" t="str">
        <f t="shared" si="169"/>
        <v/>
      </c>
      <c r="S673" s="1" t="str">
        <f t="shared" si="170"/>
        <v/>
      </c>
      <c r="T673" s="96" t="str">
        <f t="shared" si="171"/>
        <v/>
      </c>
    </row>
    <row r="674" spans="1:20" ht="12.75" x14ac:dyDescent="0.2">
      <c r="A674" s="18"/>
      <c r="B674" s="3" t="str">
        <f>IF(UV!B8="","-",UV!B8)</f>
        <v>Jungvieh 1 - 2 Jahre</v>
      </c>
      <c r="C674" s="93" t="str">
        <f t="shared" si="176"/>
        <v>Wert 1. Jän.</v>
      </c>
      <c r="D674" s="26">
        <f>IF('[1]E-UV'!$F8="","",'[1]E-UV'!$F8)</f>
        <v>3020</v>
      </c>
      <c r="E674" s="27"/>
      <c r="F674" s="27"/>
      <c r="H674" s="96" t="str">
        <f>IF(UV!$F8="","",UV!$F8)</f>
        <v/>
      </c>
      <c r="I674" s="29" t="str">
        <f t="shared" si="175"/>
        <v>Fehlt</v>
      </c>
      <c r="J674" s="30">
        <f t="shared" si="177"/>
        <v>0</v>
      </c>
      <c r="K674" s="23" t="str">
        <f t="shared" si="173"/>
        <v>│</v>
      </c>
      <c r="L674" s="24">
        <f t="shared" si="174"/>
        <v>1</v>
      </c>
      <c r="N674" s="882" t="str">
        <f>IF($L$1="","",$L$1)</f>
        <v>x</v>
      </c>
      <c r="P674" s="26">
        <f t="shared" si="172"/>
        <v>3020</v>
      </c>
      <c r="Q674" s="27" t="str">
        <f t="shared" si="168"/>
        <v/>
      </c>
      <c r="R674" s="27" t="str">
        <f t="shared" si="169"/>
        <v/>
      </c>
      <c r="S674" s="1" t="str">
        <f t="shared" si="170"/>
        <v/>
      </c>
      <c r="T674" s="96" t="str">
        <f t="shared" si="171"/>
        <v/>
      </c>
    </row>
    <row r="675" spans="1:20" ht="12.75" hidden="1" customHeight="1" x14ac:dyDescent="0.2">
      <c r="A675" s="18"/>
      <c r="B675" s="3" t="str">
        <f>IF(UV!B9="","-",UV!B9)</f>
        <v>Jungvieh bis 1 Jahr</v>
      </c>
      <c r="C675" s="93" t="str">
        <f t="shared" si="176"/>
        <v>Wert 1. Jän.</v>
      </c>
      <c r="D675" s="26">
        <f>IF('[1]E-UV'!$F9="","",'[1]E-UV'!$F9)</f>
        <v>1638</v>
      </c>
      <c r="E675" s="27"/>
      <c r="F675" s="27"/>
      <c r="H675" s="96">
        <f>IF(UV!$F9="","",UV!$F9)</f>
        <v>1638</v>
      </c>
      <c r="I675" s="29" t="str">
        <f t="shared" si="175"/>
        <v>Richtig!</v>
      </c>
      <c r="J675" s="30" t="str">
        <f t="shared" si="177"/>
        <v>-</v>
      </c>
      <c r="K675" s="23" t="str">
        <f t="shared" si="173"/>
        <v/>
      </c>
      <c r="L675" s="24" t="str">
        <f t="shared" si="174"/>
        <v/>
      </c>
      <c r="N675" s="882"/>
      <c r="P675" s="26">
        <f t="shared" si="172"/>
        <v>1638</v>
      </c>
      <c r="Q675" s="27" t="str">
        <f t="shared" si="168"/>
        <v/>
      </c>
      <c r="R675" s="27" t="str">
        <f t="shared" si="169"/>
        <v/>
      </c>
      <c r="S675" s="1" t="str">
        <f t="shared" si="170"/>
        <v/>
      </c>
      <c r="T675" s="96">
        <f t="shared" si="171"/>
        <v>1638</v>
      </c>
    </row>
    <row r="676" spans="1:20" ht="12.75" hidden="1" customHeight="1" x14ac:dyDescent="0.2">
      <c r="A676" s="18"/>
      <c r="B676" s="3" t="str">
        <f>IF(UV!B10="","-",UV!B10)</f>
        <v>Mastkälber</v>
      </c>
      <c r="C676" s="93" t="str">
        <f t="shared" si="176"/>
        <v>Wert 1. Jän.</v>
      </c>
      <c r="D676" s="26">
        <f>IF('[1]E-UV'!$F10="","",'[1]E-UV'!$F10)</f>
        <v>980</v>
      </c>
      <c r="E676" s="27"/>
      <c r="F676" s="27"/>
      <c r="H676" s="96">
        <f>IF(UV!$F10="","",UV!$F10)</f>
        <v>980</v>
      </c>
      <c r="I676" s="29" t="str">
        <f t="shared" si="175"/>
        <v>Richtig!</v>
      </c>
      <c r="J676" s="30" t="str">
        <f t="shared" si="177"/>
        <v>-</v>
      </c>
      <c r="K676" s="23" t="str">
        <f t="shared" si="173"/>
        <v/>
      </c>
      <c r="L676" s="24" t="str">
        <f t="shared" si="174"/>
        <v/>
      </c>
      <c r="N676" s="882"/>
      <c r="P676" s="26">
        <f t="shared" si="172"/>
        <v>980</v>
      </c>
      <c r="Q676" s="27" t="str">
        <f t="shared" si="168"/>
        <v/>
      </c>
      <c r="R676" s="27" t="str">
        <f t="shared" si="169"/>
        <v/>
      </c>
      <c r="S676" s="1" t="str">
        <f t="shared" si="170"/>
        <v/>
      </c>
      <c r="T676" s="96">
        <f t="shared" si="171"/>
        <v>980</v>
      </c>
    </row>
    <row r="677" spans="1:20" ht="12.75" hidden="1" customHeight="1" x14ac:dyDescent="0.2">
      <c r="A677" s="18"/>
      <c r="B677" s="3" t="str">
        <f>IF(UV!B11="","-",UV!B11)</f>
        <v>-</v>
      </c>
      <c r="C677" s="93" t="str">
        <f t="shared" si="176"/>
        <v>Wert 1. Jän.</v>
      </c>
      <c r="D677" s="26" t="str">
        <f>IF('[1]E-UV'!$F11="","",'[1]E-UV'!$F11)</f>
        <v/>
      </c>
      <c r="E677" s="27"/>
      <c r="F677" s="27"/>
      <c r="H677" s="96" t="str">
        <f>IF(UV!$F11="","",UV!$F11)</f>
        <v/>
      </c>
      <c r="I677" s="29" t="str">
        <f t="shared" si="175"/>
        <v/>
      </c>
      <c r="J677" s="30" t="str">
        <f t="shared" si="177"/>
        <v>-</v>
      </c>
      <c r="K677" s="23" t="str">
        <f t="shared" si="173"/>
        <v/>
      </c>
      <c r="L677" s="24" t="str">
        <f t="shared" si="174"/>
        <v/>
      </c>
      <c r="N677" s="882"/>
      <c r="P677" s="26" t="str">
        <f t="shared" si="172"/>
        <v/>
      </c>
      <c r="Q677" s="27" t="str">
        <f t="shared" si="168"/>
        <v/>
      </c>
      <c r="R677" s="27" t="str">
        <f t="shared" si="169"/>
        <v/>
      </c>
      <c r="S677" s="1" t="str">
        <f t="shared" si="170"/>
        <v/>
      </c>
      <c r="T677" s="96" t="str">
        <f t="shared" si="171"/>
        <v/>
      </c>
    </row>
    <row r="678" spans="1:20" ht="12.75" hidden="1" customHeight="1" x14ac:dyDescent="0.2">
      <c r="A678" s="18"/>
      <c r="B678" s="3" t="str">
        <f>IF(UV!B12="","-",UV!B12)</f>
        <v>-</v>
      </c>
      <c r="C678" s="93" t="str">
        <f t="shared" si="176"/>
        <v>Wert 1. Jän.</v>
      </c>
      <c r="D678" s="26" t="str">
        <f>IF('[1]E-UV'!$F12="","",'[1]E-UV'!$F12)</f>
        <v/>
      </c>
      <c r="E678" s="27"/>
      <c r="F678" s="27"/>
      <c r="H678" s="96" t="str">
        <f>IF(UV!$F12="","",UV!$F12)</f>
        <v/>
      </c>
      <c r="I678" s="29" t="str">
        <f t="shared" si="175"/>
        <v/>
      </c>
      <c r="J678" s="30" t="str">
        <f t="shared" si="177"/>
        <v>-</v>
      </c>
      <c r="K678" s="23" t="str">
        <f t="shared" si="173"/>
        <v/>
      </c>
      <c r="L678" s="24" t="str">
        <f t="shared" si="174"/>
        <v/>
      </c>
      <c r="N678" s="882"/>
      <c r="P678" s="26" t="str">
        <f t="shared" si="172"/>
        <v/>
      </c>
      <c r="Q678" s="27" t="str">
        <f t="shared" si="168"/>
        <v/>
      </c>
      <c r="R678" s="27" t="str">
        <f t="shared" si="169"/>
        <v/>
      </c>
      <c r="S678" s="1" t="str">
        <f t="shared" si="170"/>
        <v/>
      </c>
      <c r="T678" s="96" t="str">
        <f t="shared" si="171"/>
        <v/>
      </c>
    </row>
    <row r="679" spans="1:20" ht="12.75" x14ac:dyDescent="0.2">
      <c r="A679" s="18"/>
      <c r="B679" s="92" t="str">
        <f>IF(UV!B13="","-",UV!B13)</f>
        <v>Summe RINDER</v>
      </c>
      <c r="C679" s="93" t="str">
        <f t="shared" si="176"/>
        <v>Wert 1. Jän.</v>
      </c>
      <c r="D679" s="31">
        <f>IF('[1]E-UV'!$F13="","",'[1]E-UV'!$F13)</f>
        <v>26000</v>
      </c>
      <c r="E679" s="27"/>
      <c r="F679" s="32">
        <f>IF(AND(H672="",H673="",H674="",H675="",H676="",H677="",H678=""),"-",SUM(H672:H678))</f>
        <v>15246</v>
      </c>
      <c r="H679" s="97" t="str">
        <f>IF(UV!$F13="","",UV!$F13)</f>
        <v/>
      </c>
      <c r="I679" s="29" t="str">
        <f>IF(B679="","",IF(T679=P679,"Richtig!",IF(AND(P679&lt;&gt;T679,R679=T679),"Formel: OK",IF(T679="","Fehlt","Falsch"))))</f>
        <v>Fehlt</v>
      </c>
      <c r="J679" s="30">
        <f t="shared" si="177"/>
        <v>0</v>
      </c>
      <c r="K679" s="23" t="str">
        <f t="shared" si="173"/>
        <v>│</v>
      </c>
      <c r="L679" s="24">
        <f t="shared" si="174"/>
        <v>1</v>
      </c>
      <c r="N679" s="882" t="str">
        <f>IF($L$1="","",$L$1)</f>
        <v>x</v>
      </c>
      <c r="P679" s="31">
        <f t="shared" si="172"/>
        <v>26000</v>
      </c>
      <c r="Q679" s="27" t="str">
        <f t="shared" si="168"/>
        <v/>
      </c>
      <c r="R679" s="32">
        <f t="shared" si="169"/>
        <v>15246</v>
      </c>
      <c r="S679" s="1" t="str">
        <f t="shared" si="170"/>
        <v/>
      </c>
      <c r="T679" s="97" t="str">
        <f t="shared" si="171"/>
        <v/>
      </c>
    </row>
    <row r="680" spans="1:20" ht="12.75" customHeight="1" x14ac:dyDescent="0.2">
      <c r="B680" s="95" t="str">
        <f>IF(UV!B21="","-",UV!B21)</f>
        <v>HÜHNER</v>
      </c>
      <c r="C680" s="93"/>
      <c r="D680" s="19" t="str">
        <f>IF('[1]E-UV'!$F21="","",'[1]E-UV'!$F21)</f>
        <v/>
      </c>
      <c r="H680" s="5" t="str">
        <f>IF(UV!$F21="","",UV!$F21)</f>
        <v/>
      </c>
      <c r="I680" s="29" t="str">
        <f t="shared" ref="I680:I685" si="178">IF(OR(B680="-",AND(P680="",T680="")),"",IF(T680=P680,"Richtig!",IF(T680="","Fehlt","Falsch")))</f>
        <v/>
      </c>
      <c r="J680" s="29"/>
      <c r="K680" s="23" t="str">
        <f t="shared" si="173"/>
        <v/>
      </c>
      <c r="L680" s="24" t="str">
        <f t="shared" si="174"/>
        <v/>
      </c>
      <c r="N680" s="880" t="str">
        <f>IF($L$1="","",$L$1)</f>
        <v>x</v>
      </c>
      <c r="P680" s="19" t="str">
        <f t="shared" si="172"/>
        <v/>
      </c>
      <c r="Q680" s="1" t="str">
        <f t="shared" si="168"/>
        <v/>
      </c>
      <c r="R680" s="1" t="str">
        <f t="shared" si="169"/>
        <v/>
      </c>
      <c r="S680" s="1" t="str">
        <f t="shared" si="170"/>
        <v/>
      </c>
      <c r="T680" s="5" t="str">
        <f t="shared" si="171"/>
        <v/>
      </c>
    </row>
    <row r="681" spans="1:20" ht="12.75" hidden="1" customHeight="1" x14ac:dyDescent="0.2">
      <c r="A681" s="18"/>
      <c r="B681" s="3" t="str">
        <f>IF(UV!B22="","-",UV!B22)</f>
        <v>Mastkücken</v>
      </c>
      <c r="C681" s="93" t="str">
        <f t="shared" ref="C681:C686" si="179">MID($B$670,1,11)&amp;"."</f>
        <v>Wert 1. Jän.</v>
      </c>
      <c r="D681" s="26">
        <f>IF('[1]E-UV'!$F22="","",'[1]E-UV'!$F22)</f>
        <v>15.2</v>
      </c>
      <c r="E681" s="27"/>
      <c r="F681" s="27"/>
      <c r="H681" s="96">
        <f>IF(UV!$F22="","",UV!$F22)</f>
        <v>15.2</v>
      </c>
      <c r="I681" s="29" t="str">
        <f t="shared" si="178"/>
        <v>Richtig!</v>
      </c>
      <c r="J681" s="30" t="str">
        <f t="shared" ref="J681:J686" si="180">IF(OR(B681="-",N681="",AND(P681="",T681="")),"-",IF(I681="Richtig!",1,IF(I681="Formel: OK",0.5,IF(OR(I681="Falsch",I681="Fehlt"),0,""))))</f>
        <v>-</v>
      </c>
      <c r="K681" s="23" t="str">
        <f t="shared" si="173"/>
        <v/>
      </c>
      <c r="L681" s="24" t="str">
        <f t="shared" si="174"/>
        <v/>
      </c>
      <c r="N681" s="882"/>
      <c r="P681" s="26">
        <f t="shared" si="172"/>
        <v>15.2</v>
      </c>
      <c r="Q681" s="27" t="str">
        <f t="shared" si="168"/>
        <v/>
      </c>
      <c r="R681" s="27" t="str">
        <f t="shared" si="169"/>
        <v/>
      </c>
      <c r="S681" s="1" t="str">
        <f t="shared" si="170"/>
        <v/>
      </c>
      <c r="T681" s="96">
        <f t="shared" si="171"/>
        <v>15.2</v>
      </c>
    </row>
    <row r="682" spans="1:20" ht="12.75" hidden="1" customHeight="1" x14ac:dyDescent="0.2">
      <c r="A682" s="18"/>
      <c r="B682" s="3" t="str">
        <f>IF(UV!B23="","-",UV!B23)</f>
        <v>Masthühner</v>
      </c>
      <c r="C682" s="93" t="str">
        <f t="shared" si="179"/>
        <v>Wert 1. Jän.</v>
      </c>
      <c r="D682" s="26">
        <f>IF('[1]E-UV'!$F23="","",'[1]E-UV'!$F23)</f>
        <v>200.39999999999998</v>
      </c>
      <c r="E682" s="27"/>
      <c r="F682" s="27"/>
      <c r="H682" s="96">
        <f>IF(UV!$F23="","",UV!$F23)</f>
        <v>200.39999999999998</v>
      </c>
      <c r="I682" s="29" t="str">
        <f t="shared" si="178"/>
        <v>Richtig!</v>
      </c>
      <c r="J682" s="30" t="str">
        <f t="shared" si="180"/>
        <v>-</v>
      </c>
      <c r="K682" s="23" t="str">
        <f t="shared" si="173"/>
        <v/>
      </c>
      <c r="L682" s="24" t="str">
        <f t="shared" si="174"/>
        <v/>
      </c>
      <c r="N682" s="882"/>
      <c r="P682" s="26">
        <f t="shared" si="172"/>
        <v>200.4</v>
      </c>
      <c r="Q682" s="27" t="str">
        <f t="shared" si="168"/>
        <v/>
      </c>
      <c r="R682" s="27" t="str">
        <f t="shared" si="169"/>
        <v/>
      </c>
      <c r="S682" s="1" t="str">
        <f t="shared" si="170"/>
        <v/>
      </c>
      <c r="T682" s="96">
        <f t="shared" si="171"/>
        <v>200.4</v>
      </c>
    </row>
    <row r="683" spans="1:20" ht="12.75" hidden="1" customHeight="1" x14ac:dyDescent="0.2">
      <c r="A683" s="18"/>
      <c r="B683" s="3" t="str">
        <f>IF(UV!B24="","-",UV!B24)</f>
        <v>-</v>
      </c>
      <c r="C683" s="93" t="str">
        <f t="shared" si="179"/>
        <v>Wert 1. Jän.</v>
      </c>
      <c r="D683" s="26" t="str">
        <f>IF('[1]E-UV'!$F24="","",'[1]E-UV'!$F24)</f>
        <v/>
      </c>
      <c r="E683" s="27"/>
      <c r="F683" s="27"/>
      <c r="H683" s="96" t="str">
        <f>IF(UV!$F24="","",UV!$F24)</f>
        <v/>
      </c>
      <c r="I683" s="29" t="str">
        <f t="shared" si="178"/>
        <v/>
      </c>
      <c r="J683" s="30" t="str">
        <f t="shared" si="180"/>
        <v>-</v>
      </c>
      <c r="K683" s="23" t="str">
        <f t="shared" si="173"/>
        <v/>
      </c>
      <c r="L683" s="24" t="str">
        <f t="shared" si="174"/>
        <v/>
      </c>
      <c r="N683" s="882"/>
      <c r="P683" s="26" t="str">
        <f t="shared" si="172"/>
        <v/>
      </c>
      <c r="Q683" s="27" t="str">
        <f t="shared" si="168"/>
        <v/>
      </c>
      <c r="R683" s="27" t="str">
        <f t="shared" si="169"/>
        <v/>
      </c>
      <c r="S683" s="1" t="str">
        <f t="shared" si="170"/>
        <v/>
      </c>
      <c r="T683" s="96" t="str">
        <f t="shared" si="171"/>
        <v/>
      </c>
    </row>
    <row r="684" spans="1:20" ht="12.75" hidden="1" customHeight="1" x14ac:dyDescent="0.2">
      <c r="A684" s="18"/>
      <c r="B684" s="3" t="str">
        <f>IF(UV!B25="","-",UV!B25)</f>
        <v>-</v>
      </c>
      <c r="C684" s="93" t="str">
        <f t="shared" si="179"/>
        <v>Wert 1. Jän.</v>
      </c>
      <c r="D684" s="26" t="str">
        <f>IF('[1]E-UV'!$F25="","",'[1]E-UV'!$F25)</f>
        <v/>
      </c>
      <c r="E684" s="27"/>
      <c r="F684" s="27"/>
      <c r="H684" s="96" t="str">
        <f>IF(UV!$F25="","",UV!$F25)</f>
        <v/>
      </c>
      <c r="I684" s="29" t="str">
        <f t="shared" si="178"/>
        <v/>
      </c>
      <c r="J684" s="30" t="str">
        <f t="shared" si="180"/>
        <v>-</v>
      </c>
      <c r="K684" s="23" t="str">
        <f t="shared" si="173"/>
        <v/>
      </c>
      <c r="L684" s="24" t="str">
        <f t="shared" si="174"/>
        <v/>
      </c>
      <c r="N684" s="882"/>
      <c r="P684" s="26" t="str">
        <f t="shared" si="172"/>
        <v/>
      </c>
      <c r="Q684" s="27" t="str">
        <f t="shared" si="168"/>
        <v/>
      </c>
      <c r="R684" s="27" t="str">
        <f t="shared" si="169"/>
        <v/>
      </c>
      <c r="S684" s="1" t="str">
        <f t="shared" si="170"/>
        <v/>
      </c>
      <c r="T684" s="96" t="str">
        <f t="shared" si="171"/>
        <v/>
      </c>
    </row>
    <row r="685" spans="1:20" ht="12.75" hidden="1" customHeight="1" x14ac:dyDescent="0.2">
      <c r="A685" s="18"/>
      <c r="B685" s="3" t="str">
        <f>IF(UV!B26="","-",UV!B26)</f>
        <v>-</v>
      </c>
      <c r="C685" s="93" t="str">
        <f t="shared" si="179"/>
        <v>Wert 1. Jän.</v>
      </c>
      <c r="D685" s="26" t="str">
        <f>IF('[1]E-UV'!$F26="","",'[1]E-UV'!$F26)</f>
        <v/>
      </c>
      <c r="E685" s="27"/>
      <c r="F685" s="27"/>
      <c r="H685" s="96" t="str">
        <f>IF(UV!$F26="","",UV!$F26)</f>
        <v/>
      </c>
      <c r="I685" s="29" t="str">
        <f t="shared" si="178"/>
        <v/>
      </c>
      <c r="J685" s="30" t="str">
        <f t="shared" si="180"/>
        <v>-</v>
      </c>
      <c r="K685" s="23" t="str">
        <f t="shared" si="173"/>
        <v/>
      </c>
      <c r="L685" s="24" t="str">
        <f t="shared" si="174"/>
        <v/>
      </c>
      <c r="N685" s="882"/>
      <c r="P685" s="26" t="str">
        <f t="shared" si="172"/>
        <v/>
      </c>
      <c r="Q685" s="27" t="str">
        <f t="shared" si="168"/>
        <v/>
      </c>
      <c r="R685" s="27" t="str">
        <f t="shared" si="169"/>
        <v/>
      </c>
      <c r="S685" s="1" t="str">
        <f t="shared" si="170"/>
        <v/>
      </c>
      <c r="T685" s="96" t="str">
        <f t="shared" si="171"/>
        <v/>
      </c>
    </row>
    <row r="686" spans="1:20" ht="12.75" hidden="1" customHeight="1" x14ac:dyDescent="0.2">
      <c r="A686" s="18"/>
      <c r="B686" s="92" t="str">
        <f>IF(UV!B27="","-",UV!B27)</f>
        <v>Summe HÜHNER</v>
      </c>
      <c r="C686" s="93" t="str">
        <f t="shared" si="179"/>
        <v>Wert 1. Jän.</v>
      </c>
      <c r="D686" s="31">
        <f>IF('[1]E-UV'!$F27="","",'[1]E-UV'!$F27)</f>
        <v>215.59999999999997</v>
      </c>
      <c r="E686" s="27"/>
      <c r="F686" s="32">
        <f>IF(AND(H681="",H682="",H683="",H684="",H685=""),"-",SUM(H681:H685))</f>
        <v>215.59999999999997</v>
      </c>
      <c r="H686" s="97">
        <f>IF(UV!$F27="","",UV!$F27)</f>
        <v>215.59999999999997</v>
      </c>
      <c r="I686" s="29" t="str">
        <f>IF(B686="","",IF(T686=P686,"Richtig!",IF(AND(P686&lt;&gt;T686,R686=T686),"Formel: OK",IF(T686="","Fehlt","Falsch"))))</f>
        <v>Richtig!</v>
      </c>
      <c r="J686" s="30" t="str">
        <f t="shared" si="180"/>
        <v>-</v>
      </c>
      <c r="K686" s="23" t="str">
        <f t="shared" si="173"/>
        <v/>
      </c>
      <c r="L686" s="24" t="str">
        <f t="shared" si="174"/>
        <v/>
      </c>
      <c r="N686" s="882"/>
      <c r="P686" s="31">
        <f t="shared" si="172"/>
        <v>215.6</v>
      </c>
      <c r="Q686" s="27" t="str">
        <f t="shared" si="168"/>
        <v/>
      </c>
      <c r="R686" s="32">
        <f t="shared" si="169"/>
        <v>215.6</v>
      </c>
      <c r="S686" s="1" t="str">
        <f t="shared" si="170"/>
        <v/>
      </c>
      <c r="T686" s="97">
        <f t="shared" si="171"/>
        <v>215.6</v>
      </c>
    </row>
    <row r="687" spans="1:20" ht="12.75" customHeight="1" x14ac:dyDescent="0.2">
      <c r="B687" s="95" t="str">
        <f>IF(UV!B30="","-",UV!B30)</f>
        <v>Selbst erzeugte Vorräte</v>
      </c>
      <c r="C687" s="93"/>
      <c r="D687" s="19" t="str">
        <f>IF('[1]E-UV'!$F30="","",'[1]E-UV'!$F30)</f>
        <v/>
      </c>
      <c r="H687" s="5" t="str">
        <f>IF(UV!$F30="","",UV!$F30)</f>
        <v/>
      </c>
      <c r="I687" s="29"/>
      <c r="J687" s="29"/>
      <c r="K687" s="23" t="str">
        <f t="shared" si="173"/>
        <v/>
      </c>
      <c r="L687" s="24" t="str">
        <f t="shared" si="174"/>
        <v/>
      </c>
      <c r="N687" s="880" t="str">
        <f>IF($L$1="","",$L$1)</f>
        <v>x</v>
      </c>
      <c r="P687" s="19" t="str">
        <f t="shared" si="172"/>
        <v/>
      </c>
      <c r="Q687" s="1" t="str">
        <f t="shared" si="168"/>
        <v/>
      </c>
      <c r="R687" s="1" t="str">
        <f t="shared" si="169"/>
        <v/>
      </c>
      <c r="S687" s="1" t="str">
        <f t="shared" si="170"/>
        <v/>
      </c>
      <c r="T687" s="5" t="str">
        <f t="shared" si="171"/>
        <v/>
      </c>
    </row>
    <row r="688" spans="1:20" ht="12.75" hidden="1" customHeight="1" x14ac:dyDescent="0.2">
      <c r="B688" s="3" t="str">
        <f>IF(UV!B31="","-",UV!B31)</f>
        <v>Käse</v>
      </c>
      <c r="C688" s="93" t="str">
        <f t="shared" ref="C688:C693" si="181">MID($B$670,1,11)&amp;"."</f>
        <v>Wert 1. Jän.</v>
      </c>
      <c r="D688" s="26">
        <f>IF('[1]E-UV'!$F31="","",'[1]E-UV'!$F31)</f>
        <v>108.45</v>
      </c>
      <c r="E688" s="27"/>
      <c r="F688" s="27"/>
      <c r="H688" s="96">
        <f>IF(UV!$F31="","",UV!$F31)</f>
        <v>108.45</v>
      </c>
      <c r="I688" s="29" t="str">
        <f>IF(OR(B688="-",AND(P688="",T688="")),"",IF(T688=P688,"Richtig!",IF(T688="","Fehlt","Falsch")))</f>
        <v>Richtig!</v>
      </c>
      <c r="J688" s="30" t="str">
        <f t="shared" ref="J688:J693" si="182">IF(OR(B688="-",N688="",AND(P688="",T688="")),"-",IF(I688="Richtig!",1,IF(I688="Formel: OK",0.5,IF(OR(I688="Falsch",I688="Fehlt"),0,""))))</f>
        <v>-</v>
      </c>
      <c r="K688" s="23" t="str">
        <f t="shared" si="173"/>
        <v/>
      </c>
      <c r="L688" s="24" t="str">
        <f t="shared" si="174"/>
        <v/>
      </c>
      <c r="N688" s="882"/>
      <c r="P688" s="26">
        <f t="shared" si="172"/>
        <v>108.45</v>
      </c>
      <c r="Q688" s="27" t="str">
        <f t="shared" si="168"/>
        <v/>
      </c>
      <c r="R688" s="27" t="str">
        <f t="shared" si="169"/>
        <v/>
      </c>
      <c r="S688" s="1" t="str">
        <f t="shared" si="170"/>
        <v/>
      </c>
      <c r="T688" s="96">
        <f t="shared" si="171"/>
        <v>108.45</v>
      </c>
    </row>
    <row r="689" spans="1:20" ht="12.75" hidden="1" customHeight="1" x14ac:dyDescent="0.2">
      <c r="A689" s="18"/>
      <c r="B689" s="3" t="str">
        <f>IF(UV!B32="","-",UV!B32)</f>
        <v>Butter</v>
      </c>
      <c r="C689" s="93" t="str">
        <f t="shared" si="181"/>
        <v>Wert 1. Jän.</v>
      </c>
      <c r="D689" s="26">
        <f>IF('[1]E-UV'!$F32="","",'[1]E-UV'!$F32)</f>
        <v>174.24</v>
      </c>
      <c r="E689" s="27"/>
      <c r="F689" s="27"/>
      <c r="H689" s="96">
        <f>IF(UV!$F32="","",UV!$F32)</f>
        <v>174.24</v>
      </c>
      <c r="I689" s="29" t="str">
        <f>IF(OR(B689="-",AND(P689="",T689="")),"",IF(T689=P689,"Richtig!",IF(T689="","Fehlt","Falsch")))</f>
        <v>Richtig!</v>
      </c>
      <c r="J689" s="30" t="str">
        <f t="shared" si="182"/>
        <v>-</v>
      </c>
      <c r="K689" s="23" t="str">
        <f t="shared" si="173"/>
        <v/>
      </c>
      <c r="L689" s="24" t="str">
        <f t="shared" si="174"/>
        <v/>
      </c>
      <c r="N689" s="882"/>
      <c r="P689" s="26">
        <f t="shared" si="172"/>
        <v>174.24</v>
      </c>
      <c r="Q689" s="27" t="str">
        <f t="shared" si="168"/>
        <v/>
      </c>
      <c r="R689" s="27" t="str">
        <f t="shared" si="169"/>
        <v/>
      </c>
      <c r="S689" s="1" t="str">
        <f t="shared" si="170"/>
        <v/>
      </c>
      <c r="T689" s="96">
        <f t="shared" si="171"/>
        <v>174.24</v>
      </c>
    </row>
    <row r="690" spans="1:20" ht="12.75" x14ac:dyDescent="0.2">
      <c r="A690" s="18"/>
      <c r="B690" s="3" t="str">
        <f>IF(UV!B33="","-",UV!B33)</f>
        <v>Kartoffel</v>
      </c>
      <c r="C690" s="93" t="str">
        <f t="shared" si="181"/>
        <v>Wert 1. Jän.</v>
      </c>
      <c r="D690" s="26">
        <f>IF('[1]E-UV'!$F33="","",'[1]E-UV'!$F33)</f>
        <v>176.18</v>
      </c>
      <c r="E690" s="27"/>
      <c r="F690" s="27"/>
      <c r="H690" s="96" t="str">
        <f>IF(UV!$F33="","",UV!$F33)</f>
        <v/>
      </c>
      <c r="I690" s="29" t="str">
        <f>IF(OR(B690="-",AND(P690="",T690="")),"",IF(T690=P690,"Richtig!",IF(T690="","Fehlt","Falsch")))</f>
        <v>Fehlt</v>
      </c>
      <c r="J690" s="30">
        <f t="shared" si="182"/>
        <v>0</v>
      </c>
      <c r="K690" s="23" t="str">
        <f t="shared" si="173"/>
        <v>│</v>
      </c>
      <c r="L690" s="24">
        <f t="shared" si="174"/>
        <v>1</v>
      </c>
      <c r="N690" s="882" t="str">
        <f>IF($L$1="","",$L$1)</f>
        <v>x</v>
      </c>
      <c r="P690" s="26">
        <f t="shared" si="172"/>
        <v>176.18</v>
      </c>
      <c r="Q690" s="27" t="str">
        <f t="shared" si="168"/>
        <v/>
      </c>
      <c r="R690" s="27" t="str">
        <f t="shared" si="169"/>
        <v/>
      </c>
      <c r="S690" s="1" t="str">
        <f t="shared" si="170"/>
        <v/>
      </c>
      <c r="T690" s="96" t="str">
        <f t="shared" si="171"/>
        <v/>
      </c>
    </row>
    <row r="691" spans="1:20" ht="12.75" hidden="1" customHeight="1" x14ac:dyDescent="0.2">
      <c r="A691" s="18"/>
      <c r="B691" s="3" t="str">
        <f>IF(UV!B34="","-",UV!B34)</f>
        <v>-</v>
      </c>
      <c r="C691" s="93" t="str">
        <f t="shared" si="181"/>
        <v>Wert 1. Jän.</v>
      </c>
      <c r="D691" s="26" t="str">
        <f>IF('[1]E-UV'!$F34="","",'[1]E-UV'!$F34)</f>
        <v/>
      </c>
      <c r="E691" s="27"/>
      <c r="F691" s="27"/>
      <c r="H691" s="96" t="str">
        <f>IF(UV!$F34="","",UV!$F34)</f>
        <v/>
      </c>
      <c r="I691" s="29" t="str">
        <f>IF(OR(B691="-",AND(P691="",T691="")),"",IF(T691=P691,"Richtig!",IF(T691="","Fehlt","Falsch")))</f>
        <v/>
      </c>
      <c r="J691" s="30" t="str">
        <f t="shared" si="182"/>
        <v>-</v>
      </c>
      <c r="K691" s="23" t="str">
        <f t="shared" si="173"/>
        <v/>
      </c>
      <c r="L691" s="24" t="str">
        <f t="shared" si="174"/>
        <v/>
      </c>
      <c r="N691" s="882"/>
      <c r="P691" s="26" t="str">
        <f t="shared" si="172"/>
        <v/>
      </c>
      <c r="Q691" s="27" t="str">
        <f t="shared" si="168"/>
        <v/>
      </c>
      <c r="R691" s="27" t="str">
        <f t="shared" si="169"/>
        <v/>
      </c>
      <c r="S691" s="1" t="str">
        <f t="shared" si="170"/>
        <v/>
      </c>
      <c r="T691" s="96" t="str">
        <f t="shared" si="171"/>
        <v/>
      </c>
    </row>
    <row r="692" spans="1:20" ht="12.75" hidden="1" customHeight="1" x14ac:dyDescent="0.2">
      <c r="A692" s="18"/>
      <c r="B692" s="3" t="str">
        <f>IF(UV!B35="","-",UV!B35)</f>
        <v>-</v>
      </c>
      <c r="C692" s="93" t="str">
        <f t="shared" si="181"/>
        <v>Wert 1. Jän.</v>
      </c>
      <c r="D692" s="26" t="str">
        <f>IF('[1]E-UV'!$F35="","",'[1]E-UV'!$F35)</f>
        <v/>
      </c>
      <c r="E692" s="27"/>
      <c r="F692" s="27"/>
      <c r="H692" s="96" t="str">
        <f>IF(UV!$F35="","",UV!$F35)</f>
        <v/>
      </c>
      <c r="I692" s="29" t="str">
        <f>IF(OR(B692="-",AND(P692="",T692="")),"",IF(T692=P692,"Richtig!",IF(T692="","Fehlt","Falsch")))</f>
        <v/>
      </c>
      <c r="J692" s="30" t="str">
        <f t="shared" si="182"/>
        <v>-</v>
      </c>
      <c r="K692" s="23" t="str">
        <f t="shared" si="173"/>
        <v/>
      </c>
      <c r="L692" s="24" t="str">
        <f t="shared" si="174"/>
        <v/>
      </c>
      <c r="N692" s="882"/>
      <c r="P692" s="26" t="str">
        <f t="shared" si="172"/>
        <v/>
      </c>
      <c r="Q692" s="27" t="str">
        <f t="shared" si="168"/>
        <v/>
      </c>
      <c r="R692" s="27" t="str">
        <f t="shared" si="169"/>
        <v/>
      </c>
      <c r="S692" s="1" t="str">
        <f t="shared" si="170"/>
        <v/>
      </c>
      <c r="T692" s="96" t="str">
        <f t="shared" si="171"/>
        <v/>
      </c>
    </row>
    <row r="693" spans="1:20" ht="12.75" x14ac:dyDescent="0.2">
      <c r="A693" s="18"/>
      <c r="B693" s="92" t="str">
        <f>IF(UV!B36="","-",UV!B36)</f>
        <v>Summe selbst erzeugte Vorräte</v>
      </c>
      <c r="C693" s="93" t="str">
        <f t="shared" si="181"/>
        <v>Wert 1. Jän.</v>
      </c>
      <c r="D693" s="31">
        <f>IF('[1]E-UV'!$F36="","",'[1]E-UV'!$F36)</f>
        <v>458.87</v>
      </c>
      <c r="E693" s="27"/>
      <c r="F693" s="32">
        <f>IF(AND(H688="",H689="",H690="",H691="",H692=""),"-",SUM(H688:H692))</f>
        <v>282.69</v>
      </c>
      <c r="H693" s="97" t="str">
        <f>IF(UV!$F36="","",UV!$F36)</f>
        <v/>
      </c>
      <c r="I693" s="29" t="str">
        <f>IF(B693="","",IF(T693=P693,"Richtig!",IF(AND(P693&lt;&gt;T693,R693=T693),"Formel: OK",IF(T693="","Fehlt","Falsch"))))</f>
        <v>Fehlt</v>
      </c>
      <c r="J693" s="30">
        <f t="shared" si="182"/>
        <v>0</v>
      </c>
      <c r="K693" s="23" t="str">
        <f t="shared" si="173"/>
        <v>│</v>
      </c>
      <c r="L693" s="24">
        <f t="shared" si="174"/>
        <v>1</v>
      </c>
      <c r="N693" s="882" t="str">
        <f>IF($L$1="","",$L$1)</f>
        <v>x</v>
      </c>
      <c r="P693" s="31">
        <f t="shared" si="172"/>
        <v>458.87</v>
      </c>
      <c r="Q693" s="27" t="str">
        <f t="shared" si="168"/>
        <v/>
      </c>
      <c r="R693" s="32">
        <f t="shared" si="169"/>
        <v>282.69</v>
      </c>
      <c r="S693" s="1" t="str">
        <f t="shared" si="170"/>
        <v/>
      </c>
      <c r="T693" s="97" t="str">
        <f t="shared" si="171"/>
        <v/>
      </c>
    </row>
    <row r="694" spans="1:20" ht="12.75" hidden="1" customHeight="1" x14ac:dyDescent="0.2">
      <c r="A694" s="18"/>
      <c r="B694" s="95" t="str">
        <f>IF(UV!B44="","-",UV!B44)</f>
        <v>Zugekaufte Vorräte</v>
      </c>
      <c r="C694" s="93"/>
      <c r="D694" s="19" t="str">
        <f>IF('[1]E-UV'!$F44="","",'[1]E-UV'!$F44)</f>
        <v/>
      </c>
      <c r="H694" s="5" t="str">
        <f>IF(UV!$F44="","",UV!$F44)</f>
        <v/>
      </c>
      <c r="I694" s="29"/>
      <c r="J694" s="29"/>
      <c r="K694" s="23" t="str">
        <f t="shared" si="173"/>
        <v/>
      </c>
      <c r="L694" s="24" t="str">
        <f t="shared" si="174"/>
        <v/>
      </c>
      <c r="N694" s="880"/>
      <c r="P694" s="19" t="str">
        <f t="shared" si="172"/>
        <v/>
      </c>
      <c r="Q694" s="1" t="str">
        <f t="shared" si="168"/>
        <v/>
      </c>
      <c r="R694" s="1" t="str">
        <f t="shared" si="169"/>
        <v/>
      </c>
      <c r="S694" s="1" t="str">
        <f t="shared" si="170"/>
        <v/>
      </c>
      <c r="T694" s="5" t="str">
        <f t="shared" si="171"/>
        <v/>
      </c>
    </row>
    <row r="695" spans="1:20" ht="12.75" hidden="1" customHeight="1" x14ac:dyDescent="0.2">
      <c r="A695" s="18"/>
      <c r="B695" s="3" t="str">
        <f>IF(UV!B45="","-",UV!B45)</f>
        <v>Milchkraftfutter</v>
      </c>
      <c r="C695" s="93" t="str">
        <f t="shared" ref="C695:C700" si="183">MID($B$670,1,11)&amp;"."</f>
        <v>Wert 1. Jän.</v>
      </c>
      <c r="D695" s="26">
        <f>IF('[1]E-UV'!$F45="","",'[1]E-UV'!$F45)</f>
        <v>207.9</v>
      </c>
      <c r="E695" s="27"/>
      <c r="F695" s="27"/>
      <c r="H695" s="96">
        <f>IF(UV!$F45="","",UV!$F45)</f>
        <v>207.9</v>
      </c>
      <c r="I695" s="29" t="str">
        <f>IF(OR(B695="-",AND(P695="",T695="")),"",IF(T695=P695,"Richtig!",IF(T695="","Fehlt","Falsch")))</f>
        <v>Richtig!</v>
      </c>
      <c r="J695" s="30" t="str">
        <f t="shared" ref="J695:J700" si="184">IF(OR(B695="-",N695="",AND(P695="",T695="")),"-",IF(I695="Richtig!",1,IF(I695="Formel: OK",0.5,IF(OR(I695="Falsch",I695="Fehlt"),0,""))))</f>
        <v>-</v>
      </c>
      <c r="K695" s="23" t="str">
        <f t="shared" si="173"/>
        <v/>
      </c>
      <c r="L695" s="24" t="str">
        <f t="shared" si="174"/>
        <v/>
      </c>
      <c r="N695" s="882"/>
      <c r="P695" s="26">
        <f t="shared" si="172"/>
        <v>207.9</v>
      </c>
      <c r="Q695" s="27" t="str">
        <f t="shared" si="168"/>
        <v/>
      </c>
      <c r="R695" s="27" t="str">
        <f t="shared" si="169"/>
        <v/>
      </c>
      <c r="S695" s="1" t="str">
        <f t="shared" si="170"/>
        <v/>
      </c>
      <c r="T695" s="96">
        <f t="shared" si="171"/>
        <v>207.9</v>
      </c>
    </row>
    <row r="696" spans="1:20" ht="12.75" hidden="1" customHeight="1" x14ac:dyDescent="0.2">
      <c r="A696" s="18"/>
      <c r="B696" s="3" t="str">
        <f>IF(UV!B46="","-",UV!B46)</f>
        <v>Mineralstoffmischung</v>
      </c>
      <c r="C696" s="93" t="str">
        <f t="shared" si="183"/>
        <v>Wert 1. Jän.</v>
      </c>
      <c r="D696" s="26">
        <f>IF('[1]E-UV'!$F46="","",'[1]E-UV'!$F46)</f>
        <v>74.2</v>
      </c>
      <c r="E696" s="27"/>
      <c r="F696" s="27"/>
      <c r="H696" s="96">
        <f>IF(UV!$F46="","",UV!$F46)</f>
        <v>74.2</v>
      </c>
      <c r="I696" s="29" t="str">
        <f>IF(OR(B696="-",AND(P696="",T696="")),"",IF(T696=P696,"Richtig!",IF(T696="","Fehlt","Falsch")))</f>
        <v>Richtig!</v>
      </c>
      <c r="J696" s="30" t="str">
        <f t="shared" si="184"/>
        <v>-</v>
      </c>
      <c r="K696" s="23" t="str">
        <f t="shared" si="173"/>
        <v/>
      </c>
      <c r="L696" s="24" t="str">
        <f t="shared" si="174"/>
        <v/>
      </c>
      <c r="N696" s="882"/>
      <c r="P696" s="26">
        <f t="shared" si="172"/>
        <v>74.2</v>
      </c>
      <c r="Q696" s="27" t="str">
        <f t="shared" si="168"/>
        <v/>
      </c>
      <c r="R696" s="27" t="str">
        <f t="shared" si="169"/>
        <v/>
      </c>
      <c r="S696" s="1" t="str">
        <f t="shared" si="170"/>
        <v/>
      </c>
      <c r="T696" s="96">
        <f t="shared" si="171"/>
        <v>74.2</v>
      </c>
    </row>
    <row r="697" spans="1:20" ht="12.75" hidden="1" customHeight="1" x14ac:dyDescent="0.2">
      <c r="A697" s="18"/>
      <c r="B697" s="3" t="str">
        <f>IF(UV!B47="","-",UV!B47)</f>
        <v>Masthühnerfutter</v>
      </c>
      <c r="C697" s="93" t="str">
        <f t="shared" si="183"/>
        <v>Wert 1. Jän.</v>
      </c>
      <c r="D697" s="26">
        <f>IF('[1]E-UV'!$F47="","",'[1]E-UV'!$F47)</f>
        <v>80.91</v>
      </c>
      <c r="E697" s="27"/>
      <c r="F697" s="27"/>
      <c r="H697" s="96">
        <f>IF(UV!$F47="","",UV!$F47)</f>
        <v>80.91</v>
      </c>
      <c r="I697" s="29" t="str">
        <f>IF(OR(B697="-",AND(P697="",T697="")),"",IF(T697=P697,"Richtig!",IF(T697="","Fehlt","Falsch")))</f>
        <v>Richtig!</v>
      </c>
      <c r="J697" s="30" t="str">
        <f t="shared" si="184"/>
        <v>-</v>
      </c>
      <c r="K697" s="23" t="str">
        <f t="shared" si="173"/>
        <v/>
      </c>
      <c r="L697" s="24" t="str">
        <f t="shared" si="174"/>
        <v/>
      </c>
      <c r="N697" s="882"/>
      <c r="P697" s="26">
        <f t="shared" si="172"/>
        <v>80.91</v>
      </c>
      <c r="Q697" s="27" t="str">
        <f t="shared" si="168"/>
        <v/>
      </c>
      <c r="R697" s="27" t="str">
        <f t="shared" si="169"/>
        <v/>
      </c>
      <c r="S697" s="1" t="str">
        <f t="shared" si="170"/>
        <v/>
      </c>
      <c r="T697" s="96">
        <f t="shared" si="171"/>
        <v>80.91</v>
      </c>
    </row>
    <row r="698" spans="1:20" ht="12.75" hidden="1" customHeight="1" x14ac:dyDescent="0.2">
      <c r="A698" s="18"/>
      <c r="B698" s="3" t="str">
        <f>IF(UV!B48="","-",UV!B48)</f>
        <v>-</v>
      </c>
      <c r="C698" s="93" t="str">
        <f t="shared" si="183"/>
        <v>Wert 1. Jän.</v>
      </c>
      <c r="D698" s="26" t="str">
        <f>IF('[1]E-UV'!$F48="","",'[1]E-UV'!$F48)</f>
        <v/>
      </c>
      <c r="E698" s="27"/>
      <c r="F698" s="27"/>
      <c r="H698" s="96" t="str">
        <f>IF(UV!$F48="","",UV!$F48)</f>
        <v/>
      </c>
      <c r="I698" s="29" t="str">
        <f>IF(OR(B698="-",AND(P698="",T698="")),"",IF(T698=P698,"Richtig!",IF(T698="","Fehlt","Falsch")))</f>
        <v/>
      </c>
      <c r="J698" s="30" t="str">
        <f t="shared" si="184"/>
        <v>-</v>
      </c>
      <c r="K698" s="23" t="str">
        <f t="shared" si="173"/>
        <v/>
      </c>
      <c r="L698" s="24" t="str">
        <f t="shared" si="174"/>
        <v/>
      </c>
      <c r="N698" s="882"/>
      <c r="P698" s="26" t="str">
        <f t="shared" si="172"/>
        <v/>
      </c>
      <c r="Q698" s="27" t="str">
        <f t="shared" si="168"/>
        <v/>
      </c>
      <c r="R698" s="27" t="str">
        <f t="shared" si="169"/>
        <v/>
      </c>
      <c r="S698" s="1" t="str">
        <f t="shared" si="170"/>
        <v/>
      </c>
      <c r="T698" s="96" t="str">
        <f t="shared" si="171"/>
        <v/>
      </c>
    </row>
    <row r="699" spans="1:20" ht="12.75" hidden="1" customHeight="1" x14ac:dyDescent="0.2">
      <c r="A699" s="18"/>
      <c r="B699" s="3" t="str">
        <f>IF(UV!B49="","-",UV!B49)</f>
        <v>-</v>
      </c>
      <c r="C699" s="93" t="str">
        <f t="shared" si="183"/>
        <v>Wert 1. Jän.</v>
      </c>
      <c r="D699" s="26" t="str">
        <f>IF('[1]E-UV'!$F49="","",'[1]E-UV'!$F49)</f>
        <v/>
      </c>
      <c r="E699" s="27"/>
      <c r="F699" s="27"/>
      <c r="H699" s="96" t="str">
        <f>IF(UV!$F49="","",UV!$F49)</f>
        <v/>
      </c>
      <c r="I699" s="29" t="str">
        <f>IF(OR(B699="-",AND(P699="",T699="")),"",IF(T699=P699,"Richtig!",IF(T699="","Fehlt","Falsch")))</f>
        <v/>
      </c>
      <c r="J699" s="30" t="str">
        <f t="shared" si="184"/>
        <v>-</v>
      </c>
      <c r="K699" s="23" t="str">
        <f t="shared" si="173"/>
        <v/>
      </c>
      <c r="L699" s="24" t="str">
        <f t="shared" si="174"/>
        <v/>
      </c>
      <c r="N699" s="882"/>
      <c r="P699" s="26" t="str">
        <f t="shared" si="172"/>
        <v/>
      </c>
      <c r="Q699" s="27" t="str">
        <f t="shared" si="168"/>
        <v/>
      </c>
      <c r="R699" s="27" t="str">
        <f t="shared" si="169"/>
        <v/>
      </c>
      <c r="S699" s="1" t="str">
        <f t="shared" si="170"/>
        <v/>
      </c>
      <c r="T699" s="96" t="str">
        <f t="shared" si="171"/>
        <v/>
      </c>
    </row>
    <row r="700" spans="1:20" ht="12.75" hidden="1" customHeight="1" x14ac:dyDescent="0.2">
      <c r="A700" s="18"/>
      <c r="B700" s="92" t="str">
        <f>IF(UV!B50="","-",UV!B50)</f>
        <v>Summe zugekaufte Vorräte</v>
      </c>
      <c r="C700" s="93" t="str">
        <f t="shared" si="183"/>
        <v>Wert 1. Jän.</v>
      </c>
      <c r="D700" s="31">
        <f>IF('[1]E-UV'!$F50="","",'[1]E-UV'!$F50)</f>
        <v>363.01</v>
      </c>
      <c r="E700" s="27"/>
      <c r="F700" s="32">
        <f>IF(AND(H695="",H696="",H697="",H698="",H699=""),"-",SUM(H695:H699))</f>
        <v>363.01</v>
      </c>
      <c r="H700" s="97">
        <f>IF(UV!$F50="","",UV!$F50)</f>
        <v>363.01</v>
      </c>
      <c r="I700" s="29" t="str">
        <f>IF(B700="","",IF(T700=P700,"Richtig!",IF(AND(P700&lt;&gt;T700,R700=T700),"Formel: OK",IF(T700="","Fehlt","Falsch"))))</f>
        <v>Richtig!</v>
      </c>
      <c r="J700" s="30" t="str">
        <f t="shared" si="184"/>
        <v>-</v>
      </c>
      <c r="K700" s="23" t="str">
        <f t="shared" si="173"/>
        <v/>
      </c>
      <c r="L700" s="24" t="str">
        <f t="shared" si="174"/>
        <v/>
      </c>
      <c r="N700" s="882"/>
      <c r="P700" s="31">
        <f t="shared" si="172"/>
        <v>363.01</v>
      </c>
      <c r="Q700" s="27" t="str">
        <f t="shared" si="168"/>
        <v/>
      </c>
      <c r="R700" s="32">
        <f t="shared" si="169"/>
        <v>363.01</v>
      </c>
      <c r="S700" s="1" t="str">
        <f t="shared" si="170"/>
        <v/>
      </c>
      <c r="T700" s="97">
        <f t="shared" si="171"/>
        <v>363.01</v>
      </c>
    </row>
    <row r="701" spans="1:20" ht="12.75" x14ac:dyDescent="0.2">
      <c r="A701" s="18"/>
      <c r="B701" s="36"/>
      <c r="C701" s="93"/>
      <c r="D701" s="19"/>
      <c r="E701" s="27"/>
      <c r="H701" s="5"/>
      <c r="I701" s="29"/>
      <c r="J701" s="29"/>
      <c r="K701" s="23"/>
      <c r="L701" s="24" t="str">
        <f t="shared" si="174"/>
        <v/>
      </c>
      <c r="N701" s="883" t="str">
        <f>IF($L$1="","",$L$1)</f>
        <v>x</v>
      </c>
      <c r="P701" s="19" t="str">
        <f t="shared" si="172"/>
        <v/>
      </c>
      <c r="Q701" s="27" t="str">
        <f t="shared" si="168"/>
        <v/>
      </c>
      <c r="R701" s="1" t="str">
        <f t="shared" si="169"/>
        <v/>
      </c>
      <c r="S701" s="1" t="str">
        <f t="shared" si="170"/>
        <v/>
      </c>
      <c r="T701" s="5" t="str">
        <f t="shared" si="171"/>
        <v/>
      </c>
    </row>
    <row r="702" spans="1:20" ht="12.75" customHeight="1" x14ac:dyDescent="0.2">
      <c r="A702" s="17" t="s">
        <v>12</v>
      </c>
      <c r="B702" s="17" t="s">
        <v>86</v>
      </c>
      <c r="C702" s="18"/>
      <c r="D702" s="19"/>
      <c r="H702" s="5"/>
      <c r="I702" s="21"/>
      <c r="J702" s="21"/>
      <c r="K702" s="23" t="str">
        <f t="shared" si="173"/>
        <v/>
      </c>
      <c r="L702" s="24" t="str">
        <f t="shared" ref="L702:L733" si="185">IF(OR(B702="-",N702="",AND(P702="",T702="")),"",1)</f>
        <v/>
      </c>
      <c r="N702" s="880" t="str">
        <f>IF($L$1="","",$L$1)</f>
        <v>x</v>
      </c>
      <c r="P702" s="19" t="str">
        <f t="shared" si="172"/>
        <v/>
      </c>
      <c r="Q702" s="1" t="str">
        <f t="shared" si="168"/>
        <v/>
      </c>
      <c r="R702" s="1" t="str">
        <f t="shared" si="169"/>
        <v/>
      </c>
      <c r="S702" s="1" t="str">
        <f t="shared" si="170"/>
        <v/>
      </c>
      <c r="T702" s="5" t="str">
        <f t="shared" si="171"/>
        <v/>
      </c>
    </row>
    <row r="703" spans="1:20" ht="12.75" x14ac:dyDescent="0.2">
      <c r="B703" s="95" t="str">
        <f>IF(UV!B5="","-",UV!B5)</f>
        <v>RINDER</v>
      </c>
      <c r="C703" s="42"/>
      <c r="D703" s="19" t="str">
        <f>IF('[1]E-2NGeb'!Q252="","",'[1]E-2NGeb'!Q252)</f>
        <v/>
      </c>
      <c r="H703" s="5" t="str">
        <f>IF('2NGeb'!Q252="","",'2NGeb'!Q252)</f>
        <v/>
      </c>
      <c r="I703" s="29" t="str">
        <f t="shared" ref="I703:I710" si="186">IF(OR(B703="-",AND(P703="",T703="")),"",IF(T703=P703,"Richtig!",IF(T703="","Fehlt","Falsch")))</f>
        <v/>
      </c>
      <c r="J703" s="29"/>
      <c r="K703" s="23" t="str">
        <f t="shared" si="173"/>
        <v/>
      </c>
      <c r="L703" s="24" t="str">
        <f t="shared" si="185"/>
        <v/>
      </c>
      <c r="N703" s="880" t="str">
        <f>IF($L$1="","",$L$1)</f>
        <v>x</v>
      </c>
      <c r="P703" s="19" t="str">
        <f t="shared" si="172"/>
        <v/>
      </c>
      <c r="Q703" s="1" t="str">
        <f t="shared" si="168"/>
        <v/>
      </c>
      <c r="R703" s="1" t="str">
        <f t="shared" si="169"/>
        <v/>
      </c>
      <c r="S703" s="1" t="str">
        <f t="shared" si="170"/>
        <v/>
      </c>
      <c r="T703" s="5" t="str">
        <f t="shared" si="171"/>
        <v/>
      </c>
    </row>
    <row r="704" spans="1:20" ht="12.75" hidden="1" customHeight="1" x14ac:dyDescent="0.2">
      <c r="B704" s="3" t="str">
        <f>IF(UV!B6="","-",UV!B6)</f>
        <v>Milchkühe</v>
      </c>
      <c r="C704" s="93" t="str">
        <f t="shared" ref="C704:C711" si="187">MID($B$702,1,12)&amp;"."</f>
        <v>Wert 31. Dez.</v>
      </c>
      <c r="D704" s="26">
        <f>IF('[1]E-UV'!$I6="","",'[1]E-UV'!$I6)</f>
        <v>16072</v>
      </c>
      <c r="E704" s="27"/>
      <c r="F704" s="27"/>
      <c r="H704" s="96">
        <f>IF(UV!$I6="","",UV!$I6)</f>
        <v>16072</v>
      </c>
      <c r="I704" s="29" t="str">
        <f t="shared" si="186"/>
        <v>Richtig!</v>
      </c>
      <c r="J704" s="30" t="str">
        <f t="shared" ref="J704:J711" si="188">IF(OR(B704="-",N704="",AND(P704="",T704="")),"-",IF(I704="Richtig!",1,IF(I704="Formel: OK",0.5,IF(OR(I704="Falsch",I704="Fehlt"),0,""))))</f>
        <v>-</v>
      </c>
      <c r="K704" s="23" t="str">
        <f t="shared" si="173"/>
        <v/>
      </c>
      <c r="L704" s="24" t="str">
        <f t="shared" si="185"/>
        <v/>
      </c>
      <c r="N704" s="882"/>
      <c r="P704" s="26">
        <f t="shared" si="172"/>
        <v>16072</v>
      </c>
      <c r="Q704" s="27" t="str">
        <f t="shared" si="168"/>
        <v/>
      </c>
      <c r="R704" s="27" t="str">
        <f t="shared" si="169"/>
        <v/>
      </c>
      <c r="S704" s="1" t="str">
        <f t="shared" si="170"/>
        <v/>
      </c>
      <c r="T704" s="96">
        <f t="shared" si="171"/>
        <v>16072</v>
      </c>
    </row>
    <row r="705" spans="1:20" ht="12.75" x14ac:dyDescent="0.2">
      <c r="A705" s="18"/>
      <c r="B705" s="3" t="str">
        <f>IF(UV!B7="","-",UV!B7)</f>
        <v>Kalbinnen</v>
      </c>
      <c r="C705" s="93" t="str">
        <f t="shared" si="187"/>
        <v>Wert 31. Dez.</v>
      </c>
      <c r="D705" s="26">
        <f>IF('[1]E-UV'!$I7="","",'[1]E-UV'!$I7)</f>
        <v>3867</v>
      </c>
      <c r="E705" s="27"/>
      <c r="F705" s="27"/>
      <c r="H705" s="96" t="str">
        <f>IF(UV!$I7="","",UV!$I7)</f>
        <v/>
      </c>
      <c r="I705" s="29" t="str">
        <f t="shared" si="186"/>
        <v>Fehlt</v>
      </c>
      <c r="J705" s="30">
        <f t="shared" si="188"/>
        <v>0</v>
      </c>
      <c r="K705" s="23" t="str">
        <f t="shared" si="173"/>
        <v>│</v>
      </c>
      <c r="L705" s="24">
        <f t="shared" si="185"/>
        <v>1</v>
      </c>
      <c r="N705" s="882" t="str">
        <f>IF($L$1="","",$L$1)</f>
        <v>x</v>
      </c>
      <c r="P705" s="26">
        <f t="shared" si="172"/>
        <v>3867</v>
      </c>
      <c r="Q705" s="27" t="str">
        <f t="shared" si="168"/>
        <v/>
      </c>
      <c r="R705" s="27" t="str">
        <f t="shared" si="169"/>
        <v/>
      </c>
      <c r="S705" s="1" t="str">
        <f t="shared" si="170"/>
        <v/>
      </c>
      <c r="T705" s="96" t="str">
        <f t="shared" si="171"/>
        <v/>
      </c>
    </row>
    <row r="706" spans="1:20" ht="12.75" x14ac:dyDescent="0.2">
      <c r="A706" s="18"/>
      <c r="B706" s="3" t="str">
        <f>IF(UV!B8="","-",UV!B8)</f>
        <v>Jungvieh 1 - 2 Jahre</v>
      </c>
      <c r="C706" s="93" t="str">
        <f t="shared" si="187"/>
        <v>Wert 31. Dez.</v>
      </c>
      <c r="D706" s="26">
        <f>IF('[1]E-UV'!$I8="","",'[1]E-UV'!$I8)</f>
        <v>3775</v>
      </c>
      <c r="E706" s="27"/>
      <c r="F706" s="27"/>
      <c r="H706" s="96" t="str">
        <f>IF(UV!$I8="","",UV!$I8)</f>
        <v/>
      </c>
      <c r="I706" s="29" t="str">
        <f t="shared" si="186"/>
        <v>Fehlt</v>
      </c>
      <c r="J706" s="30">
        <f t="shared" si="188"/>
        <v>0</v>
      </c>
      <c r="K706" s="23" t="str">
        <f t="shared" si="173"/>
        <v>│</v>
      </c>
      <c r="L706" s="24">
        <f t="shared" si="185"/>
        <v>1</v>
      </c>
      <c r="N706" s="882" t="str">
        <f>IF($L$1="","",$L$1)</f>
        <v>x</v>
      </c>
      <c r="P706" s="26">
        <f t="shared" si="172"/>
        <v>3775</v>
      </c>
      <c r="Q706" s="27" t="str">
        <f t="shared" si="168"/>
        <v/>
      </c>
      <c r="R706" s="27" t="str">
        <f t="shared" si="169"/>
        <v/>
      </c>
      <c r="S706" s="1" t="str">
        <f t="shared" si="170"/>
        <v/>
      </c>
      <c r="T706" s="96" t="str">
        <f t="shared" si="171"/>
        <v/>
      </c>
    </row>
    <row r="707" spans="1:20" ht="12.75" hidden="1" customHeight="1" x14ac:dyDescent="0.2">
      <c r="A707" s="18"/>
      <c r="B707" s="3" t="str">
        <f>IF(UV!B9="","-",UV!B9)</f>
        <v>Jungvieh bis 1 Jahr</v>
      </c>
      <c r="C707" s="93" t="str">
        <f t="shared" si="187"/>
        <v>Wert 31. Dez.</v>
      </c>
      <c r="D707" s="26">
        <f>IF('[1]E-UV'!$I9="","",'[1]E-UV'!$I9)</f>
        <v>1638</v>
      </c>
      <c r="E707" s="27"/>
      <c r="F707" s="27"/>
      <c r="H707" s="96">
        <f>IF(UV!$I9="","",UV!$I9)</f>
        <v>1638</v>
      </c>
      <c r="I707" s="29" t="str">
        <f t="shared" si="186"/>
        <v>Richtig!</v>
      </c>
      <c r="J707" s="30" t="str">
        <f t="shared" si="188"/>
        <v>-</v>
      </c>
      <c r="K707" s="23" t="str">
        <f t="shared" si="173"/>
        <v/>
      </c>
      <c r="L707" s="24" t="str">
        <f t="shared" si="185"/>
        <v/>
      </c>
      <c r="N707" s="882"/>
      <c r="P707" s="26">
        <f t="shared" si="172"/>
        <v>1638</v>
      </c>
      <c r="Q707" s="27" t="str">
        <f t="shared" si="168"/>
        <v/>
      </c>
      <c r="R707" s="27" t="str">
        <f t="shared" si="169"/>
        <v/>
      </c>
      <c r="S707" s="1" t="str">
        <f t="shared" si="170"/>
        <v/>
      </c>
      <c r="T707" s="96">
        <f t="shared" si="171"/>
        <v>1638</v>
      </c>
    </row>
    <row r="708" spans="1:20" ht="12.75" hidden="1" customHeight="1" x14ac:dyDescent="0.2">
      <c r="A708" s="18"/>
      <c r="B708" s="3" t="str">
        <f>IF(UV!B10="","-",UV!B10)</f>
        <v>Mastkälber</v>
      </c>
      <c r="C708" s="93" t="str">
        <f t="shared" si="187"/>
        <v>Wert 31. Dez.</v>
      </c>
      <c r="D708" s="26">
        <f>IF('[1]E-UV'!$I10="","",'[1]E-UV'!$I10)</f>
        <v>588</v>
      </c>
      <c r="E708" s="27"/>
      <c r="F708" s="27"/>
      <c r="H708" s="96">
        <f>IF(UV!$I10="","",UV!$I10)</f>
        <v>588</v>
      </c>
      <c r="I708" s="29" t="str">
        <f t="shared" si="186"/>
        <v>Richtig!</v>
      </c>
      <c r="J708" s="30" t="str">
        <f t="shared" si="188"/>
        <v>-</v>
      </c>
      <c r="K708" s="23" t="str">
        <f t="shared" si="173"/>
        <v/>
      </c>
      <c r="L708" s="24" t="str">
        <f t="shared" si="185"/>
        <v/>
      </c>
      <c r="N708" s="882"/>
      <c r="P708" s="26">
        <f t="shared" si="172"/>
        <v>588</v>
      </c>
      <c r="Q708" s="27" t="str">
        <f t="shared" si="168"/>
        <v/>
      </c>
      <c r="R708" s="27" t="str">
        <f t="shared" si="169"/>
        <v/>
      </c>
      <c r="S708" s="1" t="str">
        <f t="shared" si="170"/>
        <v/>
      </c>
      <c r="T708" s="96">
        <f t="shared" si="171"/>
        <v>588</v>
      </c>
    </row>
    <row r="709" spans="1:20" ht="12.75" hidden="1" customHeight="1" x14ac:dyDescent="0.2">
      <c r="A709" s="18"/>
      <c r="B709" s="3" t="str">
        <f>IF(UV!B11="","-",UV!B11)</f>
        <v>-</v>
      </c>
      <c r="C709" s="93" t="str">
        <f t="shared" si="187"/>
        <v>Wert 31. Dez.</v>
      </c>
      <c r="D709" s="26" t="str">
        <f>IF('[1]E-UV'!$I11="","",'[1]E-UV'!$I11)</f>
        <v/>
      </c>
      <c r="E709" s="27"/>
      <c r="F709" s="27"/>
      <c r="H709" s="96" t="str">
        <f>IF(UV!$I11="","",UV!$I11)</f>
        <v/>
      </c>
      <c r="I709" s="29" t="str">
        <f t="shared" si="186"/>
        <v/>
      </c>
      <c r="J709" s="30" t="str">
        <f t="shared" si="188"/>
        <v>-</v>
      </c>
      <c r="K709" s="23" t="str">
        <f t="shared" si="173"/>
        <v/>
      </c>
      <c r="L709" s="24" t="str">
        <f t="shared" si="185"/>
        <v/>
      </c>
      <c r="N709" s="882"/>
      <c r="P709" s="26" t="str">
        <f t="shared" si="172"/>
        <v/>
      </c>
      <c r="Q709" s="27" t="str">
        <f t="shared" si="168"/>
        <v/>
      </c>
      <c r="R709" s="27" t="str">
        <f t="shared" si="169"/>
        <v/>
      </c>
      <c r="S709" s="1" t="str">
        <f t="shared" si="170"/>
        <v/>
      </c>
      <c r="T709" s="96" t="str">
        <f t="shared" si="171"/>
        <v/>
      </c>
    </row>
    <row r="710" spans="1:20" ht="12.75" hidden="1" customHeight="1" x14ac:dyDescent="0.2">
      <c r="A710" s="18"/>
      <c r="B710" s="3" t="str">
        <f>IF(UV!B12="","-",UV!B12)</f>
        <v>-</v>
      </c>
      <c r="C710" s="93" t="str">
        <f t="shared" si="187"/>
        <v>Wert 31. Dez.</v>
      </c>
      <c r="D710" s="26" t="str">
        <f>IF('[1]E-UV'!$I12="","",'[1]E-UV'!$I12)</f>
        <v/>
      </c>
      <c r="E710" s="27"/>
      <c r="F710" s="27"/>
      <c r="H710" s="96" t="str">
        <f>IF(UV!$I12="","",UV!$I12)</f>
        <v/>
      </c>
      <c r="I710" s="29" t="str">
        <f t="shared" si="186"/>
        <v/>
      </c>
      <c r="J710" s="30" t="str">
        <f t="shared" si="188"/>
        <v>-</v>
      </c>
      <c r="K710" s="23" t="str">
        <f t="shared" si="173"/>
        <v/>
      </c>
      <c r="L710" s="24" t="str">
        <f t="shared" si="185"/>
        <v/>
      </c>
      <c r="N710" s="882"/>
      <c r="P710" s="26" t="str">
        <f t="shared" si="172"/>
        <v/>
      </c>
      <c r="Q710" s="27" t="str">
        <f t="shared" si="168"/>
        <v/>
      </c>
      <c r="R710" s="27" t="str">
        <f t="shared" si="169"/>
        <v/>
      </c>
      <c r="S710" s="1" t="str">
        <f t="shared" si="170"/>
        <v/>
      </c>
      <c r="T710" s="96" t="str">
        <f t="shared" si="171"/>
        <v/>
      </c>
    </row>
    <row r="711" spans="1:20" ht="12.75" x14ac:dyDescent="0.2">
      <c r="A711" s="18"/>
      <c r="B711" s="92" t="str">
        <f>IF(UV!B13="","-",UV!B13)</f>
        <v>Summe RINDER</v>
      </c>
      <c r="C711" s="93" t="str">
        <f t="shared" si="187"/>
        <v>Wert 31. Dez.</v>
      </c>
      <c r="D711" s="31">
        <f>IF('[1]E-UV'!$I13="","",'[1]E-UV'!$I13)</f>
        <v>25940</v>
      </c>
      <c r="E711" s="27"/>
      <c r="F711" s="32">
        <f>IF(AND(H704="",H705="",H706="",H707="",H708="",H709="",H710=""),"-",SUM(H704:H710))</f>
        <v>18298</v>
      </c>
      <c r="H711" s="97" t="str">
        <f>IF(UV!$I13="","",UV!$I13)</f>
        <v/>
      </c>
      <c r="I711" s="29" t="str">
        <f>IF(B711="","",IF(T711=P711,"Richtig!",IF(AND(P711&lt;&gt;T711,R711=T711),"Formel: OK",IF(T711="","Fehlt","Falsch"))))</f>
        <v>Fehlt</v>
      </c>
      <c r="J711" s="30">
        <f t="shared" si="188"/>
        <v>0</v>
      </c>
      <c r="K711" s="23" t="str">
        <f t="shared" si="173"/>
        <v>│</v>
      </c>
      <c r="L711" s="24">
        <f t="shared" si="185"/>
        <v>1</v>
      </c>
      <c r="N711" s="882" t="str">
        <f>IF($L$1="","",$L$1)</f>
        <v>x</v>
      </c>
      <c r="P711" s="31">
        <f t="shared" si="172"/>
        <v>25940</v>
      </c>
      <c r="Q711" s="27" t="str">
        <f t="shared" si="168"/>
        <v/>
      </c>
      <c r="R711" s="32">
        <f t="shared" si="169"/>
        <v>18298</v>
      </c>
      <c r="S711" s="1" t="str">
        <f t="shared" si="170"/>
        <v/>
      </c>
      <c r="T711" s="97" t="str">
        <f t="shared" si="171"/>
        <v/>
      </c>
    </row>
    <row r="712" spans="1:20" ht="12.75" x14ac:dyDescent="0.2">
      <c r="B712" s="95" t="str">
        <f>IF(UV!B21="","-",UV!B21)</f>
        <v>HÜHNER</v>
      </c>
      <c r="C712" s="93"/>
      <c r="D712" s="19" t="str">
        <f>IF('[1]E-UV'!$I21="","",'[1]E-UV'!$I21)</f>
        <v/>
      </c>
      <c r="H712" s="5" t="str">
        <f>IF(UV!$I21="","",UV!$I21)</f>
        <v/>
      </c>
      <c r="I712" s="29" t="str">
        <f t="shared" ref="I712:I717" si="189">IF(OR(B712="-",AND(P712="",T712="")),"",IF(T712=P712,"Richtig!",IF(T712="","Fehlt","Falsch")))</f>
        <v/>
      </c>
      <c r="J712" s="29"/>
      <c r="K712" s="23" t="str">
        <f t="shared" si="173"/>
        <v/>
      </c>
      <c r="L712" s="24" t="str">
        <f t="shared" si="185"/>
        <v/>
      </c>
      <c r="N712" s="880" t="str">
        <f>IF($L$1="","",$L$1)</f>
        <v>x</v>
      </c>
      <c r="P712" s="19" t="str">
        <f t="shared" si="172"/>
        <v/>
      </c>
      <c r="Q712" s="1" t="str">
        <f t="shared" si="168"/>
        <v/>
      </c>
      <c r="R712" s="1" t="str">
        <f t="shared" si="169"/>
        <v/>
      </c>
      <c r="S712" s="1" t="str">
        <f t="shared" si="170"/>
        <v/>
      </c>
      <c r="T712" s="5" t="str">
        <f t="shared" si="171"/>
        <v/>
      </c>
    </row>
    <row r="713" spans="1:20" ht="12.75" hidden="1" customHeight="1" x14ac:dyDescent="0.2">
      <c r="A713" s="18"/>
      <c r="B713" s="3" t="str">
        <f>IF(UV!B22="","-",UV!B22)</f>
        <v>Mastkücken</v>
      </c>
      <c r="C713" s="93" t="str">
        <f t="shared" ref="C713:C718" si="190">MID($B$702,1,12)&amp;"."</f>
        <v>Wert 31. Dez.</v>
      </c>
      <c r="D713" s="26">
        <f>IF('[1]E-UV'!$I22="","",'[1]E-UV'!$I22)</f>
        <v>13.3</v>
      </c>
      <c r="E713" s="27"/>
      <c r="F713" s="27"/>
      <c r="H713" s="96">
        <f>IF(UV!$I22="","",UV!$I22)</f>
        <v>13.3</v>
      </c>
      <c r="I713" s="29" t="str">
        <f t="shared" si="189"/>
        <v>Richtig!</v>
      </c>
      <c r="J713" s="30" t="str">
        <f t="shared" ref="J713:J718" si="191">IF(OR(B713="-",N713="",AND(P713="",T713="")),"-",IF(I713="Richtig!",1,IF(I713="Formel: OK",0.5,IF(OR(I713="Falsch",I713="Fehlt"),0,""))))</f>
        <v>-</v>
      </c>
      <c r="K713" s="23" t="str">
        <f t="shared" si="173"/>
        <v/>
      </c>
      <c r="L713" s="24" t="str">
        <f t="shared" si="185"/>
        <v/>
      </c>
      <c r="N713" s="882"/>
      <c r="P713" s="26">
        <f t="shared" si="172"/>
        <v>13.3</v>
      </c>
      <c r="Q713" s="27" t="str">
        <f t="shared" si="168"/>
        <v/>
      </c>
      <c r="R713" s="27" t="str">
        <f t="shared" si="169"/>
        <v/>
      </c>
      <c r="S713" s="1" t="str">
        <f t="shared" si="170"/>
        <v/>
      </c>
      <c r="T713" s="96">
        <f t="shared" si="171"/>
        <v>13.3</v>
      </c>
    </row>
    <row r="714" spans="1:20" ht="12.75" hidden="1" customHeight="1" x14ac:dyDescent="0.2">
      <c r="A714" s="18"/>
      <c r="B714" s="3" t="str">
        <f>IF(UV!B23="","-",UV!B23)</f>
        <v>Masthühner</v>
      </c>
      <c r="C714" s="93" t="str">
        <f t="shared" si="190"/>
        <v>Wert 31. Dez.</v>
      </c>
      <c r="D714" s="26">
        <f>IF('[1]E-UV'!$I23="","",'[1]E-UV'!$I23)</f>
        <v>260.52</v>
      </c>
      <c r="E714" s="27"/>
      <c r="F714" s="27"/>
      <c r="H714" s="96">
        <f>IF(UV!$I23="","",UV!$I23)</f>
        <v>260.52</v>
      </c>
      <c r="I714" s="29" t="str">
        <f t="shared" si="189"/>
        <v>Richtig!</v>
      </c>
      <c r="J714" s="30" t="str">
        <f t="shared" si="191"/>
        <v>-</v>
      </c>
      <c r="K714" s="23" t="str">
        <f t="shared" si="173"/>
        <v/>
      </c>
      <c r="L714" s="24" t="str">
        <f t="shared" si="185"/>
        <v/>
      </c>
      <c r="N714" s="882"/>
      <c r="P714" s="26">
        <f t="shared" si="172"/>
        <v>260.52</v>
      </c>
      <c r="Q714" s="27" t="str">
        <f t="shared" ref="Q714:Q777" si="192">IF(ISTEXT(E714),E714,IF(E714="","",ROUND(E714,$R$1)))</f>
        <v/>
      </c>
      <c r="R714" s="27" t="str">
        <f t="shared" ref="R714:R777" si="193">IF(ISTEXT(F714),F714,IF(F714="","",ROUND(F714,$R$1)))</f>
        <v/>
      </c>
      <c r="S714" s="1" t="str">
        <f t="shared" ref="S714:S777" si="194">IF(ISTEXT(G714),G714,IF(G714="","",ROUND(G714,$R$1)))</f>
        <v/>
      </c>
      <c r="T714" s="96">
        <f t="shared" ref="T714:T777" si="195">IF(ISTEXT(H714),H714,IF(H714="","",ROUND(H714,$R$1)))</f>
        <v>260.52</v>
      </c>
    </row>
    <row r="715" spans="1:20" ht="12.75" hidden="1" customHeight="1" x14ac:dyDescent="0.2">
      <c r="A715" s="18"/>
      <c r="B715" s="3" t="str">
        <f>IF(UV!B24="","-",UV!B24)</f>
        <v>-</v>
      </c>
      <c r="C715" s="93" t="str">
        <f t="shared" si="190"/>
        <v>Wert 31. Dez.</v>
      </c>
      <c r="D715" s="26" t="str">
        <f>IF('[1]E-UV'!$I24="","",'[1]E-UV'!$I24)</f>
        <v/>
      </c>
      <c r="E715" s="27"/>
      <c r="F715" s="27"/>
      <c r="H715" s="96" t="str">
        <f>IF(UV!$I24="","",UV!$I24)</f>
        <v/>
      </c>
      <c r="I715" s="29" t="str">
        <f t="shared" si="189"/>
        <v/>
      </c>
      <c r="J715" s="30" t="str">
        <f t="shared" si="191"/>
        <v>-</v>
      </c>
      <c r="K715" s="23" t="str">
        <f t="shared" si="173"/>
        <v/>
      </c>
      <c r="L715" s="24" t="str">
        <f t="shared" si="185"/>
        <v/>
      </c>
      <c r="N715" s="882"/>
      <c r="P715" s="26" t="str">
        <f t="shared" ref="P715:P778" si="196">IF(ISTEXT(D715),D715,IF(D715="","",ROUND(D715,$R$1)))</f>
        <v/>
      </c>
      <c r="Q715" s="27" t="str">
        <f t="shared" si="192"/>
        <v/>
      </c>
      <c r="R715" s="27" t="str">
        <f t="shared" si="193"/>
        <v/>
      </c>
      <c r="S715" s="1" t="str">
        <f t="shared" si="194"/>
        <v/>
      </c>
      <c r="T715" s="96" t="str">
        <f t="shared" si="195"/>
        <v/>
      </c>
    </row>
    <row r="716" spans="1:20" ht="12.75" hidden="1" customHeight="1" x14ac:dyDescent="0.2">
      <c r="A716" s="18"/>
      <c r="B716" s="3" t="str">
        <f>IF(UV!B25="","-",UV!B25)</f>
        <v>-</v>
      </c>
      <c r="C716" s="93" t="str">
        <f t="shared" si="190"/>
        <v>Wert 31. Dez.</v>
      </c>
      <c r="D716" s="26" t="str">
        <f>IF('[1]E-UV'!$I25="","",'[1]E-UV'!$I25)</f>
        <v/>
      </c>
      <c r="E716" s="27"/>
      <c r="F716" s="27"/>
      <c r="H716" s="96" t="str">
        <f>IF(UV!$I25="","",UV!$I25)</f>
        <v/>
      </c>
      <c r="I716" s="29" t="str">
        <f t="shared" si="189"/>
        <v/>
      </c>
      <c r="J716" s="30" t="str">
        <f t="shared" si="191"/>
        <v>-</v>
      </c>
      <c r="K716" s="23" t="str">
        <f t="shared" si="173"/>
        <v/>
      </c>
      <c r="L716" s="24" t="str">
        <f t="shared" si="185"/>
        <v/>
      </c>
      <c r="N716" s="882"/>
      <c r="P716" s="26" t="str">
        <f t="shared" si="196"/>
        <v/>
      </c>
      <c r="Q716" s="27" t="str">
        <f t="shared" si="192"/>
        <v/>
      </c>
      <c r="R716" s="27" t="str">
        <f t="shared" si="193"/>
        <v/>
      </c>
      <c r="S716" s="1" t="str">
        <f t="shared" si="194"/>
        <v/>
      </c>
      <c r="T716" s="96" t="str">
        <f t="shared" si="195"/>
        <v/>
      </c>
    </row>
    <row r="717" spans="1:20" ht="12.75" hidden="1" customHeight="1" x14ac:dyDescent="0.2">
      <c r="A717" s="18"/>
      <c r="B717" s="3" t="str">
        <f>IF(UV!B26="","-",UV!B26)</f>
        <v>-</v>
      </c>
      <c r="C717" s="93" t="str">
        <f t="shared" si="190"/>
        <v>Wert 31. Dez.</v>
      </c>
      <c r="D717" s="26" t="str">
        <f>IF('[1]E-UV'!$I26="","",'[1]E-UV'!$I26)</f>
        <v/>
      </c>
      <c r="E717" s="27"/>
      <c r="F717" s="27"/>
      <c r="H717" s="96" t="str">
        <f>IF(UV!$I26="","",UV!$I26)</f>
        <v/>
      </c>
      <c r="I717" s="29" t="str">
        <f t="shared" si="189"/>
        <v/>
      </c>
      <c r="J717" s="30" t="str">
        <f t="shared" si="191"/>
        <v>-</v>
      </c>
      <c r="K717" s="23" t="str">
        <f t="shared" si="173"/>
        <v/>
      </c>
      <c r="L717" s="24" t="str">
        <f t="shared" si="185"/>
        <v/>
      </c>
      <c r="N717" s="882"/>
      <c r="P717" s="26" t="str">
        <f t="shared" si="196"/>
        <v/>
      </c>
      <c r="Q717" s="27" t="str">
        <f t="shared" si="192"/>
        <v/>
      </c>
      <c r="R717" s="27" t="str">
        <f t="shared" si="193"/>
        <v/>
      </c>
      <c r="S717" s="1" t="str">
        <f t="shared" si="194"/>
        <v/>
      </c>
      <c r="T717" s="96" t="str">
        <f t="shared" si="195"/>
        <v/>
      </c>
    </row>
    <row r="718" spans="1:20" ht="12.75" hidden="1" customHeight="1" x14ac:dyDescent="0.2">
      <c r="A718" s="18"/>
      <c r="B718" s="92" t="str">
        <f>IF(UV!B27="","-",UV!B27)</f>
        <v>Summe HÜHNER</v>
      </c>
      <c r="C718" s="93" t="str">
        <f t="shared" si="190"/>
        <v>Wert 31. Dez.</v>
      </c>
      <c r="D718" s="31">
        <f>IF('[1]E-UV'!$I27="","",'[1]E-UV'!$I27)</f>
        <v>273.82</v>
      </c>
      <c r="E718" s="27"/>
      <c r="F718" s="32">
        <f>IF(AND(H713="",H714="",H715="",H716="",H717=""),"-",SUM(H713:H717))</f>
        <v>273.82</v>
      </c>
      <c r="H718" s="97">
        <f>IF(UV!$I27="","",UV!$I27)</f>
        <v>273.82</v>
      </c>
      <c r="I718" s="29" t="str">
        <f>IF(B718="","",IF(T718=P718,"Richtig!",IF(AND(P718&lt;&gt;T718,R718=T718),"Formel: OK",IF(T718="","Fehlt","Falsch"))))</f>
        <v>Richtig!</v>
      </c>
      <c r="J718" s="30" t="str">
        <f t="shared" si="191"/>
        <v>-</v>
      </c>
      <c r="K718" s="23" t="str">
        <f t="shared" ref="K718:K778" si="197">IF(L718="","","│")</f>
        <v/>
      </c>
      <c r="L718" s="24" t="str">
        <f t="shared" si="185"/>
        <v/>
      </c>
      <c r="N718" s="882"/>
      <c r="P718" s="31">
        <f t="shared" si="196"/>
        <v>273.82</v>
      </c>
      <c r="Q718" s="27" t="str">
        <f t="shared" si="192"/>
        <v/>
      </c>
      <c r="R718" s="32">
        <f t="shared" si="193"/>
        <v>273.82</v>
      </c>
      <c r="S718" s="1" t="str">
        <f t="shared" si="194"/>
        <v/>
      </c>
      <c r="T718" s="97">
        <f t="shared" si="195"/>
        <v>273.82</v>
      </c>
    </row>
    <row r="719" spans="1:20" ht="12.75" x14ac:dyDescent="0.2">
      <c r="B719" s="95" t="str">
        <f>IF(UV!B30="","-",UV!B30)</f>
        <v>Selbst erzeugte Vorräte</v>
      </c>
      <c r="C719" s="93"/>
      <c r="D719" s="19" t="str">
        <f>IF('[1]E-UV'!$I30="","",'[1]E-UV'!$I30)</f>
        <v/>
      </c>
      <c r="H719" s="5" t="str">
        <f>IF(UV!$I30="","",UV!$I30)</f>
        <v/>
      </c>
      <c r="I719" s="29"/>
      <c r="J719" s="29"/>
      <c r="K719" s="23" t="str">
        <f t="shared" si="197"/>
        <v/>
      </c>
      <c r="L719" s="24" t="str">
        <f t="shared" si="185"/>
        <v/>
      </c>
      <c r="N719" s="880" t="str">
        <f>IF($L$1="","",$L$1)</f>
        <v>x</v>
      </c>
      <c r="P719" s="19" t="str">
        <f t="shared" si="196"/>
        <v/>
      </c>
      <c r="Q719" s="1" t="str">
        <f t="shared" si="192"/>
        <v/>
      </c>
      <c r="R719" s="1" t="str">
        <f t="shared" si="193"/>
        <v/>
      </c>
      <c r="S719" s="1" t="str">
        <f t="shared" si="194"/>
        <v/>
      </c>
      <c r="T719" s="5" t="str">
        <f t="shared" si="195"/>
        <v/>
      </c>
    </row>
    <row r="720" spans="1:20" ht="12.75" hidden="1" customHeight="1" x14ac:dyDescent="0.2">
      <c r="B720" s="3" t="str">
        <f>IF(UV!B31="","-",UV!B31)</f>
        <v>Käse</v>
      </c>
      <c r="C720" s="93" t="str">
        <f t="shared" ref="C720:C725" si="198">MID($B$702,1,12)&amp;"."</f>
        <v>Wert 31. Dez.</v>
      </c>
      <c r="D720" s="26">
        <f>IF('[1]E-UV'!$I31="","",'[1]E-UV'!$I31)</f>
        <v>86.76</v>
      </c>
      <c r="E720" s="27"/>
      <c r="F720" s="27"/>
      <c r="H720" s="96">
        <f>IF(UV!$I31="","",UV!$I31)</f>
        <v>86.76</v>
      </c>
      <c r="I720" s="29" t="str">
        <f>IF(OR(B720="-",AND(P720="",T720="")),"",IF(T720=P720,"Richtig!",IF(T720="","Fehlt","Falsch")))</f>
        <v>Richtig!</v>
      </c>
      <c r="J720" s="30" t="str">
        <f t="shared" ref="J720:J725" si="199">IF(OR(B720="-",N720="",AND(P720="",T720="")),"-",IF(I720="Richtig!",1,IF(I720="Formel: OK",0.5,IF(OR(I720="Falsch",I720="Fehlt"),0,""))))</f>
        <v>-</v>
      </c>
      <c r="K720" s="23" t="str">
        <f t="shared" si="197"/>
        <v/>
      </c>
      <c r="L720" s="24" t="str">
        <f t="shared" si="185"/>
        <v/>
      </c>
      <c r="N720" s="882"/>
      <c r="P720" s="26">
        <f t="shared" si="196"/>
        <v>86.76</v>
      </c>
      <c r="Q720" s="27" t="str">
        <f t="shared" si="192"/>
        <v/>
      </c>
      <c r="R720" s="27" t="str">
        <f t="shared" si="193"/>
        <v/>
      </c>
      <c r="S720" s="1" t="str">
        <f t="shared" si="194"/>
        <v/>
      </c>
      <c r="T720" s="96">
        <f t="shared" si="195"/>
        <v>86.76</v>
      </c>
    </row>
    <row r="721" spans="1:20" ht="12.75" hidden="1" customHeight="1" x14ac:dyDescent="0.2">
      <c r="A721" s="18"/>
      <c r="B721" s="3" t="str">
        <f>IF(UV!B32="","-",UV!B32)</f>
        <v>Butter</v>
      </c>
      <c r="C721" s="93" t="str">
        <f t="shared" si="198"/>
        <v>Wert 31. Dez.</v>
      </c>
      <c r="D721" s="26">
        <f>IF('[1]E-UV'!$I32="","",'[1]E-UV'!$I32)</f>
        <v>327.36</v>
      </c>
      <c r="E721" s="27"/>
      <c r="F721" s="27"/>
      <c r="H721" s="96">
        <f>IF(UV!$I32="","",UV!$I32)</f>
        <v>327.36</v>
      </c>
      <c r="I721" s="29" t="str">
        <f>IF(OR(B721="-",AND(P721="",T721="")),"",IF(T721=P721,"Richtig!",IF(T721="","Fehlt","Falsch")))</f>
        <v>Richtig!</v>
      </c>
      <c r="J721" s="30" t="str">
        <f t="shared" si="199"/>
        <v>-</v>
      </c>
      <c r="K721" s="23" t="str">
        <f t="shared" si="197"/>
        <v/>
      </c>
      <c r="L721" s="24" t="str">
        <f t="shared" si="185"/>
        <v/>
      </c>
      <c r="N721" s="882"/>
      <c r="P721" s="26">
        <f t="shared" si="196"/>
        <v>327.36</v>
      </c>
      <c r="Q721" s="27" t="str">
        <f t="shared" si="192"/>
        <v/>
      </c>
      <c r="R721" s="27" t="str">
        <f t="shared" si="193"/>
        <v/>
      </c>
      <c r="S721" s="1" t="str">
        <f t="shared" si="194"/>
        <v/>
      </c>
      <c r="T721" s="96">
        <f t="shared" si="195"/>
        <v>327.36</v>
      </c>
    </row>
    <row r="722" spans="1:20" ht="12.75" x14ac:dyDescent="0.2">
      <c r="A722" s="18"/>
      <c r="B722" s="3" t="str">
        <f>IF(UV!B33="","-",UV!B33)</f>
        <v>Kartoffel</v>
      </c>
      <c r="C722" s="93" t="str">
        <f t="shared" si="198"/>
        <v>Wert 31. Dez.</v>
      </c>
      <c r="D722" s="26">
        <f>IF('[1]E-UV'!$I33="","",'[1]E-UV'!$I33)</f>
        <v>214.36</v>
      </c>
      <c r="E722" s="27"/>
      <c r="F722" s="27"/>
      <c r="H722" s="96" t="str">
        <f>IF(UV!$I33="","",UV!$I33)</f>
        <v/>
      </c>
      <c r="I722" s="29" t="str">
        <f>IF(OR(B722="-",AND(P722="",T722="")),"",IF(T722=P722,"Richtig!",IF(T722="","Fehlt","Falsch")))</f>
        <v>Fehlt</v>
      </c>
      <c r="J722" s="30">
        <f t="shared" si="199"/>
        <v>0</v>
      </c>
      <c r="K722" s="23" t="str">
        <f t="shared" si="197"/>
        <v>│</v>
      </c>
      <c r="L722" s="24">
        <f t="shared" si="185"/>
        <v>1</v>
      </c>
      <c r="N722" s="882" t="str">
        <f>IF($L$1="","",$L$1)</f>
        <v>x</v>
      </c>
      <c r="P722" s="26">
        <f t="shared" si="196"/>
        <v>214.36</v>
      </c>
      <c r="Q722" s="27" t="str">
        <f t="shared" si="192"/>
        <v/>
      </c>
      <c r="R722" s="27" t="str">
        <f t="shared" si="193"/>
        <v/>
      </c>
      <c r="S722" s="1" t="str">
        <f t="shared" si="194"/>
        <v/>
      </c>
      <c r="T722" s="96" t="str">
        <f t="shared" si="195"/>
        <v/>
      </c>
    </row>
    <row r="723" spans="1:20" ht="12.75" hidden="1" customHeight="1" x14ac:dyDescent="0.2">
      <c r="A723" s="18"/>
      <c r="B723" s="3" t="str">
        <f>IF(UV!B34="","-",UV!B34)</f>
        <v>-</v>
      </c>
      <c r="C723" s="93" t="str">
        <f t="shared" si="198"/>
        <v>Wert 31. Dez.</v>
      </c>
      <c r="D723" s="26" t="str">
        <f>IF('[1]E-UV'!$I34="","",'[1]E-UV'!$I34)</f>
        <v/>
      </c>
      <c r="E723" s="27"/>
      <c r="F723" s="27"/>
      <c r="H723" s="96" t="str">
        <f>IF(UV!$I34="","",UV!$I34)</f>
        <v/>
      </c>
      <c r="I723" s="29" t="str">
        <f>IF(OR(B723="-",AND(P723="",T723="")),"",IF(T723=P723,"Richtig!",IF(T723="","Fehlt","Falsch")))</f>
        <v/>
      </c>
      <c r="J723" s="30" t="str">
        <f t="shared" si="199"/>
        <v>-</v>
      </c>
      <c r="K723" s="23" t="str">
        <f t="shared" si="197"/>
        <v/>
      </c>
      <c r="L723" s="24" t="str">
        <f t="shared" si="185"/>
        <v/>
      </c>
      <c r="N723" s="882"/>
      <c r="P723" s="26" t="str">
        <f t="shared" si="196"/>
        <v/>
      </c>
      <c r="Q723" s="27" t="str">
        <f t="shared" si="192"/>
        <v/>
      </c>
      <c r="R723" s="27" t="str">
        <f t="shared" si="193"/>
        <v/>
      </c>
      <c r="S723" s="1" t="str">
        <f t="shared" si="194"/>
        <v/>
      </c>
      <c r="T723" s="96" t="str">
        <f t="shared" si="195"/>
        <v/>
      </c>
    </row>
    <row r="724" spans="1:20" ht="12.75" hidden="1" customHeight="1" x14ac:dyDescent="0.2">
      <c r="A724" s="18"/>
      <c r="B724" s="3" t="str">
        <f>IF(UV!B35="","-",UV!B35)</f>
        <v>-</v>
      </c>
      <c r="C724" s="93" t="str">
        <f t="shared" si="198"/>
        <v>Wert 31. Dez.</v>
      </c>
      <c r="D724" s="26" t="str">
        <f>IF('[1]E-UV'!$I35="","",'[1]E-UV'!$I35)</f>
        <v/>
      </c>
      <c r="E724" s="27"/>
      <c r="F724" s="27"/>
      <c r="H724" s="96" t="str">
        <f>IF(UV!$I35="","",UV!$I35)</f>
        <v/>
      </c>
      <c r="I724" s="29" t="str">
        <f>IF(OR(B724="-",AND(P724="",T724="")),"",IF(T724=P724,"Richtig!",IF(T724="","Fehlt","Falsch")))</f>
        <v/>
      </c>
      <c r="J724" s="30" t="str">
        <f t="shared" si="199"/>
        <v>-</v>
      </c>
      <c r="K724" s="23" t="str">
        <f t="shared" si="197"/>
        <v/>
      </c>
      <c r="L724" s="24" t="str">
        <f t="shared" si="185"/>
        <v/>
      </c>
      <c r="N724" s="882"/>
      <c r="P724" s="26" t="str">
        <f t="shared" si="196"/>
        <v/>
      </c>
      <c r="Q724" s="27" t="str">
        <f t="shared" si="192"/>
        <v/>
      </c>
      <c r="R724" s="27" t="str">
        <f t="shared" si="193"/>
        <v/>
      </c>
      <c r="S724" s="1" t="str">
        <f t="shared" si="194"/>
        <v/>
      </c>
      <c r="T724" s="96" t="str">
        <f t="shared" si="195"/>
        <v/>
      </c>
    </row>
    <row r="725" spans="1:20" ht="12.75" x14ac:dyDescent="0.2">
      <c r="A725" s="18"/>
      <c r="B725" s="92" t="str">
        <f>IF(UV!B36="","-",UV!B36)</f>
        <v>Summe selbst erzeugte Vorräte</v>
      </c>
      <c r="C725" s="93" t="str">
        <f t="shared" si="198"/>
        <v>Wert 31. Dez.</v>
      </c>
      <c r="D725" s="31">
        <f>IF('[1]E-UV'!$I36="","",'[1]E-UV'!$I36)</f>
        <v>628.48</v>
      </c>
      <c r="E725" s="27"/>
      <c r="F725" s="32">
        <f>IF(AND(H720="",H721="",H722="",H723="",H724=""),"-",SUM(H720:H724))</f>
        <v>414.12</v>
      </c>
      <c r="H725" s="97" t="str">
        <f>IF(UV!$I36="","",UV!$I36)</f>
        <v/>
      </c>
      <c r="I725" s="29" t="str">
        <f>IF(B725="","",IF(T725=P725,"Richtig!",IF(AND(P725&lt;&gt;T725,R725=T725),"Formel: OK",IF(T725="","Fehlt","Falsch"))))</f>
        <v>Fehlt</v>
      </c>
      <c r="J725" s="30">
        <f t="shared" si="199"/>
        <v>0</v>
      </c>
      <c r="K725" s="23" t="str">
        <f t="shared" si="197"/>
        <v>│</v>
      </c>
      <c r="L725" s="24">
        <f t="shared" si="185"/>
        <v>1</v>
      </c>
      <c r="N725" s="882" t="str">
        <f>IF($L$1="","",$L$1)</f>
        <v>x</v>
      </c>
      <c r="P725" s="31">
        <f t="shared" si="196"/>
        <v>628.48</v>
      </c>
      <c r="Q725" s="27" t="str">
        <f t="shared" si="192"/>
        <v/>
      </c>
      <c r="R725" s="32">
        <f t="shared" si="193"/>
        <v>414.12</v>
      </c>
      <c r="S725" s="1" t="str">
        <f t="shared" si="194"/>
        <v/>
      </c>
      <c r="T725" s="97" t="str">
        <f t="shared" si="195"/>
        <v/>
      </c>
    </row>
    <row r="726" spans="1:20" ht="12.75" hidden="1" customHeight="1" x14ac:dyDescent="0.2">
      <c r="A726" s="18"/>
      <c r="B726" s="95" t="str">
        <f>IF(UV!B44="","-",UV!B44)</f>
        <v>Zugekaufte Vorräte</v>
      </c>
      <c r="C726" s="93"/>
      <c r="D726" s="19" t="str">
        <f>IF('[1]E-UV'!$I44="","",'[1]E-UV'!$I44)</f>
        <v/>
      </c>
      <c r="H726" s="5" t="str">
        <f>IF(UV!$I44="","",UV!$I44)</f>
        <v/>
      </c>
      <c r="I726" s="29"/>
      <c r="J726" s="29"/>
      <c r="K726" s="23" t="str">
        <f t="shared" si="197"/>
        <v/>
      </c>
      <c r="L726" s="24" t="str">
        <f t="shared" si="185"/>
        <v/>
      </c>
      <c r="N726" s="880"/>
      <c r="P726" s="19" t="str">
        <f t="shared" si="196"/>
        <v/>
      </c>
      <c r="Q726" s="1" t="str">
        <f t="shared" si="192"/>
        <v/>
      </c>
      <c r="R726" s="1" t="str">
        <f t="shared" si="193"/>
        <v/>
      </c>
      <c r="S726" s="1" t="str">
        <f t="shared" si="194"/>
        <v/>
      </c>
      <c r="T726" s="5" t="str">
        <f t="shared" si="195"/>
        <v/>
      </c>
    </row>
    <row r="727" spans="1:20" ht="12.75" hidden="1" customHeight="1" x14ac:dyDescent="0.2">
      <c r="A727" s="18"/>
      <c r="B727" s="3" t="str">
        <f>IF(UV!B45="","-",UV!B45)</f>
        <v>Milchkraftfutter</v>
      </c>
      <c r="C727" s="93" t="str">
        <f t="shared" ref="C727:C732" si="200">MID($B$702,1,12)&amp;"."</f>
        <v>Wert 31. Dez.</v>
      </c>
      <c r="D727" s="26">
        <f>IF('[1]E-UV'!$I45="","",'[1]E-UV'!$I45)</f>
        <v>478.5</v>
      </c>
      <c r="E727" s="27"/>
      <c r="F727" s="27"/>
      <c r="H727" s="96">
        <f>IF(UV!$I45="","",UV!$I45)</f>
        <v>478.5</v>
      </c>
      <c r="I727" s="29" t="str">
        <f>IF(OR(B727="-",AND(P727="",T727="")),"",IF(T727=P727,"Richtig!",IF(T727="","Fehlt","Falsch")))</f>
        <v>Richtig!</v>
      </c>
      <c r="J727" s="30" t="str">
        <f t="shared" ref="J727:J732" si="201">IF(OR(B727="-",N727="",AND(P727="",T727="")),"-",IF(I727="Richtig!",1,IF(I727="Formel: OK",0.5,IF(OR(I727="Falsch",I727="Fehlt"),0,""))))</f>
        <v>-</v>
      </c>
      <c r="K727" s="23" t="str">
        <f t="shared" si="197"/>
        <v/>
      </c>
      <c r="L727" s="24" t="str">
        <f t="shared" si="185"/>
        <v/>
      </c>
      <c r="N727" s="882"/>
      <c r="P727" s="26">
        <f t="shared" si="196"/>
        <v>478.5</v>
      </c>
      <c r="Q727" s="27" t="str">
        <f t="shared" si="192"/>
        <v/>
      </c>
      <c r="R727" s="27" t="str">
        <f t="shared" si="193"/>
        <v/>
      </c>
      <c r="S727" s="1" t="str">
        <f t="shared" si="194"/>
        <v/>
      </c>
      <c r="T727" s="96">
        <f t="shared" si="195"/>
        <v>478.5</v>
      </c>
    </row>
    <row r="728" spans="1:20" ht="12.75" hidden="1" customHeight="1" x14ac:dyDescent="0.2">
      <c r="A728" s="18"/>
      <c r="B728" s="3" t="str">
        <f>IF(UV!B46="","-",UV!B46)</f>
        <v>Mineralstoffmischung</v>
      </c>
      <c r="C728" s="93" t="str">
        <f t="shared" si="200"/>
        <v>Wert 31. Dez.</v>
      </c>
      <c r="D728" s="26">
        <f>IF('[1]E-UV'!$I46="","",'[1]E-UV'!$I46)</f>
        <v>169.60000000000002</v>
      </c>
      <c r="E728" s="27"/>
      <c r="F728" s="27"/>
      <c r="H728" s="96">
        <f>IF(UV!$I46="","",UV!$I46)</f>
        <v>169.60000000000002</v>
      </c>
      <c r="I728" s="29" t="str">
        <f>IF(OR(B728="-",AND(P728="",T728="")),"",IF(T728=P728,"Richtig!",IF(T728="","Fehlt","Falsch")))</f>
        <v>Richtig!</v>
      </c>
      <c r="J728" s="30" t="str">
        <f t="shared" si="201"/>
        <v>-</v>
      </c>
      <c r="K728" s="23" t="str">
        <f t="shared" si="197"/>
        <v/>
      </c>
      <c r="L728" s="24" t="str">
        <f t="shared" si="185"/>
        <v/>
      </c>
      <c r="N728" s="882"/>
      <c r="P728" s="26">
        <f t="shared" si="196"/>
        <v>169.6</v>
      </c>
      <c r="Q728" s="27" t="str">
        <f t="shared" si="192"/>
        <v/>
      </c>
      <c r="R728" s="27" t="str">
        <f t="shared" si="193"/>
        <v/>
      </c>
      <c r="S728" s="1" t="str">
        <f t="shared" si="194"/>
        <v/>
      </c>
      <c r="T728" s="96">
        <f t="shared" si="195"/>
        <v>169.6</v>
      </c>
    </row>
    <row r="729" spans="1:20" ht="12.75" hidden="1" customHeight="1" x14ac:dyDescent="0.2">
      <c r="A729" s="18"/>
      <c r="B729" s="3" t="str">
        <f>IF(UV!B47="","-",UV!B47)</f>
        <v>Masthühnerfutter</v>
      </c>
      <c r="C729" s="93" t="str">
        <f t="shared" si="200"/>
        <v>Wert 31. Dez.</v>
      </c>
      <c r="D729" s="26">
        <f>IF('[1]E-UV'!$I47="","",'[1]E-UV'!$I47)</f>
        <v>19.22</v>
      </c>
      <c r="E729" s="27"/>
      <c r="F729" s="27"/>
      <c r="H729" s="96">
        <f>IF(UV!$I47="","",UV!$I47)</f>
        <v>19.22</v>
      </c>
      <c r="I729" s="29" t="str">
        <f>IF(OR(B729="-",AND(P729="",T729="")),"",IF(T729=P729,"Richtig!",IF(T729="","Fehlt","Falsch")))</f>
        <v>Richtig!</v>
      </c>
      <c r="J729" s="30" t="str">
        <f t="shared" si="201"/>
        <v>-</v>
      </c>
      <c r="K729" s="23" t="str">
        <f t="shared" si="197"/>
        <v/>
      </c>
      <c r="L729" s="24" t="str">
        <f t="shared" si="185"/>
        <v/>
      </c>
      <c r="N729" s="882"/>
      <c r="P729" s="26">
        <f t="shared" si="196"/>
        <v>19.22</v>
      </c>
      <c r="Q729" s="27" t="str">
        <f t="shared" si="192"/>
        <v/>
      </c>
      <c r="R729" s="27" t="str">
        <f t="shared" si="193"/>
        <v/>
      </c>
      <c r="S729" s="1" t="str">
        <f t="shared" si="194"/>
        <v/>
      </c>
      <c r="T729" s="96">
        <f t="shared" si="195"/>
        <v>19.22</v>
      </c>
    </row>
    <row r="730" spans="1:20" ht="12.75" hidden="1" customHeight="1" x14ac:dyDescent="0.2">
      <c r="A730" s="18"/>
      <c r="B730" s="3" t="str">
        <f>IF(UV!B48="","-",UV!B48)</f>
        <v>-</v>
      </c>
      <c r="C730" s="93" t="str">
        <f t="shared" si="200"/>
        <v>Wert 31. Dez.</v>
      </c>
      <c r="D730" s="26" t="str">
        <f>IF('[1]E-UV'!$I48="","",'[1]E-UV'!$I48)</f>
        <v/>
      </c>
      <c r="E730" s="27"/>
      <c r="F730" s="27"/>
      <c r="H730" s="96" t="str">
        <f>IF(UV!$I48="","",UV!$I48)</f>
        <v/>
      </c>
      <c r="I730" s="29" t="str">
        <f>IF(OR(B730="-",AND(P730="",T730="")),"",IF(T730=P730,"Richtig!",IF(T730="","Fehlt","Falsch")))</f>
        <v/>
      </c>
      <c r="J730" s="30" t="str">
        <f t="shared" si="201"/>
        <v>-</v>
      </c>
      <c r="K730" s="23" t="str">
        <f t="shared" si="197"/>
        <v/>
      </c>
      <c r="L730" s="24" t="str">
        <f t="shared" si="185"/>
        <v/>
      </c>
      <c r="N730" s="882"/>
      <c r="P730" s="26" t="str">
        <f t="shared" si="196"/>
        <v/>
      </c>
      <c r="Q730" s="27" t="str">
        <f t="shared" si="192"/>
        <v/>
      </c>
      <c r="R730" s="27" t="str">
        <f t="shared" si="193"/>
        <v/>
      </c>
      <c r="S730" s="1" t="str">
        <f t="shared" si="194"/>
        <v/>
      </c>
      <c r="T730" s="96" t="str">
        <f t="shared" si="195"/>
        <v/>
      </c>
    </row>
    <row r="731" spans="1:20" ht="12.75" hidden="1" customHeight="1" x14ac:dyDescent="0.2">
      <c r="A731" s="18"/>
      <c r="B731" s="3" t="str">
        <f>IF(UV!B49="","-",UV!B49)</f>
        <v>-</v>
      </c>
      <c r="C731" s="93" t="str">
        <f t="shared" si="200"/>
        <v>Wert 31. Dez.</v>
      </c>
      <c r="D731" s="26" t="str">
        <f>IF('[1]E-UV'!$I49="","",'[1]E-UV'!$I49)</f>
        <v/>
      </c>
      <c r="E731" s="27"/>
      <c r="F731" s="27"/>
      <c r="H731" s="96" t="str">
        <f>IF(UV!$I49="","",UV!$I49)</f>
        <v/>
      </c>
      <c r="I731" s="29" t="str">
        <f>IF(OR(B731="-",AND(P731="",T731="")),"",IF(T731=P731,"Richtig!",IF(T731="","Fehlt","Falsch")))</f>
        <v/>
      </c>
      <c r="J731" s="30" t="str">
        <f t="shared" si="201"/>
        <v>-</v>
      </c>
      <c r="K731" s="23" t="str">
        <f t="shared" si="197"/>
        <v/>
      </c>
      <c r="L731" s="24" t="str">
        <f t="shared" si="185"/>
        <v/>
      </c>
      <c r="N731" s="882"/>
      <c r="P731" s="26" t="str">
        <f t="shared" si="196"/>
        <v/>
      </c>
      <c r="Q731" s="27" t="str">
        <f t="shared" si="192"/>
        <v/>
      </c>
      <c r="R731" s="27" t="str">
        <f t="shared" si="193"/>
        <v/>
      </c>
      <c r="S731" s="1" t="str">
        <f t="shared" si="194"/>
        <v/>
      </c>
      <c r="T731" s="96" t="str">
        <f t="shared" si="195"/>
        <v/>
      </c>
    </row>
    <row r="732" spans="1:20" ht="12.75" hidden="1" customHeight="1" x14ac:dyDescent="0.2">
      <c r="A732" s="18"/>
      <c r="B732" s="92" t="str">
        <f>IF(UV!B50="","-",UV!B50)</f>
        <v>Summe zugekaufte Vorräte</v>
      </c>
      <c r="C732" s="93" t="str">
        <f t="shared" si="200"/>
        <v>Wert 31. Dez.</v>
      </c>
      <c r="D732" s="31">
        <f>IF('[1]E-UV'!$I50="","",'[1]E-UV'!$I50)</f>
        <v>667.32</v>
      </c>
      <c r="E732" s="27"/>
      <c r="F732" s="32">
        <f>IF(AND(H727="",H728="",H729="",H730="",H731=""),"-",SUM(H727:H731))</f>
        <v>667.32</v>
      </c>
      <c r="H732" s="97">
        <f>IF(UV!$I50="","",UV!$I50)</f>
        <v>667.32</v>
      </c>
      <c r="I732" s="29" t="str">
        <f>IF(B732="","",IF(T732=P732,"Richtig!",IF(AND(P732&lt;&gt;T732,R732=T732),"Formel: OK",IF(T732="","Fehlt","Falsch"))))</f>
        <v>Richtig!</v>
      </c>
      <c r="J732" s="30" t="str">
        <f t="shared" si="201"/>
        <v>-</v>
      </c>
      <c r="K732" s="23" t="str">
        <f t="shared" si="197"/>
        <v/>
      </c>
      <c r="L732" s="24" t="str">
        <f t="shared" si="185"/>
        <v/>
      </c>
      <c r="N732" s="882"/>
      <c r="P732" s="31">
        <f t="shared" si="196"/>
        <v>667.32</v>
      </c>
      <c r="Q732" s="27" t="str">
        <f t="shared" si="192"/>
        <v/>
      </c>
      <c r="R732" s="32">
        <f t="shared" si="193"/>
        <v>667.32</v>
      </c>
      <c r="S732" s="1" t="str">
        <f t="shared" si="194"/>
        <v/>
      </c>
      <c r="T732" s="97">
        <f t="shared" si="195"/>
        <v>667.32</v>
      </c>
    </row>
    <row r="733" spans="1:20" ht="12.75" x14ac:dyDescent="0.2">
      <c r="A733" s="18"/>
      <c r="B733" s="36"/>
      <c r="C733" s="93"/>
      <c r="D733" s="19"/>
      <c r="H733" s="5"/>
      <c r="I733" s="29"/>
      <c r="J733" s="29"/>
      <c r="K733" s="23"/>
      <c r="L733" s="24" t="str">
        <f t="shared" si="185"/>
        <v/>
      </c>
      <c r="N733" s="883" t="str">
        <f>IF($L$1="","",$L$1)</f>
        <v>x</v>
      </c>
      <c r="P733" s="19" t="str">
        <f t="shared" si="196"/>
        <v/>
      </c>
      <c r="Q733" s="1" t="str">
        <f t="shared" si="192"/>
        <v/>
      </c>
      <c r="R733" s="1" t="str">
        <f t="shared" si="193"/>
        <v/>
      </c>
      <c r="S733" s="1" t="str">
        <f t="shared" si="194"/>
        <v/>
      </c>
      <c r="T733" s="5" t="str">
        <f t="shared" si="195"/>
        <v/>
      </c>
    </row>
    <row r="734" spans="1:20" ht="12.75" x14ac:dyDescent="0.2">
      <c r="A734" s="17" t="s">
        <v>14</v>
      </c>
      <c r="B734" s="17" t="s">
        <v>87</v>
      </c>
      <c r="C734" s="18"/>
      <c r="D734" s="19"/>
      <c r="H734" s="5"/>
      <c r="I734" s="21"/>
      <c r="J734" s="21"/>
      <c r="K734" s="23" t="str">
        <f t="shared" si="197"/>
        <v/>
      </c>
      <c r="L734" s="24" t="str">
        <f t="shared" ref="L734:L767" si="202">IF(OR(B734="-",N734="",AND(P734="",T734="")),"",1)</f>
        <v/>
      </c>
      <c r="N734" s="880" t="str">
        <f>IF($L$1="","",$L$1)</f>
        <v>x</v>
      </c>
      <c r="P734" s="19" t="str">
        <f t="shared" si="196"/>
        <v/>
      </c>
      <c r="Q734" s="1" t="str">
        <f t="shared" si="192"/>
        <v/>
      </c>
      <c r="R734" s="1" t="str">
        <f t="shared" si="193"/>
        <v/>
      </c>
      <c r="S734" s="1" t="str">
        <f t="shared" si="194"/>
        <v/>
      </c>
      <c r="T734" s="5" t="str">
        <f t="shared" si="195"/>
        <v/>
      </c>
    </row>
    <row r="735" spans="1:20" ht="12.75" x14ac:dyDescent="0.2">
      <c r="B735" s="95" t="str">
        <f>IF(UV!B5="","-",UV!B5)</f>
        <v>RINDER</v>
      </c>
      <c r="C735" s="42"/>
      <c r="D735" s="19" t="str">
        <f>IF('[1]E-2NGeb'!Q252="","",'[1]E-2NGeb'!Q252)</f>
        <v/>
      </c>
      <c r="H735" s="5" t="str">
        <f>IF('2NGeb'!Q252="","",'2NGeb'!Q252)</f>
        <v/>
      </c>
      <c r="I735" s="29"/>
      <c r="J735" s="29"/>
      <c r="K735" s="23" t="str">
        <f t="shared" si="197"/>
        <v/>
      </c>
      <c r="L735" s="24" t="str">
        <f t="shared" si="202"/>
        <v/>
      </c>
      <c r="N735" s="880" t="str">
        <f>IF($L$1="","",$L$1)</f>
        <v>x</v>
      </c>
      <c r="P735" s="19" t="str">
        <f t="shared" si="196"/>
        <v/>
      </c>
      <c r="Q735" s="1" t="str">
        <f t="shared" si="192"/>
        <v/>
      </c>
      <c r="R735" s="1" t="str">
        <f t="shared" si="193"/>
        <v/>
      </c>
      <c r="S735" s="1" t="str">
        <f t="shared" si="194"/>
        <v/>
      </c>
      <c r="T735" s="5" t="str">
        <f t="shared" si="195"/>
        <v/>
      </c>
    </row>
    <row r="736" spans="1:20" ht="12.75" hidden="1" customHeight="1" x14ac:dyDescent="0.2">
      <c r="A736" s="18"/>
      <c r="B736" s="36" t="str">
        <f>IF(UV!B6="","-",UV!B6)</f>
        <v>Milchkühe</v>
      </c>
      <c r="C736" s="93" t="str">
        <f t="shared" ref="C736:C743" si="203">MID($B$734,1,5)&amp;"./"&amp;MID($B$734,10,7)&amp;"."</f>
        <v>Mehrw./Minderw.</v>
      </c>
      <c r="D736" s="31">
        <f>IF('[1]E-UV'!$J6="","",'[1]E-UV'!$J6)</f>
        <v>3444</v>
      </c>
      <c r="E736" s="27"/>
      <c r="F736" s="32">
        <f t="shared" ref="F736:F742" si="204">IF(AND(H704="",H672=""),"-",H704-H672)</f>
        <v>3444</v>
      </c>
      <c r="H736" s="97">
        <f>IF(UV!$J6="","",UV!$J6)</f>
        <v>3444</v>
      </c>
      <c r="I736" s="29" t="str">
        <f t="shared" ref="I736:I743" si="205">IF(B736="","",IF(T736=P736,"Richtig!",IF(AND(P736&lt;&gt;T736,R736=T736),"Formel: OK",IF(T736="","Fehlt","Falsch"))))</f>
        <v>Richtig!</v>
      </c>
      <c r="J736" s="30" t="str">
        <f t="shared" ref="J736:J743" si="206">IF(OR(B736="-",N736="",AND(P736="",T736="")),"-",IF(I736="Richtig!",1,IF(I736="Formel: OK",0.5,IF(OR(I736="Falsch",I736="Fehlt"),0,""))))</f>
        <v>-</v>
      </c>
      <c r="K736" s="23" t="str">
        <f t="shared" si="197"/>
        <v/>
      </c>
      <c r="L736" s="24" t="str">
        <f t="shared" si="202"/>
        <v/>
      </c>
      <c r="N736" s="882"/>
      <c r="P736" s="31">
        <f t="shared" si="196"/>
        <v>3444</v>
      </c>
      <c r="Q736" s="27" t="str">
        <f t="shared" si="192"/>
        <v/>
      </c>
      <c r="R736" s="32">
        <f t="shared" si="193"/>
        <v>3444</v>
      </c>
      <c r="S736" s="1" t="str">
        <f t="shared" si="194"/>
        <v/>
      </c>
      <c r="T736" s="97">
        <f t="shared" si="195"/>
        <v>3444</v>
      </c>
    </row>
    <row r="737" spans="1:20" ht="12.75" x14ac:dyDescent="0.2">
      <c r="A737" s="18"/>
      <c r="B737" s="36" t="str">
        <f>IF(UV!B7="","-",UV!B7)</f>
        <v>Kalbinnen</v>
      </c>
      <c r="C737" s="93" t="str">
        <f t="shared" si="203"/>
        <v>Mehrw./Minderw.</v>
      </c>
      <c r="D737" s="31">
        <f>IF('[1]E-UV'!$J7="","",'[1]E-UV'!$J7)</f>
        <v>-3867</v>
      </c>
      <c r="E737" s="27"/>
      <c r="F737" s="32" t="str">
        <f t="shared" si="204"/>
        <v>-</v>
      </c>
      <c r="H737" s="97" t="str">
        <f>IF(UV!$J7="","",UV!$J7)</f>
        <v/>
      </c>
      <c r="I737" s="29" t="str">
        <f t="shared" si="205"/>
        <v>Fehlt</v>
      </c>
      <c r="J737" s="30">
        <f t="shared" si="206"/>
        <v>0</v>
      </c>
      <c r="K737" s="23" t="str">
        <f t="shared" si="197"/>
        <v>│</v>
      </c>
      <c r="L737" s="24">
        <f t="shared" si="202"/>
        <v>1</v>
      </c>
      <c r="N737" s="882" t="str">
        <f>IF($L$1="","",$L$1)</f>
        <v>x</v>
      </c>
      <c r="P737" s="31">
        <f t="shared" si="196"/>
        <v>-3867</v>
      </c>
      <c r="Q737" s="27" t="str">
        <f t="shared" si="192"/>
        <v/>
      </c>
      <c r="R737" s="32" t="str">
        <f t="shared" si="193"/>
        <v>-</v>
      </c>
      <c r="S737" s="1" t="str">
        <f t="shared" si="194"/>
        <v/>
      </c>
      <c r="T737" s="97" t="str">
        <f t="shared" si="195"/>
        <v/>
      </c>
    </row>
    <row r="738" spans="1:20" ht="12.75" x14ac:dyDescent="0.2">
      <c r="A738" s="18"/>
      <c r="B738" s="36" t="str">
        <f>IF(UV!B8="","-",UV!B8)</f>
        <v>Jungvieh 1 - 2 Jahre</v>
      </c>
      <c r="C738" s="93" t="str">
        <f t="shared" si="203"/>
        <v>Mehrw./Minderw.</v>
      </c>
      <c r="D738" s="31">
        <f>IF('[1]E-UV'!$J8="","",'[1]E-UV'!$J8)</f>
        <v>755</v>
      </c>
      <c r="E738" s="27"/>
      <c r="F738" s="32" t="str">
        <f t="shared" si="204"/>
        <v>-</v>
      </c>
      <c r="H738" s="97" t="str">
        <f>IF(UV!$J8="","",UV!$J8)</f>
        <v/>
      </c>
      <c r="I738" s="29" t="str">
        <f t="shared" si="205"/>
        <v>Fehlt</v>
      </c>
      <c r="J738" s="30">
        <f t="shared" si="206"/>
        <v>0</v>
      </c>
      <c r="K738" s="23" t="str">
        <f t="shared" si="197"/>
        <v>│</v>
      </c>
      <c r="L738" s="24">
        <f t="shared" si="202"/>
        <v>1</v>
      </c>
      <c r="N738" s="882" t="str">
        <f>IF($L$1="","",$L$1)</f>
        <v>x</v>
      </c>
      <c r="P738" s="31">
        <f t="shared" si="196"/>
        <v>755</v>
      </c>
      <c r="Q738" s="27" t="str">
        <f t="shared" si="192"/>
        <v/>
      </c>
      <c r="R738" s="32" t="str">
        <f t="shared" si="193"/>
        <v>-</v>
      </c>
      <c r="S738" s="1" t="str">
        <f t="shared" si="194"/>
        <v/>
      </c>
      <c r="T738" s="97" t="str">
        <f t="shared" si="195"/>
        <v/>
      </c>
    </row>
    <row r="739" spans="1:20" ht="12.75" hidden="1" customHeight="1" x14ac:dyDescent="0.2">
      <c r="A739" s="18"/>
      <c r="B739" s="36" t="str">
        <f>IF(UV!B9="","-",UV!B9)</f>
        <v>Jungvieh bis 1 Jahr</v>
      </c>
      <c r="C739" s="93" t="str">
        <f t="shared" si="203"/>
        <v>Mehrw./Minderw.</v>
      </c>
      <c r="D739" s="31">
        <f>IF('[1]E-UV'!$J9="","",'[1]E-UV'!$J9)</f>
        <v>0</v>
      </c>
      <c r="E739" s="27"/>
      <c r="F739" s="32">
        <f t="shared" si="204"/>
        <v>0</v>
      </c>
      <c r="H739" s="97">
        <f>IF(UV!$J9="","",UV!$J9)</f>
        <v>0</v>
      </c>
      <c r="I739" s="29" t="str">
        <f t="shared" si="205"/>
        <v>Richtig!</v>
      </c>
      <c r="J739" s="30" t="str">
        <f t="shared" si="206"/>
        <v>-</v>
      </c>
      <c r="K739" s="23" t="str">
        <f t="shared" si="197"/>
        <v/>
      </c>
      <c r="L739" s="24" t="str">
        <f t="shared" si="202"/>
        <v/>
      </c>
      <c r="N739" s="882"/>
      <c r="P739" s="31">
        <f t="shared" si="196"/>
        <v>0</v>
      </c>
      <c r="Q739" s="27" t="str">
        <f t="shared" si="192"/>
        <v/>
      </c>
      <c r="R739" s="32">
        <f t="shared" si="193"/>
        <v>0</v>
      </c>
      <c r="S739" s="1" t="str">
        <f t="shared" si="194"/>
        <v/>
      </c>
      <c r="T739" s="97">
        <f t="shared" si="195"/>
        <v>0</v>
      </c>
    </row>
    <row r="740" spans="1:20" ht="12.75" hidden="1" customHeight="1" x14ac:dyDescent="0.2">
      <c r="A740" s="18"/>
      <c r="B740" s="36" t="str">
        <f>IF(UV!B10="","-",UV!B10)</f>
        <v>Mastkälber</v>
      </c>
      <c r="C740" s="93" t="str">
        <f t="shared" si="203"/>
        <v>Mehrw./Minderw.</v>
      </c>
      <c r="D740" s="31">
        <f>IF('[1]E-UV'!$J10="","",'[1]E-UV'!$J10)</f>
        <v>-392</v>
      </c>
      <c r="E740" s="27"/>
      <c r="F740" s="32">
        <f t="shared" si="204"/>
        <v>-392</v>
      </c>
      <c r="H740" s="97">
        <f>IF(UV!$J10="","",UV!$J10)</f>
        <v>-392</v>
      </c>
      <c r="I740" s="29" t="str">
        <f t="shared" si="205"/>
        <v>Richtig!</v>
      </c>
      <c r="J740" s="30" t="str">
        <f t="shared" si="206"/>
        <v>-</v>
      </c>
      <c r="K740" s="23" t="str">
        <f t="shared" si="197"/>
        <v/>
      </c>
      <c r="L740" s="24" t="str">
        <f t="shared" si="202"/>
        <v/>
      </c>
      <c r="N740" s="882"/>
      <c r="P740" s="31">
        <f t="shared" si="196"/>
        <v>-392</v>
      </c>
      <c r="Q740" s="27" t="str">
        <f t="shared" si="192"/>
        <v/>
      </c>
      <c r="R740" s="32">
        <f t="shared" si="193"/>
        <v>-392</v>
      </c>
      <c r="S740" s="1" t="str">
        <f t="shared" si="194"/>
        <v/>
      </c>
      <c r="T740" s="97">
        <f t="shared" si="195"/>
        <v>-392</v>
      </c>
    </row>
    <row r="741" spans="1:20" ht="12.75" hidden="1" customHeight="1" x14ac:dyDescent="0.2">
      <c r="A741" s="18"/>
      <c r="B741" s="36" t="str">
        <f>IF(UV!B11="","-",UV!B11)</f>
        <v>-</v>
      </c>
      <c r="C741" s="93" t="str">
        <f t="shared" si="203"/>
        <v>Mehrw./Minderw.</v>
      </c>
      <c r="D741" s="31" t="str">
        <f>IF('[1]E-UV'!$J11="","",'[1]E-UV'!$J11)</f>
        <v/>
      </c>
      <c r="E741" s="27"/>
      <c r="F741" s="32" t="str">
        <f t="shared" si="204"/>
        <v>-</v>
      </c>
      <c r="H741" s="97" t="str">
        <f>IF(UV!$J11="","",UV!$J11)</f>
        <v/>
      </c>
      <c r="I741" s="29" t="str">
        <f t="shared" si="205"/>
        <v>Richtig!</v>
      </c>
      <c r="J741" s="30" t="str">
        <f t="shared" si="206"/>
        <v>-</v>
      </c>
      <c r="K741" s="23" t="str">
        <f t="shared" si="197"/>
        <v/>
      </c>
      <c r="L741" s="24" t="str">
        <f t="shared" si="202"/>
        <v/>
      </c>
      <c r="N741" s="882"/>
      <c r="P741" s="31" t="str">
        <f t="shared" si="196"/>
        <v/>
      </c>
      <c r="Q741" s="27" t="str">
        <f t="shared" si="192"/>
        <v/>
      </c>
      <c r="R741" s="32" t="str">
        <f t="shared" si="193"/>
        <v>-</v>
      </c>
      <c r="S741" s="1" t="str">
        <f t="shared" si="194"/>
        <v/>
      </c>
      <c r="T741" s="97" t="str">
        <f t="shared" si="195"/>
        <v/>
      </c>
    </row>
    <row r="742" spans="1:20" ht="12.75" hidden="1" customHeight="1" x14ac:dyDescent="0.2">
      <c r="A742" s="18"/>
      <c r="B742" s="36" t="str">
        <f>IF(UV!B12="","-",UV!B12)</f>
        <v>-</v>
      </c>
      <c r="C742" s="93" t="str">
        <f t="shared" si="203"/>
        <v>Mehrw./Minderw.</v>
      </c>
      <c r="D742" s="31" t="str">
        <f>IF('[1]E-UV'!$J12="","",'[1]E-UV'!$J12)</f>
        <v/>
      </c>
      <c r="E742" s="27"/>
      <c r="F742" s="32" t="str">
        <f t="shared" si="204"/>
        <v>-</v>
      </c>
      <c r="H742" s="97" t="str">
        <f>IF(UV!$J12="","",UV!$J12)</f>
        <v/>
      </c>
      <c r="I742" s="29" t="str">
        <f t="shared" si="205"/>
        <v>Richtig!</v>
      </c>
      <c r="J742" s="30" t="str">
        <f t="shared" si="206"/>
        <v>-</v>
      </c>
      <c r="K742" s="23" t="str">
        <f t="shared" si="197"/>
        <v/>
      </c>
      <c r="L742" s="24" t="str">
        <f t="shared" si="202"/>
        <v/>
      </c>
      <c r="N742" s="882"/>
      <c r="P742" s="31" t="str">
        <f t="shared" si="196"/>
        <v/>
      </c>
      <c r="Q742" s="27" t="str">
        <f t="shared" si="192"/>
        <v/>
      </c>
      <c r="R742" s="32" t="str">
        <f t="shared" si="193"/>
        <v>-</v>
      </c>
      <c r="S742" s="1" t="str">
        <f t="shared" si="194"/>
        <v/>
      </c>
      <c r="T742" s="97" t="str">
        <f t="shared" si="195"/>
        <v/>
      </c>
    </row>
    <row r="743" spans="1:20" ht="12.75" x14ac:dyDescent="0.2">
      <c r="A743" s="18"/>
      <c r="B743" s="92" t="str">
        <f>IF(UV!B13="","-",UV!B13)</f>
        <v>Summe RINDER</v>
      </c>
      <c r="C743" s="93" t="str">
        <f t="shared" si="203"/>
        <v>Mehrw./Minderw.</v>
      </c>
      <c r="D743" s="31">
        <f>IF('[1]E-UV'!$J13="","",'[1]E-UV'!$J13)</f>
        <v>-60</v>
      </c>
      <c r="E743" s="27"/>
      <c r="F743" s="32">
        <f>IF(AND(H736="",H737="",H738="",H739="",H740="",H741="",H742=""),"-",SUM(H736:H742))</f>
        <v>3052</v>
      </c>
      <c r="H743" s="97" t="str">
        <f>IF(UV!$J13="","",UV!$J13)</f>
        <v/>
      </c>
      <c r="I743" s="29" t="str">
        <f t="shared" si="205"/>
        <v>Fehlt</v>
      </c>
      <c r="J743" s="30">
        <f t="shared" si="206"/>
        <v>0</v>
      </c>
      <c r="K743" s="23" t="str">
        <f t="shared" si="197"/>
        <v>│</v>
      </c>
      <c r="L743" s="24">
        <f t="shared" si="202"/>
        <v>1</v>
      </c>
      <c r="N743" s="882" t="str">
        <f>IF($L$1="","",$L$1)</f>
        <v>x</v>
      </c>
      <c r="P743" s="31">
        <f t="shared" si="196"/>
        <v>-60</v>
      </c>
      <c r="Q743" s="27" t="str">
        <f t="shared" si="192"/>
        <v/>
      </c>
      <c r="R743" s="32">
        <f t="shared" si="193"/>
        <v>3052</v>
      </c>
      <c r="S743" s="1" t="str">
        <f t="shared" si="194"/>
        <v/>
      </c>
      <c r="T743" s="97" t="str">
        <f t="shared" si="195"/>
        <v/>
      </c>
    </row>
    <row r="744" spans="1:20" ht="12.75" x14ac:dyDescent="0.2">
      <c r="B744" s="95" t="str">
        <f>IF(UV!B21="","-",UV!B21)</f>
        <v>HÜHNER</v>
      </c>
      <c r="C744" s="93"/>
      <c r="D744" s="19" t="str">
        <f>IF('[1]E-UV'!$J21="","",'[1]E-UV'!$J21)</f>
        <v/>
      </c>
      <c r="H744" s="5" t="str">
        <f>IF(UV!$J21="","",UV!$J21)</f>
        <v/>
      </c>
      <c r="I744" s="29"/>
      <c r="J744" s="29"/>
      <c r="K744" s="23" t="str">
        <f t="shared" si="197"/>
        <v/>
      </c>
      <c r="L744" s="24" t="str">
        <f t="shared" si="202"/>
        <v/>
      </c>
      <c r="N744" s="880" t="str">
        <f>IF($L$1="","",$L$1)</f>
        <v>x</v>
      </c>
      <c r="P744" s="19" t="str">
        <f t="shared" si="196"/>
        <v/>
      </c>
      <c r="Q744" s="1" t="str">
        <f t="shared" si="192"/>
        <v/>
      </c>
      <c r="R744" s="1" t="str">
        <f t="shared" si="193"/>
        <v/>
      </c>
      <c r="S744" s="1" t="str">
        <f t="shared" si="194"/>
        <v/>
      </c>
      <c r="T744" s="5" t="str">
        <f t="shared" si="195"/>
        <v/>
      </c>
    </row>
    <row r="745" spans="1:20" ht="12.75" hidden="1" customHeight="1" x14ac:dyDescent="0.2">
      <c r="A745" s="18"/>
      <c r="B745" s="36" t="str">
        <f>IF(UV!B22="","-",UV!B22)</f>
        <v>Mastkücken</v>
      </c>
      <c r="C745" s="93" t="str">
        <f t="shared" ref="C745:C750" si="207">MID($B$734,1,5)&amp;"./"&amp;MID($B$734,10,7)&amp;"."</f>
        <v>Mehrw./Minderw.</v>
      </c>
      <c r="D745" s="31">
        <f>IF('[1]E-UV'!$J22="","",'[1]E-UV'!$J22)</f>
        <v>-1.8999999999999986</v>
      </c>
      <c r="E745" s="27"/>
      <c r="F745" s="32">
        <f>IF(AND(H713="",H681=""),"-",H713-H681)</f>
        <v>-1.8999999999999986</v>
      </c>
      <c r="H745" s="97">
        <f>IF(UV!$J22="","",UV!$J22)</f>
        <v>-1.8999999999999986</v>
      </c>
      <c r="I745" s="29" t="str">
        <f t="shared" ref="I745:I750" si="208">IF(B745="","",IF(T745=P745,"Richtig!",IF(AND(P745&lt;&gt;T745,R745=T745),"Formel: OK",IF(T745="","Fehlt","Falsch"))))</f>
        <v>Richtig!</v>
      </c>
      <c r="J745" s="30" t="str">
        <f t="shared" ref="J745:J750" si="209">IF(OR(B745="-",N745="",AND(P745="",T745="")),"-",IF(I745="Richtig!",1,IF(I745="Formel: OK",0.5,IF(OR(I745="Falsch",I745="Fehlt"),0,""))))</f>
        <v>-</v>
      </c>
      <c r="K745" s="23" t="str">
        <f t="shared" si="197"/>
        <v/>
      </c>
      <c r="L745" s="24" t="str">
        <f t="shared" si="202"/>
        <v/>
      </c>
      <c r="N745" s="882"/>
      <c r="P745" s="31">
        <f t="shared" si="196"/>
        <v>-1.9</v>
      </c>
      <c r="Q745" s="27" t="str">
        <f t="shared" si="192"/>
        <v/>
      </c>
      <c r="R745" s="32">
        <f t="shared" si="193"/>
        <v>-1.9</v>
      </c>
      <c r="S745" s="1" t="str">
        <f t="shared" si="194"/>
        <v/>
      </c>
      <c r="T745" s="97">
        <f t="shared" si="195"/>
        <v>-1.9</v>
      </c>
    </row>
    <row r="746" spans="1:20" ht="12.75" hidden="1" customHeight="1" x14ac:dyDescent="0.2">
      <c r="A746" s="18"/>
      <c r="B746" s="36" t="str">
        <f>IF(UV!B23="","-",UV!B23)</f>
        <v>Masthühner</v>
      </c>
      <c r="C746" s="93" t="str">
        <f t="shared" si="207"/>
        <v>Mehrw./Minderw.</v>
      </c>
      <c r="D746" s="31">
        <f>IF('[1]E-UV'!$J23="","",'[1]E-UV'!$J23)</f>
        <v>60.120000000000005</v>
      </c>
      <c r="E746" s="27"/>
      <c r="F746" s="32">
        <f>IF(AND(H714="",H682=""),"-",H714-H682)</f>
        <v>60.120000000000005</v>
      </c>
      <c r="H746" s="97">
        <f>IF(UV!$J23="","",UV!$J23)</f>
        <v>60.120000000000005</v>
      </c>
      <c r="I746" s="29" t="str">
        <f t="shared" si="208"/>
        <v>Richtig!</v>
      </c>
      <c r="J746" s="30" t="str">
        <f t="shared" si="209"/>
        <v>-</v>
      </c>
      <c r="K746" s="23" t="str">
        <f t="shared" si="197"/>
        <v/>
      </c>
      <c r="L746" s="24" t="str">
        <f t="shared" si="202"/>
        <v/>
      </c>
      <c r="N746" s="882"/>
      <c r="P746" s="31">
        <f t="shared" si="196"/>
        <v>60.12</v>
      </c>
      <c r="Q746" s="27" t="str">
        <f t="shared" si="192"/>
        <v/>
      </c>
      <c r="R746" s="32">
        <f t="shared" si="193"/>
        <v>60.12</v>
      </c>
      <c r="S746" s="1" t="str">
        <f t="shared" si="194"/>
        <v/>
      </c>
      <c r="T746" s="97">
        <f t="shared" si="195"/>
        <v>60.12</v>
      </c>
    </row>
    <row r="747" spans="1:20" ht="12.75" hidden="1" customHeight="1" x14ac:dyDescent="0.2">
      <c r="A747" s="18"/>
      <c r="B747" s="36" t="str">
        <f>IF(UV!B24="","-",UV!B24)</f>
        <v>-</v>
      </c>
      <c r="C747" s="93" t="str">
        <f t="shared" si="207"/>
        <v>Mehrw./Minderw.</v>
      </c>
      <c r="D747" s="31" t="str">
        <f>IF('[1]E-UV'!$J24="","",'[1]E-UV'!$J24)</f>
        <v/>
      </c>
      <c r="E747" s="27"/>
      <c r="F747" s="32" t="str">
        <f>IF(AND(H715="",H683=""),"-",H715-H683)</f>
        <v>-</v>
      </c>
      <c r="H747" s="97" t="str">
        <f>IF(UV!$J24="","",UV!$J24)</f>
        <v/>
      </c>
      <c r="I747" s="29" t="str">
        <f t="shared" si="208"/>
        <v>Richtig!</v>
      </c>
      <c r="J747" s="30" t="str">
        <f t="shared" si="209"/>
        <v>-</v>
      </c>
      <c r="K747" s="23" t="str">
        <f t="shared" si="197"/>
        <v/>
      </c>
      <c r="L747" s="24" t="str">
        <f t="shared" si="202"/>
        <v/>
      </c>
      <c r="N747" s="882"/>
      <c r="P747" s="31" t="str">
        <f t="shared" si="196"/>
        <v/>
      </c>
      <c r="Q747" s="27" t="str">
        <f t="shared" si="192"/>
        <v/>
      </c>
      <c r="R747" s="32" t="str">
        <f t="shared" si="193"/>
        <v>-</v>
      </c>
      <c r="S747" s="1" t="str">
        <f t="shared" si="194"/>
        <v/>
      </c>
      <c r="T747" s="97" t="str">
        <f t="shared" si="195"/>
        <v/>
      </c>
    </row>
    <row r="748" spans="1:20" ht="12.75" hidden="1" customHeight="1" x14ac:dyDescent="0.2">
      <c r="A748" s="18"/>
      <c r="B748" s="36" t="str">
        <f>IF(UV!B25="","-",UV!B25)</f>
        <v>-</v>
      </c>
      <c r="C748" s="93" t="str">
        <f t="shared" si="207"/>
        <v>Mehrw./Minderw.</v>
      </c>
      <c r="D748" s="31" t="str">
        <f>IF('[1]E-UV'!$J25="","",'[1]E-UV'!$J25)</f>
        <v/>
      </c>
      <c r="E748" s="27"/>
      <c r="F748" s="32" t="str">
        <f>IF(AND(H716="",H684=""),"-",H716-H684)</f>
        <v>-</v>
      </c>
      <c r="H748" s="97" t="str">
        <f>IF(UV!$J25="","",UV!$J25)</f>
        <v/>
      </c>
      <c r="I748" s="29" t="str">
        <f t="shared" si="208"/>
        <v>Richtig!</v>
      </c>
      <c r="J748" s="30" t="str">
        <f t="shared" si="209"/>
        <v>-</v>
      </c>
      <c r="K748" s="23" t="str">
        <f t="shared" si="197"/>
        <v/>
      </c>
      <c r="L748" s="24" t="str">
        <f t="shared" si="202"/>
        <v/>
      </c>
      <c r="N748" s="882"/>
      <c r="P748" s="31" t="str">
        <f t="shared" si="196"/>
        <v/>
      </c>
      <c r="Q748" s="27" t="str">
        <f t="shared" si="192"/>
        <v/>
      </c>
      <c r="R748" s="32" t="str">
        <f t="shared" si="193"/>
        <v>-</v>
      </c>
      <c r="S748" s="1" t="str">
        <f t="shared" si="194"/>
        <v/>
      </c>
      <c r="T748" s="97" t="str">
        <f t="shared" si="195"/>
        <v/>
      </c>
    </row>
    <row r="749" spans="1:20" ht="12.75" hidden="1" customHeight="1" x14ac:dyDescent="0.2">
      <c r="A749" s="18"/>
      <c r="B749" s="36" t="str">
        <f>IF(UV!B26="","-",UV!B26)</f>
        <v>-</v>
      </c>
      <c r="C749" s="93" t="str">
        <f t="shared" si="207"/>
        <v>Mehrw./Minderw.</v>
      </c>
      <c r="D749" s="31" t="str">
        <f>IF('[1]E-UV'!$J26="","",'[1]E-UV'!$J26)</f>
        <v/>
      </c>
      <c r="E749" s="27"/>
      <c r="F749" s="32" t="str">
        <f>IF(AND(H717="",H685=""),"-",H717-H685)</f>
        <v>-</v>
      </c>
      <c r="H749" s="97" t="str">
        <f>IF(UV!$J26="","",UV!$J26)</f>
        <v/>
      </c>
      <c r="I749" s="29" t="str">
        <f t="shared" si="208"/>
        <v>Richtig!</v>
      </c>
      <c r="J749" s="30" t="str">
        <f t="shared" si="209"/>
        <v>-</v>
      </c>
      <c r="K749" s="23" t="str">
        <f t="shared" si="197"/>
        <v/>
      </c>
      <c r="L749" s="24" t="str">
        <f t="shared" si="202"/>
        <v/>
      </c>
      <c r="N749" s="882"/>
      <c r="P749" s="31" t="str">
        <f t="shared" si="196"/>
        <v/>
      </c>
      <c r="Q749" s="27" t="str">
        <f t="shared" si="192"/>
        <v/>
      </c>
      <c r="R749" s="32" t="str">
        <f t="shared" si="193"/>
        <v>-</v>
      </c>
      <c r="S749" s="1" t="str">
        <f t="shared" si="194"/>
        <v/>
      </c>
      <c r="T749" s="97" t="str">
        <f t="shared" si="195"/>
        <v/>
      </c>
    </row>
    <row r="750" spans="1:20" ht="12.75" hidden="1" customHeight="1" x14ac:dyDescent="0.2">
      <c r="A750" s="18"/>
      <c r="B750" s="92" t="str">
        <f>IF(UV!B27="","-",UV!B27)</f>
        <v>Summe HÜHNER</v>
      </c>
      <c r="C750" s="93" t="str">
        <f t="shared" si="207"/>
        <v>Mehrw./Minderw.</v>
      </c>
      <c r="D750" s="31">
        <f>IF('[1]E-UV'!$J27="","",'[1]E-UV'!$J27)</f>
        <v>58.220000000000006</v>
      </c>
      <c r="E750" s="27"/>
      <c r="F750" s="32">
        <f>IF(AND(H745="",H746="",H747="",H748="",H749=""),"-",SUM(H745:H749))</f>
        <v>58.220000000000006</v>
      </c>
      <c r="H750" s="97">
        <f>IF(UV!$J27="","",UV!$J27)</f>
        <v>58.220000000000006</v>
      </c>
      <c r="I750" s="29" t="str">
        <f t="shared" si="208"/>
        <v>Richtig!</v>
      </c>
      <c r="J750" s="30" t="str">
        <f t="shared" si="209"/>
        <v>-</v>
      </c>
      <c r="K750" s="23" t="str">
        <f t="shared" si="197"/>
        <v/>
      </c>
      <c r="L750" s="24" t="str">
        <f t="shared" si="202"/>
        <v/>
      </c>
      <c r="N750" s="882"/>
      <c r="P750" s="31">
        <f t="shared" si="196"/>
        <v>58.22</v>
      </c>
      <c r="Q750" s="27" t="str">
        <f t="shared" si="192"/>
        <v/>
      </c>
      <c r="R750" s="32">
        <f t="shared" si="193"/>
        <v>58.22</v>
      </c>
      <c r="S750" s="1" t="str">
        <f t="shared" si="194"/>
        <v/>
      </c>
      <c r="T750" s="97">
        <f t="shared" si="195"/>
        <v>58.22</v>
      </c>
    </row>
    <row r="751" spans="1:20" ht="12.75" x14ac:dyDescent="0.2">
      <c r="B751" s="95" t="str">
        <f>IF(UV!B30="","-",UV!B30)</f>
        <v>Selbst erzeugte Vorräte</v>
      </c>
      <c r="C751" s="93"/>
      <c r="D751" s="19" t="str">
        <f>IF('[1]E-UV'!$J30="","",'[1]E-UV'!$J30)</f>
        <v/>
      </c>
      <c r="H751" s="5" t="str">
        <f>IF(UV!$J30="","",UV!$J30)</f>
        <v/>
      </c>
      <c r="I751" s="29"/>
      <c r="J751" s="29"/>
      <c r="K751" s="23" t="str">
        <f t="shared" si="197"/>
        <v/>
      </c>
      <c r="L751" s="24" t="str">
        <f t="shared" si="202"/>
        <v/>
      </c>
      <c r="N751" s="880" t="str">
        <f>IF($L$1="","",$L$1)</f>
        <v>x</v>
      </c>
      <c r="P751" s="19" t="str">
        <f t="shared" si="196"/>
        <v/>
      </c>
      <c r="Q751" s="1" t="str">
        <f t="shared" si="192"/>
        <v/>
      </c>
      <c r="R751" s="1" t="str">
        <f t="shared" si="193"/>
        <v/>
      </c>
      <c r="S751" s="1" t="str">
        <f t="shared" si="194"/>
        <v/>
      </c>
      <c r="T751" s="5" t="str">
        <f t="shared" si="195"/>
        <v/>
      </c>
    </row>
    <row r="752" spans="1:20" ht="12.75" hidden="1" customHeight="1" x14ac:dyDescent="0.2">
      <c r="A752" s="18"/>
      <c r="B752" s="36" t="str">
        <f>IF(UV!B31="","-",UV!B31)</f>
        <v>Käse</v>
      </c>
      <c r="C752" s="93" t="str">
        <f t="shared" ref="C752:C757" si="210">MID($B$734,1,5)&amp;"./"&amp;MID($B$734,10,7)&amp;"."</f>
        <v>Mehrw./Minderw.</v>
      </c>
      <c r="D752" s="31">
        <f>IF('[1]E-UV'!$J31="","",'[1]E-UV'!$J31)</f>
        <v>-21.689999999999998</v>
      </c>
      <c r="E752" s="27"/>
      <c r="F752" s="32">
        <f>IF(AND(H720="",H688=""),"-",H720-H688)</f>
        <v>-21.689999999999998</v>
      </c>
      <c r="H752" s="97">
        <f>IF(UV!$J31="","",UV!$J31)</f>
        <v>-21.689999999999998</v>
      </c>
      <c r="I752" s="29" t="str">
        <f t="shared" ref="I752:I757" si="211">IF(B752="","",IF(T752=P752,"Richtig!",IF(AND(P752&lt;&gt;T752,R752=T752),"Formel: OK",IF(T752="","Fehlt","Falsch"))))</f>
        <v>Richtig!</v>
      </c>
      <c r="J752" s="30" t="str">
        <f t="shared" ref="J752:J757" si="212">IF(OR(B752="-",N752="",AND(P752="",T752="")),"-",IF(I752="Richtig!",1,IF(I752="Formel: OK",0.5,IF(OR(I752="Falsch",I752="Fehlt"),0,""))))</f>
        <v>-</v>
      </c>
      <c r="K752" s="23" t="str">
        <f t="shared" si="197"/>
        <v/>
      </c>
      <c r="L752" s="24" t="str">
        <f t="shared" si="202"/>
        <v/>
      </c>
      <c r="N752" s="882"/>
      <c r="P752" s="31">
        <f t="shared" si="196"/>
        <v>-21.69</v>
      </c>
      <c r="Q752" s="27" t="str">
        <f t="shared" si="192"/>
        <v/>
      </c>
      <c r="R752" s="32">
        <f t="shared" si="193"/>
        <v>-21.69</v>
      </c>
      <c r="S752" s="1" t="str">
        <f t="shared" si="194"/>
        <v/>
      </c>
      <c r="T752" s="97">
        <f t="shared" si="195"/>
        <v>-21.69</v>
      </c>
    </row>
    <row r="753" spans="1:20" ht="12.75" hidden="1" customHeight="1" x14ac:dyDescent="0.2">
      <c r="A753" s="18"/>
      <c r="B753" s="36" t="str">
        <f>IF(UV!B32="","-",UV!B32)</f>
        <v>Butter</v>
      </c>
      <c r="C753" s="93" t="str">
        <f t="shared" si="210"/>
        <v>Mehrw./Minderw.</v>
      </c>
      <c r="D753" s="31">
        <f>IF('[1]E-UV'!$J32="","",'[1]E-UV'!$J32)</f>
        <v>153.12</v>
      </c>
      <c r="E753" s="27"/>
      <c r="F753" s="32">
        <f>IF(AND(H721="",H689=""),"-",H721-H689)</f>
        <v>153.12</v>
      </c>
      <c r="H753" s="97">
        <f>IF(UV!$J32="","",UV!$J32)</f>
        <v>153.12</v>
      </c>
      <c r="I753" s="29" t="str">
        <f t="shared" si="211"/>
        <v>Richtig!</v>
      </c>
      <c r="J753" s="30" t="str">
        <f t="shared" si="212"/>
        <v>-</v>
      </c>
      <c r="K753" s="23" t="str">
        <f t="shared" si="197"/>
        <v/>
      </c>
      <c r="L753" s="24" t="str">
        <f t="shared" si="202"/>
        <v/>
      </c>
      <c r="N753" s="882"/>
      <c r="P753" s="31">
        <f t="shared" si="196"/>
        <v>153.12</v>
      </c>
      <c r="Q753" s="27" t="str">
        <f t="shared" si="192"/>
        <v/>
      </c>
      <c r="R753" s="32">
        <f t="shared" si="193"/>
        <v>153.12</v>
      </c>
      <c r="S753" s="1" t="str">
        <f t="shared" si="194"/>
        <v/>
      </c>
      <c r="T753" s="97">
        <f t="shared" si="195"/>
        <v>153.12</v>
      </c>
    </row>
    <row r="754" spans="1:20" ht="12.75" x14ac:dyDescent="0.2">
      <c r="A754" s="18"/>
      <c r="B754" s="36" t="str">
        <f>IF(UV!B33="","-",UV!B33)</f>
        <v>Kartoffel</v>
      </c>
      <c r="C754" s="93" t="str">
        <f t="shared" si="210"/>
        <v>Mehrw./Minderw.</v>
      </c>
      <c r="D754" s="31">
        <f>IF('[1]E-UV'!$J33="","",'[1]E-UV'!$J33)</f>
        <v>38.180000000000007</v>
      </c>
      <c r="E754" s="27"/>
      <c r="F754" s="32" t="str">
        <f>IF(AND(H722="",H690=""),"-",H722-H690)</f>
        <v>-</v>
      </c>
      <c r="H754" s="97" t="str">
        <f>IF(UV!$J33="","",UV!$J33)</f>
        <v/>
      </c>
      <c r="I754" s="29" t="str">
        <f t="shared" si="211"/>
        <v>Fehlt</v>
      </c>
      <c r="J754" s="30">
        <f t="shared" si="212"/>
        <v>0</v>
      </c>
      <c r="K754" s="23" t="str">
        <f t="shared" si="197"/>
        <v>│</v>
      </c>
      <c r="L754" s="24">
        <f t="shared" si="202"/>
        <v>1</v>
      </c>
      <c r="N754" s="882" t="str">
        <f>IF($L$1="","",$L$1)</f>
        <v>x</v>
      </c>
      <c r="P754" s="31">
        <f t="shared" si="196"/>
        <v>38.18</v>
      </c>
      <c r="Q754" s="27" t="str">
        <f t="shared" si="192"/>
        <v/>
      </c>
      <c r="R754" s="32" t="str">
        <f t="shared" si="193"/>
        <v>-</v>
      </c>
      <c r="S754" s="1" t="str">
        <f t="shared" si="194"/>
        <v/>
      </c>
      <c r="T754" s="97" t="str">
        <f t="shared" si="195"/>
        <v/>
      </c>
    </row>
    <row r="755" spans="1:20" ht="12.75" hidden="1" customHeight="1" x14ac:dyDescent="0.2">
      <c r="A755" s="18"/>
      <c r="B755" s="36" t="str">
        <f>IF(UV!B34="","-",UV!B34)</f>
        <v>-</v>
      </c>
      <c r="C755" s="93" t="str">
        <f t="shared" si="210"/>
        <v>Mehrw./Minderw.</v>
      </c>
      <c r="D755" s="31" t="str">
        <f>IF('[1]E-UV'!$J34="","",'[1]E-UV'!$J34)</f>
        <v/>
      </c>
      <c r="E755" s="27"/>
      <c r="F755" s="32" t="str">
        <f>IF(AND(H723="",H691=""),"-",H723-H691)</f>
        <v>-</v>
      </c>
      <c r="H755" s="97" t="str">
        <f>IF(UV!$J34="","",UV!$J34)</f>
        <v/>
      </c>
      <c r="I755" s="29" t="str">
        <f t="shared" si="211"/>
        <v>Richtig!</v>
      </c>
      <c r="J755" s="30" t="str">
        <f t="shared" si="212"/>
        <v>-</v>
      </c>
      <c r="K755" s="23" t="str">
        <f t="shared" si="197"/>
        <v/>
      </c>
      <c r="L755" s="24" t="str">
        <f t="shared" si="202"/>
        <v/>
      </c>
      <c r="N755" s="882"/>
      <c r="P755" s="31" t="str">
        <f t="shared" si="196"/>
        <v/>
      </c>
      <c r="Q755" s="27" t="str">
        <f t="shared" si="192"/>
        <v/>
      </c>
      <c r="R755" s="32" t="str">
        <f t="shared" si="193"/>
        <v>-</v>
      </c>
      <c r="S755" s="1" t="str">
        <f t="shared" si="194"/>
        <v/>
      </c>
      <c r="T755" s="97" t="str">
        <f t="shared" si="195"/>
        <v/>
      </c>
    </row>
    <row r="756" spans="1:20" ht="12.75" hidden="1" customHeight="1" x14ac:dyDescent="0.2">
      <c r="A756" s="18"/>
      <c r="B756" s="36" t="str">
        <f>IF(UV!B35="","-",UV!B35)</f>
        <v>-</v>
      </c>
      <c r="C756" s="93" t="str">
        <f t="shared" si="210"/>
        <v>Mehrw./Minderw.</v>
      </c>
      <c r="D756" s="31" t="str">
        <f>IF('[1]E-UV'!$J35="","",'[1]E-UV'!$J35)</f>
        <v/>
      </c>
      <c r="E756" s="27"/>
      <c r="F756" s="32" t="str">
        <f>IF(AND(H724="",H692=""),"-",H724-H692)</f>
        <v>-</v>
      </c>
      <c r="H756" s="97" t="str">
        <f>IF(UV!$J35="","",UV!$J35)</f>
        <v/>
      </c>
      <c r="I756" s="29" t="str">
        <f t="shared" si="211"/>
        <v>Richtig!</v>
      </c>
      <c r="J756" s="30" t="str">
        <f t="shared" si="212"/>
        <v>-</v>
      </c>
      <c r="K756" s="23" t="str">
        <f t="shared" si="197"/>
        <v/>
      </c>
      <c r="L756" s="24" t="str">
        <f t="shared" si="202"/>
        <v/>
      </c>
      <c r="N756" s="882"/>
      <c r="P756" s="31" t="str">
        <f t="shared" si="196"/>
        <v/>
      </c>
      <c r="Q756" s="27" t="str">
        <f t="shared" si="192"/>
        <v/>
      </c>
      <c r="R756" s="32" t="str">
        <f t="shared" si="193"/>
        <v>-</v>
      </c>
      <c r="S756" s="1" t="str">
        <f t="shared" si="194"/>
        <v/>
      </c>
      <c r="T756" s="97" t="str">
        <f t="shared" si="195"/>
        <v/>
      </c>
    </row>
    <row r="757" spans="1:20" ht="12.75" x14ac:dyDescent="0.2">
      <c r="A757" s="18"/>
      <c r="B757" s="92" t="str">
        <f>IF(UV!B36="","-",UV!B36)</f>
        <v>Summe selbst erzeugte Vorräte</v>
      </c>
      <c r="C757" s="93" t="str">
        <f t="shared" si="210"/>
        <v>Mehrw./Minderw.</v>
      </c>
      <c r="D757" s="31">
        <f>IF('[1]E-UV'!$J36="","",'[1]E-UV'!$J36)</f>
        <v>169.61</v>
      </c>
      <c r="E757" s="27"/>
      <c r="F757" s="32">
        <f>IF(AND(H752="",H753="",H754="",H755="",H756=""),"-",SUM(H752:H756))</f>
        <v>131.43</v>
      </c>
      <c r="H757" s="97" t="str">
        <f>IF(UV!$J36="","",UV!$J36)</f>
        <v/>
      </c>
      <c r="I757" s="29" t="str">
        <f t="shared" si="211"/>
        <v>Fehlt</v>
      </c>
      <c r="J757" s="30">
        <f t="shared" si="212"/>
        <v>0</v>
      </c>
      <c r="K757" s="23" t="str">
        <f t="shared" si="197"/>
        <v>│</v>
      </c>
      <c r="L757" s="24">
        <f t="shared" si="202"/>
        <v>1</v>
      </c>
      <c r="N757" s="882" t="str">
        <f>IF($L$1="","",$L$1)</f>
        <v>x</v>
      </c>
      <c r="P757" s="31">
        <f t="shared" si="196"/>
        <v>169.61</v>
      </c>
      <c r="Q757" s="27" t="str">
        <f t="shared" si="192"/>
        <v/>
      </c>
      <c r="R757" s="32">
        <f t="shared" si="193"/>
        <v>131.43</v>
      </c>
      <c r="S757" s="1" t="str">
        <f t="shared" si="194"/>
        <v/>
      </c>
      <c r="T757" s="97" t="str">
        <f t="shared" si="195"/>
        <v/>
      </c>
    </row>
    <row r="758" spans="1:20" ht="12.75" hidden="1" customHeight="1" x14ac:dyDescent="0.2">
      <c r="A758" s="18"/>
      <c r="B758" s="95" t="str">
        <f>IF(UV!B44="","-",UV!B44)</f>
        <v>Zugekaufte Vorräte</v>
      </c>
      <c r="C758" s="93"/>
      <c r="D758" s="19" t="str">
        <f>IF('[1]E-UV'!$J44="","",'[1]E-UV'!$J44)</f>
        <v/>
      </c>
      <c r="H758" s="5" t="str">
        <f>IF(UV!$J44="","",UV!$J44)</f>
        <v/>
      </c>
      <c r="I758" s="29"/>
      <c r="J758" s="29"/>
      <c r="K758" s="23" t="str">
        <f t="shared" si="197"/>
        <v/>
      </c>
      <c r="L758" s="24" t="str">
        <f t="shared" si="202"/>
        <v/>
      </c>
      <c r="N758" s="880"/>
      <c r="P758" s="19" t="str">
        <f t="shared" si="196"/>
        <v/>
      </c>
      <c r="Q758" s="1" t="str">
        <f t="shared" si="192"/>
        <v/>
      </c>
      <c r="R758" s="1" t="str">
        <f t="shared" si="193"/>
        <v/>
      </c>
      <c r="S758" s="1" t="str">
        <f t="shared" si="194"/>
        <v/>
      </c>
      <c r="T758" s="5" t="str">
        <f t="shared" si="195"/>
        <v/>
      </c>
    </row>
    <row r="759" spans="1:20" ht="12.75" hidden="1" customHeight="1" x14ac:dyDescent="0.2">
      <c r="A759" s="18"/>
      <c r="B759" s="36" t="str">
        <f>IF(UV!B45="","-",UV!B45)</f>
        <v>Milchkraftfutter</v>
      </c>
      <c r="C759" s="93" t="str">
        <f t="shared" ref="C759:C764" si="213">MID($B$734,1,5)&amp;"./"&amp;MID($B$734,10,7)&amp;"."</f>
        <v>Mehrw./Minderw.</v>
      </c>
      <c r="D759" s="31">
        <f>IF('[1]E-UV'!$J45="","",'[1]E-UV'!$J45)</f>
        <v>270.60000000000002</v>
      </c>
      <c r="E759" s="27"/>
      <c r="F759" s="32">
        <f>IF(AND(H727="",H695=""),"-",H727-H695)</f>
        <v>270.60000000000002</v>
      </c>
      <c r="H759" s="97">
        <f>IF(UV!$J45="","",UV!$J45)</f>
        <v>270.60000000000002</v>
      </c>
      <c r="I759" s="29" t="str">
        <f t="shared" ref="I759:I764" si="214">IF(B759="","",IF(T759=P759,"Richtig!",IF(AND(P759&lt;&gt;T759,R759=T759),"Formel: OK",IF(T759="","Fehlt","Falsch"))))</f>
        <v>Richtig!</v>
      </c>
      <c r="J759" s="30" t="str">
        <f t="shared" ref="J759:J764" si="215">IF(OR(B759="-",N759="",AND(P759="",T759="")),"-",IF(I759="Richtig!",1,IF(I759="Formel: OK",0.5,IF(OR(I759="Falsch",I759="Fehlt"),0,""))))</f>
        <v>-</v>
      </c>
      <c r="K759" s="23" t="str">
        <f t="shared" si="197"/>
        <v/>
      </c>
      <c r="L759" s="24" t="str">
        <f t="shared" si="202"/>
        <v/>
      </c>
      <c r="N759" s="882"/>
      <c r="P759" s="31">
        <f t="shared" si="196"/>
        <v>270.60000000000002</v>
      </c>
      <c r="Q759" s="27" t="str">
        <f t="shared" si="192"/>
        <v/>
      </c>
      <c r="R759" s="32">
        <f t="shared" si="193"/>
        <v>270.60000000000002</v>
      </c>
      <c r="S759" s="1" t="str">
        <f t="shared" si="194"/>
        <v/>
      </c>
      <c r="T759" s="97">
        <f t="shared" si="195"/>
        <v>270.60000000000002</v>
      </c>
    </row>
    <row r="760" spans="1:20" ht="12.75" hidden="1" customHeight="1" x14ac:dyDescent="0.2">
      <c r="A760" s="18"/>
      <c r="B760" s="36" t="str">
        <f>IF(UV!B46="","-",UV!B46)</f>
        <v>Mineralstoffmischung</v>
      </c>
      <c r="C760" s="93" t="str">
        <f t="shared" si="213"/>
        <v>Mehrw./Minderw.</v>
      </c>
      <c r="D760" s="31">
        <f>IF('[1]E-UV'!$J46="","",'[1]E-UV'!$J46)</f>
        <v>95.40000000000002</v>
      </c>
      <c r="E760" s="27"/>
      <c r="F760" s="32">
        <f>IF(AND(H728="",H696=""),"-",H728-H696)</f>
        <v>95.40000000000002</v>
      </c>
      <c r="H760" s="97">
        <f>IF(UV!$J46="","",UV!$J46)</f>
        <v>95.40000000000002</v>
      </c>
      <c r="I760" s="29" t="str">
        <f t="shared" si="214"/>
        <v>Richtig!</v>
      </c>
      <c r="J760" s="30" t="str">
        <f t="shared" si="215"/>
        <v>-</v>
      </c>
      <c r="K760" s="23" t="str">
        <f t="shared" si="197"/>
        <v/>
      </c>
      <c r="L760" s="24" t="str">
        <f t="shared" si="202"/>
        <v/>
      </c>
      <c r="N760" s="882"/>
      <c r="P760" s="31">
        <f t="shared" si="196"/>
        <v>95.4</v>
      </c>
      <c r="Q760" s="27" t="str">
        <f t="shared" si="192"/>
        <v/>
      </c>
      <c r="R760" s="32">
        <f t="shared" si="193"/>
        <v>95.4</v>
      </c>
      <c r="S760" s="1" t="str">
        <f t="shared" si="194"/>
        <v/>
      </c>
      <c r="T760" s="97">
        <f t="shared" si="195"/>
        <v>95.4</v>
      </c>
    </row>
    <row r="761" spans="1:20" ht="12.75" hidden="1" customHeight="1" x14ac:dyDescent="0.2">
      <c r="A761" s="18"/>
      <c r="B761" s="36" t="str">
        <f>IF(UV!B47="","-",UV!B47)</f>
        <v>Masthühnerfutter</v>
      </c>
      <c r="C761" s="93" t="str">
        <f t="shared" si="213"/>
        <v>Mehrw./Minderw.</v>
      </c>
      <c r="D761" s="31">
        <f>IF('[1]E-UV'!$J47="","",'[1]E-UV'!$J47)</f>
        <v>-61.69</v>
      </c>
      <c r="E761" s="27"/>
      <c r="F761" s="32">
        <f>IF(AND(H729="",H697=""),"-",H729-H697)</f>
        <v>-61.69</v>
      </c>
      <c r="H761" s="97">
        <f>IF(UV!$J47="","",UV!$J47)</f>
        <v>-61.69</v>
      </c>
      <c r="I761" s="29" t="str">
        <f t="shared" si="214"/>
        <v>Richtig!</v>
      </c>
      <c r="J761" s="30" t="str">
        <f t="shared" si="215"/>
        <v>-</v>
      </c>
      <c r="K761" s="23" t="str">
        <f t="shared" si="197"/>
        <v/>
      </c>
      <c r="L761" s="24" t="str">
        <f t="shared" si="202"/>
        <v/>
      </c>
      <c r="N761" s="882"/>
      <c r="P761" s="31">
        <f t="shared" si="196"/>
        <v>-61.69</v>
      </c>
      <c r="Q761" s="27" t="str">
        <f t="shared" si="192"/>
        <v/>
      </c>
      <c r="R761" s="32">
        <f t="shared" si="193"/>
        <v>-61.69</v>
      </c>
      <c r="S761" s="1" t="str">
        <f t="shared" si="194"/>
        <v/>
      </c>
      <c r="T761" s="97">
        <f t="shared" si="195"/>
        <v>-61.69</v>
      </c>
    </row>
    <row r="762" spans="1:20" ht="12.75" hidden="1" customHeight="1" x14ac:dyDescent="0.2">
      <c r="A762" s="18"/>
      <c r="B762" s="36" t="str">
        <f>IF(UV!B48="","-",UV!B48)</f>
        <v>-</v>
      </c>
      <c r="C762" s="93" t="str">
        <f t="shared" si="213"/>
        <v>Mehrw./Minderw.</v>
      </c>
      <c r="D762" s="31" t="str">
        <f>IF('[1]E-UV'!$J48="","",'[1]E-UV'!$J48)</f>
        <v/>
      </c>
      <c r="E762" s="27"/>
      <c r="F762" s="32" t="str">
        <f>IF(AND(H730="",H698=""),"-",H730-H698)</f>
        <v>-</v>
      </c>
      <c r="H762" s="97" t="str">
        <f>IF(UV!$J48="","",UV!$J48)</f>
        <v/>
      </c>
      <c r="I762" s="29" t="str">
        <f t="shared" si="214"/>
        <v>Richtig!</v>
      </c>
      <c r="J762" s="30" t="str">
        <f t="shared" si="215"/>
        <v>-</v>
      </c>
      <c r="K762" s="23" t="str">
        <f t="shared" si="197"/>
        <v/>
      </c>
      <c r="L762" s="24" t="str">
        <f t="shared" si="202"/>
        <v/>
      </c>
      <c r="N762" s="882"/>
      <c r="P762" s="31" t="str">
        <f t="shared" si="196"/>
        <v/>
      </c>
      <c r="Q762" s="27" t="str">
        <f t="shared" si="192"/>
        <v/>
      </c>
      <c r="R762" s="32" t="str">
        <f t="shared" si="193"/>
        <v>-</v>
      </c>
      <c r="S762" s="1" t="str">
        <f t="shared" si="194"/>
        <v/>
      </c>
      <c r="T762" s="97" t="str">
        <f t="shared" si="195"/>
        <v/>
      </c>
    </row>
    <row r="763" spans="1:20" ht="12.75" hidden="1" customHeight="1" x14ac:dyDescent="0.2">
      <c r="A763" s="18"/>
      <c r="B763" s="36" t="str">
        <f>IF(UV!B49="","-",UV!B49)</f>
        <v>-</v>
      </c>
      <c r="C763" s="93" t="str">
        <f t="shared" si="213"/>
        <v>Mehrw./Minderw.</v>
      </c>
      <c r="D763" s="31" t="str">
        <f>IF('[1]E-UV'!$J49="","",'[1]E-UV'!$J49)</f>
        <v/>
      </c>
      <c r="E763" s="27"/>
      <c r="F763" s="32" t="str">
        <f>IF(AND(H731="",H699=""),"-",H731-H699)</f>
        <v>-</v>
      </c>
      <c r="H763" s="97" t="str">
        <f>IF(UV!$J49="","",UV!$J49)</f>
        <v/>
      </c>
      <c r="I763" s="29" t="str">
        <f t="shared" si="214"/>
        <v>Richtig!</v>
      </c>
      <c r="J763" s="30" t="str">
        <f t="shared" si="215"/>
        <v>-</v>
      </c>
      <c r="K763" s="23" t="str">
        <f t="shared" si="197"/>
        <v/>
      </c>
      <c r="L763" s="24" t="str">
        <f t="shared" si="202"/>
        <v/>
      </c>
      <c r="N763" s="882"/>
      <c r="P763" s="31" t="str">
        <f t="shared" si="196"/>
        <v/>
      </c>
      <c r="Q763" s="27" t="str">
        <f t="shared" si="192"/>
        <v/>
      </c>
      <c r="R763" s="32" t="str">
        <f t="shared" si="193"/>
        <v>-</v>
      </c>
      <c r="S763" s="1" t="str">
        <f t="shared" si="194"/>
        <v/>
      </c>
      <c r="T763" s="97" t="str">
        <f t="shared" si="195"/>
        <v/>
      </c>
    </row>
    <row r="764" spans="1:20" ht="12.75" hidden="1" customHeight="1" x14ac:dyDescent="0.2">
      <c r="A764" s="18"/>
      <c r="B764" s="92" t="str">
        <f>IF(UV!B50="","-",UV!B50)</f>
        <v>Summe zugekaufte Vorräte</v>
      </c>
      <c r="C764" s="93" t="str">
        <f t="shared" si="213"/>
        <v>Mehrw./Minderw.</v>
      </c>
      <c r="D764" s="31">
        <f>IF('[1]E-UV'!$J50="","",'[1]E-UV'!$J50)</f>
        <v>304.31000000000006</v>
      </c>
      <c r="E764" s="27"/>
      <c r="F764" s="32">
        <f>IF(AND(H759="",H760="",H761="",H762="",H763=""),"-",SUM(H759:H763))</f>
        <v>304.31000000000006</v>
      </c>
      <c r="H764" s="97">
        <f>IF(UV!$J50="","",UV!$J50)</f>
        <v>304.31000000000006</v>
      </c>
      <c r="I764" s="29" t="str">
        <f t="shared" si="214"/>
        <v>Richtig!</v>
      </c>
      <c r="J764" s="30" t="str">
        <f t="shared" si="215"/>
        <v>-</v>
      </c>
      <c r="K764" s="23" t="str">
        <f t="shared" si="197"/>
        <v/>
      </c>
      <c r="L764" s="24" t="str">
        <f t="shared" si="202"/>
        <v/>
      </c>
      <c r="N764" s="882"/>
      <c r="P764" s="31">
        <f t="shared" si="196"/>
        <v>304.31</v>
      </c>
      <c r="Q764" s="27" t="str">
        <f t="shared" si="192"/>
        <v/>
      </c>
      <c r="R764" s="32">
        <f t="shared" si="193"/>
        <v>304.31</v>
      </c>
      <c r="S764" s="1" t="str">
        <f t="shared" si="194"/>
        <v/>
      </c>
      <c r="T764" s="97">
        <f t="shared" si="195"/>
        <v>304.31</v>
      </c>
    </row>
    <row r="765" spans="1:20" ht="12.75" x14ac:dyDescent="0.2">
      <c r="A765" s="18"/>
      <c r="B765" s="36"/>
      <c r="C765" s="93"/>
      <c r="D765" s="19"/>
      <c r="H765" s="5"/>
      <c r="I765" s="29"/>
      <c r="J765" s="29"/>
      <c r="K765" s="23"/>
      <c r="L765" s="24" t="str">
        <f t="shared" si="202"/>
        <v/>
      </c>
      <c r="N765" s="883" t="str">
        <f>IF($L$1="","",$L$1)</f>
        <v>x</v>
      </c>
      <c r="P765" s="19" t="str">
        <f t="shared" si="196"/>
        <v/>
      </c>
      <c r="Q765" s="1" t="str">
        <f t="shared" si="192"/>
        <v/>
      </c>
      <c r="R765" s="1" t="str">
        <f t="shared" si="193"/>
        <v/>
      </c>
      <c r="S765" s="1" t="str">
        <f t="shared" si="194"/>
        <v/>
      </c>
      <c r="T765" s="5" t="str">
        <f t="shared" si="195"/>
        <v/>
      </c>
    </row>
    <row r="766" spans="1:20" ht="12.75" x14ac:dyDescent="0.2">
      <c r="A766" s="17" t="s">
        <v>17</v>
      </c>
      <c r="B766" s="17" t="s">
        <v>87</v>
      </c>
      <c r="C766" s="18"/>
      <c r="D766" s="19"/>
      <c r="H766" s="5"/>
      <c r="I766" s="21"/>
      <c r="J766" s="21"/>
      <c r="K766" s="23" t="str">
        <f t="shared" si="197"/>
        <v/>
      </c>
      <c r="L766" s="24" t="str">
        <f t="shared" si="202"/>
        <v/>
      </c>
      <c r="N766" s="880" t="str">
        <f>IF($L$1="","",$L$1)</f>
        <v>x</v>
      </c>
      <c r="P766" s="19" t="str">
        <f t="shared" si="196"/>
        <v/>
      </c>
      <c r="Q766" s="1" t="str">
        <f t="shared" si="192"/>
        <v/>
      </c>
      <c r="R766" s="1" t="str">
        <f t="shared" si="193"/>
        <v/>
      </c>
      <c r="S766" s="1" t="str">
        <f t="shared" si="194"/>
        <v/>
      </c>
      <c r="T766" s="5" t="str">
        <f t="shared" si="195"/>
        <v/>
      </c>
    </row>
    <row r="767" spans="1:20" ht="12.75" x14ac:dyDescent="0.2">
      <c r="A767" s="18"/>
      <c r="B767" s="95" t="str">
        <f>IF(UV!B5="","-",UV!B5)</f>
        <v>RINDER</v>
      </c>
      <c r="C767" s="42"/>
      <c r="D767" s="19"/>
      <c r="H767" s="5"/>
      <c r="I767" s="29"/>
      <c r="J767" s="29"/>
      <c r="K767" s="23" t="str">
        <f t="shared" si="197"/>
        <v/>
      </c>
      <c r="L767" s="24" t="str">
        <f t="shared" si="202"/>
        <v/>
      </c>
      <c r="N767" s="880" t="str">
        <f>IF($L$1="","",$L$1)</f>
        <v>x</v>
      </c>
      <c r="P767" s="19" t="str">
        <f t="shared" si="196"/>
        <v/>
      </c>
      <c r="Q767" s="1" t="str">
        <f t="shared" si="192"/>
        <v/>
      </c>
      <c r="R767" s="1" t="str">
        <f t="shared" si="193"/>
        <v/>
      </c>
      <c r="S767" s="1" t="str">
        <f t="shared" si="194"/>
        <v/>
      </c>
      <c r="T767" s="5" t="str">
        <f t="shared" si="195"/>
        <v/>
      </c>
    </row>
    <row r="768" spans="1:20" ht="12.75" x14ac:dyDescent="0.2">
      <c r="A768" s="18"/>
      <c r="B768" s="36" t="str">
        <f>IF(UV!D15="","-",UV!D15)</f>
        <v>Mehrwert</v>
      </c>
      <c r="C768" s="42" t="s">
        <v>88</v>
      </c>
      <c r="D768" s="31" t="str">
        <f>IF('[1]E-UV'!$C15="","",'[1]E-UV'!$C15)</f>
        <v/>
      </c>
      <c r="E768" s="27"/>
      <c r="F768" s="32" t="str">
        <f>IF(H743="","-",IF(H743&gt;0,"x",""))</f>
        <v>-</v>
      </c>
      <c r="H768" s="97" t="str">
        <f>IF(UV!$C15="","",UV!$C15)</f>
        <v/>
      </c>
      <c r="I768" s="29" t="str">
        <f>IF(AND(B768="",B769="",B770=""),"",IF(AND(T768=P768,T769=P769,T770=P770),"Richtig!",IF(AND(P768&lt;&gt;T768,R768=T768,P769&lt;&gt;T769,R769=T769,P770&lt;&gt;T770,R770=T770),"Formel: OK",IF(AND(T768="",T769="",T770=""),"Fehlt","Falsch"))))</f>
        <v>Fehlt</v>
      </c>
      <c r="J768" s="30">
        <f>IF(OR(N768&lt;&gt;"x",B768="-"),"-",IF(I768="Richtig!",1,IF(I768="Formel: OK",0.5,IF(OR(I768="Falsch",I768="Fehlt"),0,""))))</f>
        <v>0</v>
      </c>
      <c r="K768" s="23" t="s">
        <v>528</v>
      </c>
      <c r="L768" s="24">
        <f>IF(OR(N768&lt;&gt;"x",B768=""),"-",1)</f>
        <v>1</v>
      </c>
      <c r="N768" s="882" t="str">
        <f>IF($L$1="","",$L$1)</f>
        <v>x</v>
      </c>
      <c r="P768" s="31" t="str">
        <f t="shared" si="196"/>
        <v/>
      </c>
      <c r="Q768" s="27" t="str">
        <f t="shared" si="192"/>
        <v/>
      </c>
      <c r="R768" s="32" t="str">
        <f t="shared" si="193"/>
        <v>-</v>
      </c>
      <c r="S768" s="1" t="str">
        <f t="shared" si="194"/>
        <v/>
      </c>
      <c r="T768" s="97" t="str">
        <f t="shared" si="195"/>
        <v/>
      </c>
    </row>
    <row r="769" spans="1:20" ht="12.75" x14ac:dyDescent="0.2">
      <c r="A769" s="18"/>
      <c r="B769" s="36" t="str">
        <f>IF(UV!D17="","-",UV!D17)</f>
        <v>gleich geblieben</v>
      </c>
      <c r="C769" s="42" t="s">
        <v>88</v>
      </c>
      <c r="D769" s="31" t="str">
        <f>IF('[1]E-UV'!$C17="","",'[1]E-UV'!$C17)</f>
        <v/>
      </c>
      <c r="E769" s="27"/>
      <c r="F769" s="32" t="str">
        <f>IF(H743="","-",IF(H743=0,"x",""))</f>
        <v>-</v>
      </c>
      <c r="H769" s="97" t="str">
        <f>IF(UV!$C17="","",UV!$C17)</f>
        <v/>
      </c>
      <c r="I769" s="29"/>
      <c r="J769" s="22"/>
      <c r="K769" s="23"/>
      <c r="L769" s="24"/>
      <c r="P769" s="31" t="str">
        <f t="shared" si="196"/>
        <v/>
      </c>
      <c r="Q769" s="27" t="str">
        <f t="shared" si="192"/>
        <v/>
      </c>
      <c r="R769" s="32" t="str">
        <f t="shared" si="193"/>
        <v>-</v>
      </c>
      <c r="S769" s="1" t="str">
        <f t="shared" si="194"/>
        <v/>
      </c>
      <c r="T769" s="97" t="str">
        <f t="shared" si="195"/>
        <v/>
      </c>
    </row>
    <row r="770" spans="1:20" ht="12.75" x14ac:dyDescent="0.2">
      <c r="A770" s="18"/>
      <c r="B770" s="36" t="str">
        <f>IF(UV!D19="","-",UV!D19)</f>
        <v>Minderwert</v>
      </c>
      <c r="C770" s="42" t="s">
        <v>88</v>
      </c>
      <c r="D770" s="31" t="str">
        <f>IF('[1]E-UV'!$C19="","",'[1]E-UV'!$C19)</f>
        <v>x</v>
      </c>
      <c r="E770" s="27"/>
      <c r="F770" s="32" t="str">
        <f>IF(H743="","-",IF(H743&lt;0,"x",""))</f>
        <v>-</v>
      </c>
      <c r="H770" s="97" t="str">
        <f>IF(UV!$C19="","",UV!$C19)</f>
        <v/>
      </c>
      <c r="I770" s="29"/>
      <c r="J770" s="22"/>
      <c r="K770" s="23"/>
      <c r="L770" s="24"/>
      <c r="P770" s="31" t="str">
        <f t="shared" si="196"/>
        <v>x</v>
      </c>
      <c r="Q770" s="27" t="str">
        <f t="shared" si="192"/>
        <v/>
      </c>
      <c r="R770" s="32" t="str">
        <f t="shared" si="193"/>
        <v>-</v>
      </c>
      <c r="S770" s="1" t="str">
        <f t="shared" si="194"/>
        <v/>
      </c>
      <c r="T770" s="97" t="str">
        <f t="shared" si="195"/>
        <v/>
      </c>
    </row>
    <row r="771" spans="1:20" ht="12.75" x14ac:dyDescent="0.2">
      <c r="A771" s="18"/>
      <c r="B771" s="95" t="str">
        <f>IF(B751="","-",B751)</f>
        <v>Selbst erzeugte Vorräte</v>
      </c>
      <c r="C771" s="42"/>
      <c r="D771" s="19"/>
      <c r="H771" s="5"/>
      <c r="I771" s="29"/>
      <c r="J771" s="22"/>
      <c r="K771" s="23"/>
      <c r="L771" s="24"/>
      <c r="N771" s="880" t="str">
        <f>IF($L$1="","",$L$1)</f>
        <v>x</v>
      </c>
      <c r="P771" s="19" t="str">
        <f t="shared" si="196"/>
        <v/>
      </c>
      <c r="Q771" s="1" t="str">
        <f t="shared" si="192"/>
        <v/>
      </c>
      <c r="R771" s="1" t="str">
        <f t="shared" si="193"/>
        <v/>
      </c>
      <c r="S771" s="1" t="str">
        <f t="shared" si="194"/>
        <v/>
      </c>
      <c r="T771" s="5" t="str">
        <f t="shared" si="195"/>
        <v/>
      </c>
    </row>
    <row r="772" spans="1:20" ht="12.75" x14ac:dyDescent="0.2">
      <c r="A772" s="18"/>
      <c r="B772" s="36" t="str">
        <f>IF(UV!D38="","-",UV!D38)</f>
        <v>Mehrwert</v>
      </c>
      <c r="C772" s="42" t="s">
        <v>88</v>
      </c>
      <c r="D772" s="31" t="str">
        <f>IF('[1]E-UV'!$C38="","",'[1]E-UV'!$C38)</f>
        <v>x</v>
      </c>
      <c r="E772" s="27"/>
      <c r="F772" s="32" t="str">
        <f>IF(H757="","-",IF(H757&gt;0,"x",""))</f>
        <v>-</v>
      </c>
      <c r="H772" s="97" t="str">
        <f>IF(UV!$C38="","",UV!$C38)</f>
        <v/>
      </c>
      <c r="I772" s="29" t="str">
        <f>IF(AND(B772="",B773="",B774=""),"",IF(AND(T772=P772,T773=P773,T774=P774),"Richtig!",IF(AND(P772&lt;&gt;T772,R772=T772,P773&lt;&gt;T773,R773=T773,P774&lt;&gt;T774,R774=T774),"Formel: OK",IF(AND(T772="",T773="",T774=""),"Fehlt","Falsch"))))</f>
        <v>Fehlt</v>
      </c>
      <c r="J772" s="30">
        <f>IF(OR(N772&lt;&gt;"x",B772="-"),"-",IF(I772="Richtig!",1,IF(I772="Formel: OK",0.5,IF(OR(I772="Falsch",I772="Fehlt"),0,""))))</f>
        <v>0</v>
      </c>
      <c r="K772" s="23" t="s">
        <v>528</v>
      </c>
      <c r="L772" s="24">
        <f>IF(OR(N772&lt;&gt;"x",B772=""),"-",1)</f>
        <v>1</v>
      </c>
      <c r="N772" s="882" t="str">
        <f>IF($L$1="","",$L$1)</f>
        <v>x</v>
      </c>
      <c r="P772" s="31" t="str">
        <f t="shared" si="196"/>
        <v>x</v>
      </c>
      <c r="Q772" s="27" t="str">
        <f t="shared" si="192"/>
        <v/>
      </c>
      <c r="R772" s="32" t="str">
        <f t="shared" si="193"/>
        <v>-</v>
      </c>
      <c r="S772" s="1" t="str">
        <f t="shared" si="194"/>
        <v/>
      </c>
      <c r="T772" s="97" t="str">
        <f t="shared" si="195"/>
        <v/>
      </c>
    </row>
    <row r="773" spans="1:20" ht="12.75" x14ac:dyDescent="0.2">
      <c r="A773" s="18"/>
      <c r="B773" s="36" t="str">
        <f>IF(UV!D40="","-",UV!D40)</f>
        <v>gleich geblieben</v>
      </c>
      <c r="C773" s="42" t="s">
        <v>88</v>
      </c>
      <c r="D773" s="31" t="str">
        <f>IF('[1]E-UV'!$C40="","",'[1]E-UV'!$C40)</f>
        <v/>
      </c>
      <c r="E773" s="27"/>
      <c r="F773" s="32" t="str">
        <f>IF(H757="","-",IF(H757=0,"x",""))</f>
        <v>-</v>
      </c>
      <c r="H773" s="97" t="str">
        <f>IF(UV!$C40="","",UV!$C40)</f>
        <v/>
      </c>
      <c r="I773" s="29"/>
      <c r="J773" s="22"/>
      <c r="K773" s="23"/>
      <c r="L773" s="24"/>
      <c r="P773" s="31" t="str">
        <f t="shared" si="196"/>
        <v/>
      </c>
      <c r="Q773" s="27" t="str">
        <f t="shared" si="192"/>
        <v/>
      </c>
      <c r="R773" s="32" t="str">
        <f t="shared" si="193"/>
        <v>-</v>
      </c>
      <c r="S773" s="1" t="str">
        <f t="shared" si="194"/>
        <v/>
      </c>
      <c r="T773" s="97" t="str">
        <f t="shared" si="195"/>
        <v/>
      </c>
    </row>
    <row r="774" spans="1:20" ht="12.75" x14ac:dyDescent="0.2">
      <c r="A774" s="18"/>
      <c r="B774" s="36" t="str">
        <f>IF(UV!D42="","-",UV!D42)</f>
        <v>Minderwert</v>
      </c>
      <c r="C774" s="42" t="s">
        <v>88</v>
      </c>
      <c r="D774" s="31" t="str">
        <f>IF('[1]E-UV'!$C42="","",'[1]E-UV'!$C42)</f>
        <v/>
      </c>
      <c r="E774" s="27"/>
      <c r="F774" s="32" t="str">
        <f>IF(H757="","-",IF(H757&lt;0,"x",""))</f>
        <v>-</v>
      </c>
      <c r="H774" s="97" t="str">
        <f>IF(UV!$C42="","",UV!$C42)</f>
        <v/>
      </c>
      <c r="I774" s="29"/>
      <c r="J774" s="22"/>
      <c r="K774" s="23"/>
      <c r="L774" s="24"/>
      <c r="P774" s="31" t="str">
        <f t="shared" si="196"/>
        <v/>
      </c>
      <c r="Q774" s="27" t="str">
        <f t="shared" si="192"/>
        <v/>
      </c>
      <c r="R774" s="32" t="str">
        <f t="shared" si="193"/>
        <v>-</v>
      </c>
      <c r="S774" s="1" t="str">
        <f t="shared" si="194"/>
        <v/>
      </c>
      <c r="T774" s="97" t="str">
        <f t="shared" si="195"/>
        <v/>
      </c>
    </row>
    <row r="775" spans="1:20" ht="12.75" x14ac:dyDescent="0.2">
      <c r="A775" s="18"/>
      <c r="B775" s="18"/>
      <c r="C775" s="18"/>
      <c r="D775" s="19"/>
      <c r="H775" s="20"/>
      <c r="I775" s="21"/>
      <c r="J775" s="21"/>
      <c r="K775" s="23" t="str">
        <f t="shared" si="197"/>
        <v/>
      </c>
      <c r="L775" s="24" t="str">
        <f>IF(OR(B775="-",N775="",AND(P775="",T775="")),"",1)</f>
        <v/>
      </c>
      <c r="N775" s="883" t="str">
        <f>IF($L$1="","",$L$1)</f>
        <v>x</v>
      </c>
      <c r="P775" s="19" t="str">
        <f t="shared" si="196"/>
        <v/>
      </c>
      <c r="Q775" s="1" t="str">
        <f t="shared" si="192"/>
        <v/>
      </c>
      <c r="R775" s="1" t="str">
        <f t="shared" si="193"/>
        <v/>
      </c>
      <c r="S775" s="1" t="str">
        <f t="shared" si="194"/>
        <v/>
      </c>
      <c r="T775" s="20" t="str">
        <f t="shared" si="195"/>
        <v/>
      </c>
    </row>
    <row r="776" spans="1:20" ht="22.5" x14ac:dyDescent="0.2">
      <c r="A776" s="10" t="s">
        <v>89</v>
      </c>
      <c r="B776" s="11"/>
      <c r="C776" s="12"/>
      <c r="D776" s="13" t="s">
        <v>4</v>
      </c>
      <c r="E776" s="13"/>
      <c r="F776" s="14" t="s">
        <v>5</v>
      </c>
      <c r="G776" s="12"/>
      <c r="H776" s="14" t="s">
        <v>6</v>
      </c>
      <c r="I776" s="15" t="str">
        <f>"Fehler"</f>
        <v>Fehler</v>
      </c>
      <c r="J776" s="16" t="s">
        <v>7</v>
      </c>
      <c r="K776" s="16"/>
      <c r="L776" s="16"/>
      <c r="N776" s="881" t="str">
        <f>IF($L$1="","",$L$1)</f>
        <v>x</v>
      </c>
      <c r="P776" s="13" t="str">
        <f t="shared" si="196"/>
        <v>Ergebnis</v>
      </c>
      <c r="Q776" s="13" t="str">
        <f t="shared" si="192"/>
        <v/>
      </c>
      <c r="R776" s="14" t="str">
        <f t="shared" si="193"/>
        <v>Formel-
prüfung</v>
      </c>
      <c r="S776" s="12" t="str">
        <f t="shared" si="194"/>
        <v/>
      </c>
      <c r="T776" s="14" t="str">
        <f t="shared" si="195"/>
        <v>Deine Be-rechnung</v>
      </c>
    </row>
    <row r="777" spans="1:20" ht="12.75" customHeight="1" x14ac:dyDescent="0.2">
      <c r="A777" s="17" t="s">
        <v>9</v>
      </c>
      <c r="B777" s="17" t="str">
        <f>IF('[1]E-2NGeb'!A11="","-",'[1]E-2NGeb'!A11)</f>
        <v>Gesamte(r) Schuppen</v>
      </c>
      <c r="C777" s="18"/>
      <c r="D777" s="19"/>
      <c r="H777" s="20"/>
      <c r="I777" s="21"/>
      <c r="J777" s="21"/>
      <c r="K777" s="23" t="str">
        <f t="shared" si="197"/>
        <v/>
      </c>
      <c r="L777" s="24" t="str">
        <f>IF(OR(B777="-",N777="",AND(P777="",T777="")),"",1)</f>
        <v/>
      </c>
      <c r="N777" s="880" t="str">
        <f>IF($L$1="","",$L$1)</f>
        <v>x</v>
      </c>
      <c r="P777" s="19" t="str">
        <f t="shared" si="196"/>
        <v/>
      </c>
      <c r="Q777" s="1" t="str">
        <f t="shared" si="192"/>
        <v/>
      </c>
      <c r="R777" s="1" t="str">
        <f t="shared" si="193"/>
        <v/>
      </c>
      <c r="S777" s="1" t="str">
        <f t="shared" si="194"/>
        <v/>
      </c>
      <c r="T777" s="20" t="str">
        <f t="shared" si="195"/>
        <v/>
      </c>
    </row>
    <row r="778" spans="1:20" ht="12.75" customHeight="1" x14ac:dyDescent="0.2">
      <c r="B778" s="95" t="str">
        <f>'[1]E-2NGeb'!P14&amp;" "&amp;'[1]E-2NGeb'!B14</f>
        <v>Formel Kubatur</v>
      </c>
      <c r="C778" s="18"/>
      <c r="D778" s="19"/>
      <c r="H778" s="20"/>
      <c r="I778" s="29" t="str">
        <f>IF(AND(P778="",T778=""),"",IF(T778=P778,"Richtig!",IF(T778="","Fehlt","Falsch")))</f>
        <v/>
      </c>
      <c r="J778" s="29"/>
      <c r="K778" s="23" t="str">
        <f t="shared" si="197"/>
        <v/>
      </c>
      <c r="L778" s="24" t="str">
        <f>IF(OR(B778="-",N778="",AND(P778="",T778="")),"",1)</f>
        <v/>
      </c>
      <c r="N778" s="880" t="str">
        <f>IF($L$1="","",$L$1)</f>
        <v>x</v>
      </c>
      <c r="P778" s="19" t="str">
        <f t="shared" si="196"/>
        <v/>
      </c>
      <c r="Q778" s="1" t="str">
        <f t="shared" ref="Q778:Q839" si="216">IF(ISTEXT(E778),E778,IF(E778="","",ROUND(E778,$R$1)))</f>
        <v/>
      </c>
      <c r="R778" s="1" t="str">
        <f t="shared" ref="R778:R839" si="217">IF(ISTEXT(F778),F778,IF(F778="","",ROUND(F778,$R$1)))</f>
        <v/>
      </c>
      <c r="S778" s="1" t="str">
        <f t="shared" ref="S778:S839" si="218">IF(ISTEXT(G778),G778,IF(G778="","",ROUND(G778,$R$1)))</f>
        <v/>
      </c>
      <c r="T778" s="20" t="str">
        <f t="shared" ref="T778:T839" si="219">IF(ISTEXT(H778),H778,IF(H778="","",ROUND(H778,$R$1)))</f>
        <v/>
      </c>
    </row>
    <row r="779" spans="1:20" ht="12.75" customHeight="1" x14ac:dyDescent="0.2">
      <c r="B779" s="3" t="s">
        <v>90</v>
      </c>
      <c r="C779" s="42" t="str">
        <f>IF('[1]E-2NGeb'!$C$14="","",'[1]E-2NGeb'!$C$14)</f>
        <v>Sc</v>
      </c>
      <c r="D779" s="26" t="str">
        <f>IF('[1]E-2NGeb'!F14="","",'[1]E-2NGeb'!F14)</f>
        <v>Länge</v>
      </c>
      <c r="E779" s="27"/>
      <c r="F779" s="27"/>
      <c r="H779" s="96" t="str">
        <f>IF('2NGeb'!F14="","",'2NGeb'!F14)</f>
        <v/>
      </c>
      <c r="I779" s="29" t="str">
        <f>IF(T779="","Fehlt",IF(OR(P780&lt;&gt;T780,P782&lt;&gt;T782),"Falsch",IF(AND(P779="",T779=""),"",IF(AND(T779&lt;&gt;T781,T779&lt;&gt;T783,OR(T779=P779,T779=P781,T779=P783)),"Richtig!","Falsch"))))</f>
        <v>Fehlt</v>
      </c>
      <c r="J779" s="30">
        <f>IF(OR(N779&lt;&gt;"x",AND(P779="",T779="")),"-",IF(I779="Richtig!",0.2,IF(I779="Formel: OK",0.1,IF(OR(I779="Falsch",I779="Fehlt"),0,""))))</f>
        <v>0</v>
      </c>
      <c r="K779" s="23" t="s">
        <v>528</v>
      </c>
      <c r="L779" s="24">
        <f>IF(OR(N779&lt;&gt;"x",AND(P779="",T779="")),"-",0.2)</f>
        <v>0.2</v>
      </c>
      <c r="N779" s="882" t="str">
        <f t="shared" ref="N779:N791" si="220">IF($L$1="","",$L$1)</f>
        <v>x</v>
      </c>
      <c r="P779" s="26" t="str">
        <f t="shared" ref="P779:P839" si="221">IF(ISTEXT(D779),D779,IF(D779="","",ROUND(D779,$R$1)))</f>
        <v>Länge</v>
      </c>
      <c r="Q779" s="27" t="str">
        <f t="shared" si="216"/>
        <v/>
      </c>
      <c r="R779" s="27" t="str">
        <f t="shared" si="217"/>
        <v/>
      </c>
      <c r="S779" s="1" t="str">
        <f t="shared" si="218"/>
        <v/>
      </c>
      <c r="T779" s="96" t="str">
        <f t="shared" si="219"/>
        <v/>
      </c>
    </row>
    <row r="780" spans="1:20" ht="12.75" customHeight="1" x14ac:dyDescent="0.2">
      <c r="B780" s="98" t="s">
        <v>91</v>
      </c>
      <c r="C780" s="42" t="str">
        <f>IF('[1]E-2NGeb'!$C$14="","",'[1]E-2NGeb'!$C$14)</f>
        <v>Sc</v>
      </c>
      <c r="D780" s="26" t="str">
        <f>IF('[1]E-2NGeb'!H14="","",'[1]E-2NGeb'!H14)</f>
        <v>x</v>
      </c>
      <c r="E780" s="27"/>
      <c r="F780" s="27"/>
      <c r="H780" s="96" t="str">
        <f>IF('2NGeb'!H14="","",'2NGeb'!H14)</f>
        <v/>
      </c>
      <c r="I780" s="29" t="str">
        <f>IF(AND(P780="",T780=""),"",IF(T780=P780,"Richtig!",IF(T780="","Fehlt","Falsch")))</f>
        <v>Fehlt</v>
      </c>
      <c r="J780" s="30">
        <f>IF(OR(N780&lt;&gt;"x",AND(P780="",T780="")),"-",IF(I780="Richtig!",0.2,IF(I780="Formel: OK",0.1,IF(OR(I780="Falsch",I780="Fehlt"),0,""))))</f>
        <v>0</v>
      </c>
      <c r="K780" s="23" t="s">
        <v>528</v>
      </c>
      <c r="L780" s="24">
        <f>IF(OR(N780&lt;&gt;"x",AND(P780="",T780="")),"-",0.2)</f>
        <v>0.2</v>
      </c>
      <c r="N780" s="882" t="str">
        <f t="shared" si="220"/>
        <v>x</v>
      </c>
      <c r="P780" s="26" t="str">
        <f t="shared" si="221"/>
        <v>x</v>
      </c>
      <c r="Q780" s="27" t="str">
        <f t="shared" si="216"/>
        <v/>
      </c>
      <c r="R780" s="27" t="str">
        <f t="shared" si="217"/>
        <v/>
      </c>
      <c r="S780" s="1" t="str">
        <f t="shared" si="218"/>
        <v/>
      </c>
      <c r="T780" s="96" t="str">
        <f t="shared" si="219"/>
        <v/>
      </c>
    </row>
    <row r="781" spans="1:20" ht="12.75" customHeight="1" x14ac:dyDescent="0.2">
      <c r="B781" s="3" t="s">
        <v>92</v>
      </c>
      <c r="C781" s="42" t="str">
        <f>IF('[1]E-2NGeb'!$C$14="","",'[1]E-2NGeb'!$C$14)</f>
        <v>Sc</v>
      </c>
      <c r="D781" s="26" t="str">
        <f>IF('[1]E-2NGeb'!J14="","",'[1]E-2NGeb'!J14)</f>
        <v>Breite</v>
      </c>
      <c r="E781" s="27"/>
      <c r="F781" s="27"/>
      <c r="H781" s="96" t="str">
        <f>IF('2NGeb'!J14="","",'2NGeb'!J14)</f>
        <v/>
      </c>
      <c r="I781" s="29" t="str">
        <f>IF(T781="","Fehlt",IF(OR(P780&lt;&gt;T780,P782&lt;&gt;T782),"Falsch",IF(AND(P781="",T781=""),"",IF(AND(T781&lt;&gt;T779,T781&lt;&gt;T783,OR(T781=P779,T781=P781,T781=P783)),"Richtig!","Falsch"))))</f>
        <v>Fehlt</v>
      </c>
      <c r="J781" s="30">
        <f>IF(OR(N781&lt;&gt;"x",AND(P781="",T781="")),"-",IF(I781="Richtig!",0.2,IF(I781="Formel: OK",0.1,IF(OR(I781="Falsch",I781="Fehlt"),0,""))))</f>
        <v>0</v>
      </c>
      <c r="K781" s="23" t="s">
        <v>528</v>
      </c>
      <c r="L781" s="24">
        <f>IF(OR(N781&lt;&gt;"x",AND(P781="",T781="")),"-",0.2)</f>
        <v>0.2</v>
      </c>
      <c r="N781" s="882" t="str">
        <f t="shared" si="220"/>
        <v>x</v>
      </c>
      <c r="P781" s="26" t="str">
        <f t="shared" si="221"/>
        <v>Breite</v>
      </c>
      <c r="Q781" s="27" t="str">
        <f t="shared" si="216"/>
        <v/>
      </c>
      <c r="R781" s="27" t="str">
        <f t="shared" si="217"/>
        <v/>
      </c>
      <c r="S781" s="1" t="str">
        <f t="shared" si="218"/>
        <v/>
      </c>
      <c r="T781" s="96" t="str">
        <f t="shared" si="219"/>
        <v/>
      </c>
    </row>
    <row r="782" spans="1:20" ht="12.75" customHeight="1" x14ac:dyDescent="0.2">
      <c r="B782" s="98" t="s">
        <v>93</v>
      </c>
      <c r="C782" s="42" t="str">
        <f>IF('[1]E-2NGeb'!$C$14="","",'[1]E-2NGeb'!$C$14)</f>
        <v>Sc</v>
      </c>
      <c r="D782" s="26" t="str">
        <f>IF('[1]E-2NGeb'!L14="","",'[1]E-2NGeb'!L14)</f>
        <v>x</v>
      </c>
      <c r="E782" s="27"/>
      <c r="F782" s="27"/>
      <c r="H782" s="96" t="str">
        <f>IF('2NGeb'!L14="","",'2NGeb'!L14)</f>
        <v/>
      </c>
      <c r="I782" s="29" t="str">
        <f>IF(AND(P782="",T782=""),"",IF(T782=P782,"Richtig!",IF(T782="","Fehlt","Falsch")))</f>
        <v>Fehlt</v>
      </c>
      <c r="J782" s="30">
        <f>IF(OR(N782&lt;&gt;"x",AND(P782="",T782="")),"-",IF(I782="Richtig!",0.2,IF(I782="Formel: OK",0.1,IF(OR(I782="Falsch",I782="Fehlt"),0,""))))</f>
        <v>0</v>
      </c>
      <c r="K782" s="23" t="s">
        <v>528</v>
      </c>
      <c r="L782" s="24">
        <f>IF(OR(N782&lt;&gt;"x",AND(P782="",T782="")),"-",0.2)</f>
        <v>0.2</v>
      </c>
      <c r="N782" s="882" t="str">
        <f t="shared" si="220"/>
        <v>x</v>
      </c>
      <c r="P782" s="26" t="str">
        <f t="shared" si="221"/>
        <v>x</v>
      </c>
      <c r="Q782" s="27" t="str">
        <f t="shared" si="216"/>
        <v/>
      </c>
      <c r="R782" s="27" t="str">
        <f t="shared" si="217"/>
        <v/>
      </c>
      <c r="S782" s="1" t="str">
        <f t="shared" si="218"/>
        <v/>
      </c>
      <c r="T782" s="96" t="str">
        <f t="shared" si="219"/>
        <v/>
      </c>
    </row>
    <row r="783" spans="1:20" ht="12.75" customHeight="1" x14ac:dyDescent="0.2">
      <c r="B783" s="3" t="s">
        <v>94</v>
      </c>
      <c r="C783" s="42" t="str">
        <f>IF('[1]E-2NGeb'!$C$14="","",'[1]E-2NGeb'!$C$14)</f>
        <v>Sc</v>
      </c>
      <c r="D783" s="26" t="str">
        <f>IF('[1]E-2NGeb'!N14="","",'[1]E-2NGeb'!N14)</f>
        <v>Höhe</v>
      </c>
      <c r="E783" s="27"/>
      <c r="F783" s="27"/>
      <c r="H783" s="96" t="str">
        <f>IF('2NGeb'!N14="","",'2NGeb'!N14)</f>
        <v/>
      </c>
      <c r="I783" s="29" t="str">
        <f>IF(T783="","Fehlt",IF(OR(P780&lt;&gt;T780,P782&lt;&gt;T782),"Falsch",IF(AND(P783="",T783=""),"",IF(AND(T783&lt;&gt;T781,T783&lt;&gt;T779,OR(T783=P779,T783=P781,T783=P783)),"Richtig!","Falsch"))))</f>
        <v>Fehlt</v>
      </c>
      <c r="J783" s="30">
        <f>IF(OR(N783&lt;&gt;"x",AND(P783="",T783="")),"-",IF(I783="Richtig!",0.2,IF(I783="Formel: OK",0.1,IF(OR(I783="Falsch",I783="Fehlt"),0,""))))</f>
        <v>0</v>
      </c>
      <c r="K783" s="23" t="s">
        <v>528</v>
      </c>
      <c r="L783" s="24">
        <f>IF(OR(N783&lt;&gt;"x",AND(P783="",T783="")),"-",0.2)</f>
        <v>0.2</v>
      </c>
      <c r="N783" s="882" t="str">
        <f t="shared" si="220"/>
        <v>x</v>
      </c>
      <c r="P783" s="26" t="str">
        <f t="shared" si="221"/>
        <v>Höhe</v>
      </c>
      <c r="Q783" s="27" t="str">
        <f t="shared" si="216"/>
        <v/>
      </c>
      <c r="R783" s="27" t="str">
        <f t="shared" si="217"/>
        <v/>
      </c>
      <c r="S783" s="1" t="str">
        <f t="shared" si="218"/>
        <v/>
      </c>
      <c r="T783" s="96" t="str">
        <f t="shared" si="219"/>
        <v/>
      </c>
    </row>
    <row r="784" spans="1:20" ht="12.75" customHeight="1" x14ac:dyDescent="0.2">
      <c r="B784" s="99" t="str">
        <f>'[1]E-2NGeb'!P17&amp;" "&amp;'[1]E-2NGeb'!B17</f>
        <v>Ergebnis Kubatur</v>
      </c>
      <c r="C784" s="42" t="str">
        <f>IF('[1]E-2NGeb'!$C$14="","",'[1]E-2NGeb'!$C$14)</f>
        <v>Sc</v>
      </c>
      <c r="D784" s="26">
        <f>IF('[1]E-2NGeb'!F17="","",'[1]E-2NGeb'!F17)</f>
        <v>1530</v>
      </c>
      <c r="E784" s="27"/>
      <c r="F784" s="27"/>
      <c r="H784" s="96" t="str">
        <f>IF('2NGeb'!F17="","",'2NGeb'!F17)</f>
        <v/>
      </c>
      <c r="I784" s="29" t="str">
        <f>IF(AND(P784="",T784=""),"",IF(T784=P784,"Richtig!",IF(T784="","Fehlt","Falsch")))</f>
        <v>Fehlt</v>
      </c>
      <c r="J784" s="30">
        <f>IF(OR($N784&lt;&gt;"x",AND(P784="",T784="")),"-",IF(I784="Richtig!",1,IF(I784="Formel: OK",0.5,IF(OR(I784="Falsch",I784="Fehlt"),0,""))))</f>
        <v>0</v>
      </c>
      <c r="K784" s="23" t="s">
        <v>528</v>
      </c>
      <c r="L784" s="24">
        <f>IF(OR($N784&lt;&gt;"x",AND(P784="",T784="")),"-",1)</f>
        <v>1</v>
      </c>
      <c r="N784" s="882" t="str">
        <f t="shared" si="220"/>
        <v>x</v>
      </c>
      <c r="P784" s="26">
        <f t="shared" si="221"/>
        <v>1530</v>
      </c>
      <c r="Q784" s="27" t="str">
        <f t="shared" si="216"/>
        <v/>
      </c>
      <c r="R784" s="27" t="str">
        <f t="shared" si="217"/>
        <v/>
      </c>
      <c r="S784" s="1" t="str">
        <f t="shared" si="218"/>
        <v/>
      </c>
      <c r="T784" s="96" t="str">
        <f t="shared" si="219"/>
        <v/>
      </c>
    </row>
    <row r="785" spans="1:20" ht="12.75" customHeight="1" x14ac:dyDescent="0.2">
      <c r="B785" s="95" t="str">
        <f>'[1]E-2NGeb'!P14&amp;" "&amp;'[1]E-2NGeb'!B21</f>
        <v>Formel Alter</v>
      </c>
      <c r="C785" s="42"/>
      <c r="D785" s="19"/>
      <c r="H785" s="5"/>
      <c r="I785" s="29" t="str">
        <f>IF(AND(P785="",T785=""),"",IF(T785=P785,"Richtig!",IF(T785="","Fehlt","Falsch")))</f>
        <v/>
      </c>
      <c r="J785" s="22" t="str">
        <f>IF(AND(P785="",T785=""),"",IF(I785="Richtig!",1,IF(I785="Formel: OK",0.5,IF(OR(I785="Falsch",I785="Fehlt"),0,""))))</f>
        <v/>
      </c>
      <c r="K785" s="23"/>
      <c r="L785" s="24" t="str">
        <f>IF(AND(P785="",T785=""),"",1)</f>
        <v/>
      </c>
      <c r="N785" s="880" t="str">
        <f t="shared" si="220"/>
        <v>x</v>
      </c>
      <c r="P785" s="19" t="str">
        <f t="shared" si="221"/>
        <v/>
      </c>
      <c r="Q785" s="1" t="str">
        <f t="shared" si="216"/>
        <v/>
      </c>
      <c r="R785" s="1" t="str">
        <f t="shared" si="217"/>
        <v/>
      </c>
      <c r="S785" s="1" t="str">
        <f t="shared" si="218"/>
        <v/>
      </c>
      <c r="T785" s="5" t="str">
        <f t="shared" si="219"/>
        <v/>
      </c>
    </row>
    <row r="786" spans="1:20" ht="12.75" customHeight="1" x14ac:dyDescent="0.2">
      <c r="B786" s="3" t="s">
        <v>90</v>
      </c>
      <c r="C786" s="42" t="str">
        <f>IF('[1]E-2NGeb'!$C$14="","",'[1]E-2NGeb'!$C$14)</f>
        <v>Sc</v>
      </c>
      <c r="D786" s="26" t="str">
        <f>IF('[1]E-2NGeb'!F21="","",'[1]E-2NGeb'!F21)</f>
        <v>akt. Jahr</v>
      </c>
      <c r="E786" s="27"/>
      <c r="F786" s="27"/>
      <c r="H786" s="96" t="str">
        <f>IF('2NGeb'!F21="","",'2NGeb'!F21)</f>
        <v/>
      </c>
      <c r="I786" s="29" t="str">
        <f>IF(T786="","Fehlt",IF(P787&lt;&gt;T787,"Falsch",IF(AND(P786="",T786=""),"",IF(T786=P786,"Richtig!","Falsch"))))</f>
        <v>Fehlt</v>
      </c>
      <c r="J786" s="834">
        <f>IF(OR(N786&lt;&gt;"x",AND(P786="",T786="")),"-",IF(I786="Richtig!",1/3,IF(I786="Formel: OK",1/6,IF(OR(I786="Falsch",I786="Fehlt"),0,""))))</f>
        <v>0</v>
      </c>
      <c r="K786" s="23" t="s">
        <v>528</v>
      </c>
      <c r="L786" s="835">
        <f>IF(OR(N786&lt;&gt;"x",AND(P786="",T786="")),"-",1/3)</f>
        <v>0.33333333333333331</v>
      </c>
      <c r="N786" s="882" t="str">
        <f t="shared" si="220"/>
        <v>x</v>
      </c>
      <c r="P786" s="26" t="str">
        <f t="shared" si="221"/>
        <v>akt. Jahr</v>
      </c>
      <c r="Q786" s="27" t="str">
        <f t="shared" si="216"/>
        <v/>
      </c>
      <c r="R786" s="27" t="str">
        <f t="shared" si="217"/>
        <v/>
      </c>
      <c r="S786" s="1" t="str">
        <f t="shared" si="218"/>
        <v/>
      </c>
      <c r="T786" s="96" t="str">
        <f t="shared" si="219"/>
        <v/>
      </c>
    </row>
    <row r="787" spans="1:20" ht="12.75" customHeight="1" x14ac:dyDescent="0.2">
      <c r="B787" s="98" t="s">
        <v>91</v>
      </c>
      <c r="C787" s="42" t="str">
        <f>IF('[1]E-2NGeb'!$C$14="","",'[1]E-2NGeb'!$C$14)</f>
        <v>Sc</v>
      </c>
      <c r="D787" s="26" t="str">
        <f>IF('[1]E-2NGeb'!H21="","",'[1]E-2NGeb'!H21)</f>
        <v>-</v>
      </c>
      <c r="E787" s="27"/>
      <c r="F787" s="27"/>
      <c r="H787" s="96" t="str">
        <f>IF('2NGeb'!H21="","",'2NGeb'!H21)</f>
        <v/>
      </c>
      <c r="I787" s="29" t="str">
        <f>IF(AND(P787="",T787=""),"",IF(T787=P787,"Richtig!",IF(T787="","Fehlt","Falsch")))</f>
        <v>Fehlt</v>
      </c>
      <c r="J787" s="834">
        <f>IF(OR(N787&lt;&gt;"x",AND(P787="",T787="")),"-",IF(I787="Richtig!",1/3,IF(I787="Formel: OK",1/6,IF(OR(I787="Falsch",I787="Fehlt"),0,""))))</f>
        <v>0</v>
      </c>
      <c r="K787" s="23" t="s">
        <v>528</v>
      </c>
      <c r="L787" s="835">
        <f>IF(OR(N787&lt;&gt;"x",AND(P787="",T787="")),"-",1/3)</f>
        <v>0.33333333333333331</v>
      </c>
      <c r="N787" s="882" t="str">
        <f t="shared" si="220"/>
        <v>x</v>
      </c>
      <c r="P787" s="26" t="str">
        <f t="shared" si="221"/>
        <v>-</v>
      </c>
      <c r="Q787" s="27" t="str">
        <f t="shared" si="216"/>
        <v/>
      </c>
      <c r="R787" s="27" t="str">
        <f t="shared" si="217"/>
        <v/>
      </c>
      <c r="S787" s="1" t="str">
        <f t="shared" si="218"/>
        <v/>
      </c>
      <c r="T787" s="96" t="str">
        <f t="shared" si="219"/>
        <v/>
      </c>
    </row>
    <row r="788" spans="1:20" ht="12.75" customHeight="1" x14ac:dyDescent="0.2">
      <c r="B788" s="3" t="s">
        <v>92</v>
      </c>
      <c r="C788" s="42" t="str">
        <f>IF('[1]E-2NGeb'!$C$14="","",'[1]E-2NGeb'!$C$14)</f>
        <v>Sc</v>
      </c>
      <c r="D788" s="26" t="str">
        <f>IF('[1]E-2NGeb'!J21="","",'[1]E-2NGeb'!J21)</f>
        <v>AJ</v>
      </c>
      <c r="E788" s="27"/>
      <c r="F788" s="27"/>
      <c r="H788" s="96" t="str">
        <f>IF('2NGeb'!J21="","",'2NGeb'!J21)</f>
        <v/>
      </c>
      <c r="I788" s="29" t="str">
        <f>IF(T788="","Fehlt",IF(P787&lt;&gt;T787,"Falsch",IF(AND(P788="",T788=""),"",IF(T788=P788,"Richtig!","Falsch"))))</f>
        <v>Fehlt</v>
      </c>
      <c r="J788" s="834">
        <f>IF(OR(N788&lt;&gt;"x",AND(P788="",T788="")),"-",IF(I788="Richtig!",1/3,IF(I788="Formel: OK",1/6,IF(OR(I788="Falsch",I788="Fehlt"),0,""))))</f>
        <v>0</v>
      </c>
      <c r="K788" s="23" t="s">
        <v>528</v>
      </c>
      <c r="L788" s="835">
        <f>IF(OR(N788&lt;&gt;"x",AND(P788="",T788="")),"-",1/3)</f>
        <v>0.33333333333333331</v>
      </c>
      <c r="N788" s="882" t="str">
        <f t="shared" si="220"/>
        <v>x</v>
      </c>
      <c r="P788" s="26" t="str">
        <f t="shared" si="221"/>
        <v>AJ</v>
      </c>
      <c r="Q788" s="27" t="str">
        <f t="shared" si="216"/>
        <v/>
      </c>
      <c r="R788" s="27" t="str">
        <f t="shared" si="217"/>
        <v/>
      </c>
      <c r="S788" s="1" t="str">
        <f t="shared" si="218"/>
        <v/>
      </c>
      <c r="T788" s="96" t="str">
        <f t="shared" si="219"/>
        <v/>
      </c>
    </row>
    <row r="789" spans="1:20" ht="12.75" customHeight="1" x14ac:dyDescent="0.2">
      <c r="B789" s="99" t="str">
        <f>'[1]E-2NGeb'!P17&amp;" "&amp;'[1]E-2NGeb'!B24</f>
        <v>Ergebnis Alter</v>
      </c>
      <c r="C789" s="42" t="str">
        <f>IF('[1]E-2NGeb'!$C$14="","",'[1]E-2NGeb'!$C$14)</f>
        <v>Sc</v>
      </c>
      <c r="D789" s="26">
        <f>IF('[1]E-2NGeb'!F24="","",'[1]E-2NGeb'!F24)</f>
        <v>21</v>
      </c>
      <c r="E789" s="27"/>
      <c r="F789" s="27"/>
      <c r="H789" s="96" t="str">
        <f>IF('2NGeb'!F24="","",'2NGeb'!F24)</f>
        <v/>
      </c>
      <c r="I789" s="29" t="str">
        <f>IF(AND(P789="",T789=""),"",IF(T789=P789,"Richtig!",IF(T789="","Fehlt","Falsch")))</f>
        <v>Fehlt</v>
      </c>
      <c r="J789" s="30">
        <f>IF(OR($N789&lt;&gt;"x",AND(P789="",T789="")),"-",IF(I789="Richtig!",1,IF(I789="Formel: OK",0.5,IF(OR(I789="Falsch",I789="Fehlt"),0,""))))</f>
        <v>0</v>
      </c>
      <c r="K789" s="23" t="s">
        <v>528</v>
      </c>
      <c r="L789" s="24">
        <f>IF(OR($N789&lt;&gt;"x",AND(P789="",T789="")),"-",1)</f>
        <v>1</v>
      </c>
      <c r="N789" s="882" t="str">
        <f t="shared" si="220"/>
        <v>x</v>
      </c>
      <c r="P789" s="26">
        <f t="shared" si="221"/>
        <v>21</v>
      </c>
      <c r="Q789" s="27" t="str">
        <f t="shared" si="216"/>
        <v/>
      </c>
      <c r="R789" s="27" t="str">
        <f t="shared" si="217"/>
        <v/>
      </c>
      <c r="S789" s="1" t="str">
        <f t="shared" si="218"/>
        <v/>
      </c>
      <c r="T789" s="96" t="str">
        <f t="shared" si="219"/>
        <v/>
      </c>
    </row>
    <row r="790" spans="1:20" ht="12.75" customHeight="1" x14ac:dyDescent="0.2">
      <c r="B790" s="95" t="str">
        <f>"Vergleich - Nutzungsdauer und "&amp;'[1]E-2NGeb'!B24</f>
        <v>Vergleich - Nutzungsdauer und Alter</v>
      </c>
      <c r="C790" s="42"/>
      <c r="D790" s="19"/>
      <c r="H790" s="5"/>
      <c r="I790" s="29"/>
      <c r="J790" s="22"/>
      <c r="K790" s="23"/>
      <c r="L790" s="24" t="str">
        <f>IF(AND(P790="",T790=""),"",1)</f>
        <v/>
      </c>
      <c r="N790" s="880" t="str">
        <f t="shared" si="220"/>
        <v>x</v>
      </c>
      <c r="P790" s="19" t="str">
        <f t="shared" si="221"/>
        <v/>
      </c>
      <c r="Q790" s="1" t="str">
        <f t="shared" si="216"/>
        <v/>
      </c>
      <c r="R790" s="1" t="str">
        <f t="shared" si="217"/>
        <v/>
      </c>
      <c r="S790" s="1" t="str">
        <f t="shared" si="218"/>
        <v/>
      </c>
      <c r="T790" s="5" t="str">
        <f t="shared" si="219"/>
        <v/>
      </c>
    </row>
    <row r="791" spans="1:20" ht="12.75" customHeight="1" x14ac:dyDescent="0.2">
      <c r="B791" s="25" t="str">
        <f>IF('[1]E-2NGeb'!N24="","-",'[1]E-2NGeb'!N24)</f>
        <v>≤ 1/4 Nutzungsdauer</v>
      </c>
      <c r="C791" s="42" t="str">
        <f>IF('[1]E-2NGeb'!$C$14="","",'[1]E-2NGeb'!$C$14)</f>
        <v>Sc</v>
      </c>
      <c r="D791" s="31" t="str">
        <f>IF(AND('[1]E-2NGeb'!L24="",'[1]E-2NGeb'!L26="",'[1]E-2NGeb'!L28=""),"-",IF('[1]E-2NGeb'!L24="","",'[1]E-2NGeb'!L24))</f>
        <v/>
      </c>
      <c r="E791" s="27"/>
      <c r="F791" s="32" t="str">
        <f>IF(AND(H791="",H792="",H793=""),"-",IF(D789&lt;='2NGeb'!B7/4,"x",""))</f>
        <v>-</v>
      </c>
      <c r="H791" s="97" t="str">
        <f>IF(AND('2NGeb'!L24="",'2NGeb'!L26="",'2NGeb'!L28=""),"",IF('2NGeb'!L24="","",'2NGeb'!L24))</f>
        <v/>
      </c>
      <c r="I791" s="29" t="str">
        <f>IF(AND(T791=P791,P792=T792,P793=T793),"Richtig!",IF(AND(AND(P791&lt;&gt;T791,R791=T791),AND(P792&lt;&gt;T792,R792=T792),AND(P793&lt;&gt;T793,R793=T793)),"Formel: OK",IF(AND(T791="",T792="",T793=""),"Fehlt","Falsch")))</f>
        <v>Fehlt</v>
      </c>
      <c r="J791" s="30">
        <f>IF(OR(N791&lt;&gt;"x",B791="-"),"-",IF(I791="Richtig!",1,IF(I791="Formel: OK",0.5,IF(OR(I791="Falsch",I791="Fehlt"),0,""))))</f>
        <v>0</v>
      </c>
      <c r="K791" s="23" t="s">
        <v>528</v>
      </c>
      <c r="L791" s="24">
        <f>IF(OR(N791&lt;&gt;"x",AND(P791="",T791="",P792="",T792="",P793="",T793="")),"-",1)</f>
        <v>1</v>
      </c>
      <c r="N791" s="882" t="str">
        <f t="shared" si="220"/>
        <v>x</v>
      </c>
      <c r="P791" s="31" t="str">
        <f t="shared" si="221"/>
        <v/>
      </c>
      <c r="Q791" s="27" t="str">
        <f t="shared" si="216"/>
        <v/>
      </c>
      <c r="R791" s="32" t="str">
        <f t="shared" si="217"/>
        <v>-</v>
      </c>
      <c r="S791" s="1" t="str">
        <f t="shared" si="218"/>
        <v/>
      </c>
      <c r="T791" s="97" t="str">
        <f t="shared" si="219"/>
        <v/>
      </c>
    </row>
    <row r="792" spans="1:20" ht="12.75" customHeight="1" x14ac:dyDescent="0.2">
      <c r="B792" s="25" t="str">
        <f>IF('[1]E-2NGeb'!N26="","-",'[1]E-2NGeb'!N26)</f>
        <v>&gt; 1/4 und &lt;1/2 Nutzungsdauer</v>
      </c>
      <c r="C792" s="42" t="str">
        <f>IF('[1]E-2NGeb'!$C$14="","",'[1]E-2NGeb'!$C$14)</f>
        <v>Sc</v>
      </c>
      <c r="D792" s="31" t="str">
        <f>IF(AND('[1]E-2NGeb'!L24="",'[1]E-2NGeb'!L26="",'[1]E-2NGeb'!L28=""),"-",IF('[1]E-2NGeb'!L26="","",'[1]E-2NGeb'!L26))</f>
        <v/>
      </c>
      <c r="E792" s="27"/>
      <c r="F792" s="32" t="str">
        <f>IF(AND(H791="",H792="",H793=""),"-",IF(AND(D789&gt;'2NGeb'!B7/4,D789&lt;'2NGeb'!B7/2),"x",""))</f>
        <v>-</v>
      </c>
      <c r="H792" s="97" t="str">
        <f>IF(AND('2NGeb'!L24="",'2NGeb'!L26="",'2NGeb'!L28=""),"",IF('2NGeb'!L26="","",'2NGeb'!L26))</f>
        <v/>
      </c>
      <c r="I792" s="29"/>
      <c r="J792" s="22"/>
      <c r="K792" s="23"/>
      <c r="L792" s="24"/>
      <c r="P792" s="31" t="str">
        <f t="shared" si="221"/>
        <v/>
      </c>
      <c r="Q792" s="27" t="str">
        <f t="shared" si="216"/>
        <v/>
      </c>
      <c r="R792" s="32" t="str">
        <f t="shared" si="217"/>
        <v>-</v>
      </c>
      <c r="S792" s="1" t="str">
        <f t="shared" si="218"/>
        <v/>
      </c>
      <c r="T792" s="97" t="str">
        <f t="shared" si="219"/>
        <v/>
      </c>
    </row>
    <row r="793" spans="1:20" ht="12.75" customHeight="1" x14ac:dyDescent="0.2">
      <c r="B793" s="25" t="str">
        <f>IF('[1]E-2NGeb'!N28="","-",'[1]E-2NGeb'!N28)</f>
        <v>≥ 1/2 Nutzungsdauer</v>
      </c>
      <c r="C793" s="42" t="str">
        <f>IF('[1]E-2NGeb'!$C$14="","",'[1]E-2NGeb'!$C$14)</f>
        <v>Sc</v>
      </c>
      <c r="D793" s="31" t="str">
        <f>IF(AND('[1]E-2NGeb'!L24="",'[1]E-2NGeb'!L26="",'[1]E-2NGeb'!L28=""),"-",IF('[1]E-2NGeb'!L28="","",'[1]E-2NGeb'!L28))</f>
        <v>x</v>
      </c>
      <c r="E793" s="27"/>
      <c r="F793" s="32" t="str">
        <f>IF(AND(H791="",H792="",H793=""),"-",IF(D789&gt;='2NGeb'!B7/24,"x",""))</f>
        <v>-</v>
      </c>
      <c r="H793" s="97" t="str">
        <f>IF(AND('2NGeb'!L24="",'2NGeb'!L26="",'2NGeb'!L28=""),"",IF('2NGeb'!L28="","",'2NGeb'!L28))</f>
        <v/>
      </c>
      <c r="I793" s="29"/>
      <c r="J793" s="22"/>
      <c r="K793" s="23"/>
      <c r="L793" s="24"/>
      <c r="P793" s="31" t="str">
        <f t="shared" si="221"/>
        <v>x</v>
      </c>
      <c r="Q793" s="27" t="str">
        <f t="shared" si="216"/>
        <v/>
      </c>
      <c r="R793" s="32" t="str">
        <f t="shared" si="217"/>
        <v>-</v>
      </c>
      <c r="S793" s="1" t="str">
        <f t="shared" si="218"/>
        <v/>
      </c>
      <c r="T793" s="97" t="str">
        <f t="shared" si="219"/>
        <v/>
      </c>
    </row>
    <row r="794" spans="1:20" ht="12.75" x14ac:dyDescent="0.2">
      <c r="A794" s="18"/>
      <c r="B794" s="18"/>
      <c r="C794" s="18"/>
      <c r="D794" s="19"/>
      <c r="H794" s="5"/>
      <c r="I794" s="21"/>
      <c r="J794" s="22"/>
      <c r="K794" s="23"/>
      <c r="L794" s="24"/>
      <c r="N794" s="883" t="str">
        <f t="shared" ref="N794:N799" si="222">IF($L$1="","",$L$1)</f>
        <v>x</v>
      </c>
      <c r="P794" s="19" t="str">
        <f t="shared" si="221"/>
        <v/>
      </c>
      <c r="Q794" s="1" t="str">
        <f t="shared" si="216"/>
        <v/>
      </c>
      <c r="R794" s="1" t="str">
        <f t="shared" si="217"/>
        <v/>
      </c>
      <c r="S794" s="1" t="str">
        <f t="shared" si="218"/>
        <v/>
      </c>
      <c r="T794" s="5" t="str">
        <f t="shared" si="219"/>
        <v/>
      </c>
    </row>
    <row r="795" spans="1:20" ht="12.75" customHeight="1" x14ac:dyDescent="0.2">
      <c r="A795" s="17" t="s">
        <v>12</v>
      </c>
      <c r="B795" s="17" t="str">
        <f>IF('[1]E-2NGeb'!A32="","-",'[1]E-2NGeb'!A32)</f>
        <v>Eingebaute(r) Masthühnerstall (Flachstall)</v>
      </c>
      <c r="C795" s="18"/>
      <c r="D795" s="19"/>
      <c r="H795" s="5"/>
      <c r="I795" s="21"/>
      <c r="J795" s="22"/>
      <c r="K795" s="23"/>
      <c r="L795" s="24"/>
      <c r="N795" s="880" t="str">
        <f t="shared" si="222"/>
        <v>x</v>
      </c>
      <c r="P795" s="19" t="str">
        <f t="shared" si="221"/>
        <v/>
      </c>
      <c r="Q795" s="1" t="str">
        <f t="shared" si="216"/>
        <v/>
      </c>
      <c r="R795" s="1" t="str">
        <f t="shared" si="217"/>
        <v/>
      </c>
      <c r="S795" s="1" t="str">
        <f t="shared" si="218"/>
        <v/>
      </c>
      <c r="T795" s="5" t="str">
        <f t="shared" si="219"/>
        <v/>
      </c>
    </row>
    <row r="796" spans="1:20" ht="12.75" x14ac:dyDescent="0.2">
      <c r="B796" s="99" t="str">
        <f>'[1]E-2NGeb'!P17&amp;" "&amp;'[1]E-2NGeb'!B34</f>
        <v>Ergebnis Kubatur</v>
      </c>
      <c r="C796" s="42" t="str">
        <f>IF('[1]E-2NGeb'!$C$34="","",'[1]E-2NGeb'!$C$34)</f>
        <v>Ma</v>
      </c>
      <c r="D796" s="26">
        <f>IF('[1]E-2NGeb'!F34="","",'[1]E-2NGeb'!F34)</f>
        <v>357</v>
      </c>
      <c r="E796" s="27"/>
      <c r="F796" s="27"/>
      <c r="H796" s="96" t="str">
        <f>IF('2NGeb'!F34="","",'2NGeb'!F34)</f>
        <v/>
      </c>
      <c r="I796" s="29" t="str">
        <f>IF(AND(P796="",T796=""),"",IF(T796=P796,"Richtig!",IF(T796="","Fehlt","Falsch")))</f>
        <v>Fehlt</v>
      </c>
      <c r="J796" s="30">
        <f>IF(OR($N796&lt;&gt;"x",AND(P796="",T796="")),"-",IF(I796="Richtig!",1,IF(I796="Formel: OK",0.5,IF(OR(I796="Falsch",I796="Fehlt"),0,""))))</f>
        <v>0</v>
      </c>
      <c r="K796" s="23" t="s">
        <v>528</v>
      </c>
      <c r="L796" s="24">
        <f>IF(OR($N796&lt;&gt;"x",AND(P796="",T796="")),"-",1)</f>
        <v>1</v>
      </c>
      <c r="N796" s="882" t="str">
        <f t="shared" si="222"/>
        <v>x</v>
      </c>
      <c r="P796" s="26">
        <f t="shared" si="221"/>
        <v>357</v>
      </c>
      <c r="Q796" s="27" t="str">
        <f t="shared" si="216"/>
        <v/>
      </c>
      <c r="R796" s="27" t="str">
        <f t="shared" si="217"/>
        <v/>
      </c>
      <c r="S796" s="1" t="str">
        <f t="shared" si="218"/>
        <v/>
      </c>
      <c r="T796" s="96" t="str">
        <f t="shared" si="219"/>
        <v/>
      </c>
    </row>
    <row r="797" spans="1:20" ht="12.75" x14ac:dyDescent="0.2">
      <c r="B797" s="99" t="str">
        <f>'[1]E-2NGeb'!P17&amp;" "&amp;'[1]E-2NGeb'!B37</f>
        <v>Ergebnis Alter</v>
      </c>
      <c r="C797" s="42" t="str">
        <f>IF('[1]E-2NGeb'!$C$34="","",'[1]E-2NGeb'!$C$34)</f>
        <v>Ma</v>
      </c>
      <c r="D797" s="26">
        <f>IF('[1]E-2NGeb'!F37="","",'[1]E-2NGeb'!F37)</f>
        <v>13</v>
      </c>
      <c r="E797" s="27"/>
      <c r="F797" s="27"/>
      <c r="H797" s="96" t="str">
        <f>IF('2NGeb'!F37="","",'2NGeb'!F37)</f>
        <v/>
      </c>
      <c r="I797" s="29" t="str">
        <f>IF(AND(P797="",T797=""),"",IF(T797=P797,"Richtig!",IF(T797="","Fehlt","Falsch")))</f>
        <v>Fehlt</v>
      </c>
      <c r="J797" s="30">
        <f>IF(OR($N797&lt;&gt;"x",AND(P797="",T797="")),"-",IF(I797="Richtig!",1,IF(I797="Formel: OK",0.5,IF(OR(I797="Falsch",I797="Fehlt"),0,""))))</f>
        <v>0</v>
      </c>
      <c r="K797" s="23" t="s">
        <v>528</v>
      </c>
      <c r="L797" s="24">
        <f>IF(OR($N797&lt;&gt;"x",AND(P797="",T797="")),"-",1)</f>
        <v>1</v>
      </c>
      <c r="N797" s="882" t="str">
        <f t="shared" si="222"/>
        <v>x</v>
      </c>
      <c r="P797" s="26">
        <f t="shared" si="221"/>
        <v>13</v>
      </c>
      <c r="Q797" s="27" t="str">
        <f t="shared" si="216"/>
        <v/>
      </c>
      <c r="R797" s="27" t="str">
        <f t="shared" si="217"/>
        <v/>
      </c>
      <c r="S797" s="1" t="str">
        <f t="shared" si="218"/>
        <v/>
      </c>
      <c r="T797" s="96" t="str">
        <f t="shared" si="219"/>
        <v/>
      </c>
    </row>
    <row r="798" spans="1:20" ht="12.75" customHeight="1" x14ac:dyDescent="0.2">
      <c r="B798" s="95" t="str">
        <f>"Vergleich - Nutzungsdauer und "&amp;'[1]E-2NGeb'!B24</f>
        <v>Vergleich - Nutzungsdauer und Alter</v>
      </c>
      <c r="C798" s="42"/>
      <c r="D798" s="19"/>
      <c r="H798" s="5"/>
      <c r="I798" s="29"/>
      <c r="J798" s="22"/>
      <c r="K798" s="23"/>
      <c r="L798" s="24"/>
      <c r="N798" s="880" t="str">
        <f t="shared" si="222"/>
        <v>x</v>
      </c>
      <c r="P798" s="19" t="str">
        <f t="shared" si="221"/>
        <v/>
      </c>
      <c r="Q798" s="1" t="str">
        <f t="shared" si="216"/>
        <v/>
      </c>
      <c r="R798" s="1" t="str">
        <f t="shared" si="217"/>
        <v/>
      </c>
      <c r="S798" s="1" t="str">
        <f t="shared" si="218"/>
        <v/>
      </c>
      <c r="T798" s="5" t="str">
        <f t="shared" si="219"/>
        <v/>
      </c>
    </row>
    <row r="799" spans="1:20" ht="12.75" x14ac:dyDescent="0.2">
      <c r="B799" s="25" t="str">
        <f>IF('[1]E-2NGeb'!N37="","-",'[1]E-2NGeb'!N37)</f>
        <v>≤ 1/4 Nutzungsdauer</v>
      </c>
      <c r="C799" s="42" t="str">
        <f>IF('[1]E-2NGeb'!$C$34="","",'[1]E-2NGeb'!$C$34)</f>
        <v>Ma</v>
      </c>
      <c r="D799" s="31" t="str">
        <f>IF(AND('[1]E-2NGeb'!L37="",'[1]E-2NGeb'!L39="",'[1]E-2NGeb'!L41=""),"-",IF('[1]E-2NGeb'!L37="","",'[1]E-2NGeb'!L37))</f>
        <v/>
      </c>
      <c r="E799" s="27"/>
      <c r="F799" s="32" t="str">
        <f>IF(AND(H799="",H800="",H801=""),"-",IF(D797&lt;='2NGeb'!B7/4,"x",""))</f>
        <v>-</v>
      </c>
      <c r="H799" s="97" t="str">
        <f>IF(AND('2NGeb'!L37="",'2NGeb'!L39="",'2NGeb'!L41=""),"",IF('2NGeb'!L37="","",'2NGeb'!L37))</f>
        <v/>
      </c>
      <c r="I799" s="29" t="str">
        <f>IF(AND(T799=P799,P800=T800,P801=T801),"Richtig!",IF(AND(AND(P799&lt;&gt;T799,R799=T799),AND(P800&lt;&gt;T800,R800=T800),AND(P801&lt;&gt;T801,R801=T801)),"Formel: OK",IF(AND(T799="",T800="",T801=""),"Fehlt","Falsch")))</f>
        <v>Fehlt</v>
      </c>
      <c r="J799" s="30">
        <f>IF(OR(N799&lt;&gt;"x",B799="-"),"-",IF(I799="Richtig!",1,IF(I799="Formel: OK",0.5,IF(OR(I799="Falsch",I799="Fehlt"),0,""))))</f>
        <v>0</v>
      </c>
      <c r="K799" s="23" t="s">
        <v>528</v>
      </c>
      <c r="L799" s="24">
        <f>IF(OR(N799&lt;&gt;"x",AND(P799="",T799="",P800="",T800="",P801="",T801="")),"-",1)</f>
        <v>1</v>
      </c>
      <c r="N799" s="882" t="str">
        <f t="shared" si="222"/>
        <v>x</v>
      </c>
      <c r="P799" s="31" t="str">
        <f t="shared" si="221"/>
        <v/>
      </c>
      <c r="Q799" s="27" t="str">
        <f t="shared" si="216"/>
        <v/>
      </c>
      <c r="R799" s="32" t="str">
        <f t="shared" si="217"/>
        <v>-</v>
      </c>
      <c r="S799" s="1" t="str">
        <f t="shared" si="218"/>
        <v/>
      </c>
      <c r="T799" s="97" t="str">
        <f t="shared" si="219"/>
        <v/>
      </c>
    </row>
    <row r="800" spans="1:20" ht="12.75" x14ac:dyDescent="0.2">
      <c r="A800" s="18"/>
      <c r="B800" s="25" t="str">
        <f>IF('[1]E-2NGeb'!N39="","-",'[1]E-2NGeb'!N39)</f>
        <v>&gt; 1/4 und &lt;1/2 Nutzungsdauer</v>
      </c>
      <c r="C800" s="42" t="str">
        <f>IF('[1]E-2NGeb'!$C$34="","",'[1]E-2NGeb'!$C$34)</f>
        <v>Ma</v>
      </c>
      <c r="D800" s="31" t="str">
        <f>IF(AND('[1]E-2NGeb'!L37="",'[1]E-2NGeb'!L39="",'[1]E-2NGeb'!L41=""),"-",IF('[1]E-2NGeb'!L39="","",'[1]E-2NGeb'!L39))</f>
        <v>x</v>
      </c>
      <c r="E800" s="27"/>
      <c r="F800" s="32" t="str">
        <f>IF(AND(H799="",H800="",H801=""),"-",IF(AND(D797&gt;'2NGeb'!B7/4,D797&lt;'2NGeb'!B7/2),"x",""))</f>
        <v>-</v>
      </c>
      <c r="H800" s="97" t="str">
        <f>IF(AND('2NGeb'!L37="",'2NGeb'!L39="",'2NGeb'!L41=""),"",IF('2NGeb'!L39="","",'2NGeb'!L39))</f>
        <v/>
      </c>
      <c r="I800" s="29"/>
      <c r="J800" s="22"/>
      <c r="K800" s="23"/>
      <c r="L800" s="24"/>
      <c r="P800" s="31" t="str">
        <f t="shared" si="221"/>
        <v>x</v>
      </c>
      <c r="Q800" s="27" t="str">
        <f t="shared" si="216"/>
        <v/>
      </c>
      <c r="R800" s="32" t="str">
        <f t="shared" si="217"/>
        <v>-</v>
      </c>
      <c r="S800" s="1" t="str">
        <f t="shared" si="218"/>
        <v/>
      </c>
      <c r="T800" s="97" t="str">
        <f t="shared" si="219"/>
        <v/>
      </c>
    </row>
    <row r="801" spans="1:20" ht="12.75" x14ac:dyDescent="0.2">
      <c r="A801" s="18"/>
      <c r="B801" s="25" t="str">
        <f>IF('[1]E-2NGeb'!N41="","-",'[1]E-2NGeb'!N41)</f>
        <v>≥ 1/2 Nutzungsdauer</v>
      </c>
      <c r="C801" s="42" t="str">
        <f>IF('[1]E-2NGeb'!$C$34="","",'[1]E-2NGeb'!$C$34)</f>
        <v>Ma</v>
      </c>
      <c r="D801" s="31" t="str">
        <f>IF(AND('[1]E-2NGeb'!L37="",'[1]E-2NGeb'!L39="",'[1]E-2NGeb'!L41=""),"-",IF('[1]E-2NGeb'!L41="","",'[1]E-2NGeb'!L41))</f>
        <v/>
      </c>
      <c r="E801" s="27"/>
      <c r="F801" s="32" t="str">
        <f>IF(AND(H799="",H800="",H801=""),"-",IF(D797&gt;='2NGeb'!B7/2,"x",""))</f>
        <v>-</v>
      </c>
      <c r="H801" s="97" t="str">
        <f>IF(AND('2NGeb'!L37="",'2NGeb'!L39="",'2NGeb'!L41=""),"",IF('2NGeb'!L41="","",'2NGeb'!L41))</f>
        <v/>
      </c>
      <c r="I801" s="29"/>
      <c r="J801" s="22"/>
      <c r="K801" s="23"/>
      <c r="L801" s="24"/>
      <c r="P801" s="31" t="str">
        <f t="shared" si="221"/>
        <v/>
      </c>
      <c r="Q801" s="27" t="str">
        <f t="shared" si="216"/>
        <v/>
      </c>
      <c r="R801" s="32" t="str">
        <f t="shared" si="217"/>
        <v>-</v>
      </c>
      <c r="S801" s="1" t="str">
        <f t="shared" si="218"/>
        <v/>
      </c>
      <c r="T801" s="97" t="str">
        <f t="shared" si="219"/>
        <v/>
      </c>
    </row>
    <row r="802" spans="1:20" ht="12.75" x14ac:dyDescent="0.2">
      <c r="A802" s="18"/>
      <c r="B802" s="36" t="s">
        <v>95</v>
      </c>
      <c r="C802" s="42" t="str">
        <f>IF('[1]E-2NGeb'!$C$34="","",'[1]E-2NGeb'!$C$34)</f>
        <v>Ma</v>
      </c>
      <c r="D802" s="31">
        <f>IF('[1]E-2NGeb'!N45="","",'[1]E-2NGeb'!N45)</f>
        <v>0.8</v>
      </c>
      <c r="E802" s="27"/>
      <c r="F802" s="32" t="str">
        <f>IF(H799="x",0.9,IF(H800="x",0.8,IF(H801="x",0.67,"-")))</f>
        <v>-</v>
      </c>
      <c r="H802" s="97" t="str">
        <f>IF('2NGeb'!N45="","",'2NGeb'!N45)</f>
        <v/>
      </c>
      <c r="I802" s="29" t="str">
        <f>IF(AND(P802="",T802=""),"",IF(T802=P802,"Richtig!",IF(T802="","Fehlt","Falsch")))</f>
        <v>Fehlt</v>
      </c>
      <c r="J802" s="30">
        <f>IF(OR($N802&lt;&gt;"x",AND(P802="",T802="")),"-",IF(I802="Richtig!",1,IF(I802="Formel: OK",0.5,IF(OR(I802="Falsch",I802="Fehlt"),0,""))))</f>
        <v>0</v>
      </c>
      <c r="K802" s="23" t="s">
        <v>528</v>
      </c>
      <c r="L802" s="24">
        <f>IF(OR($N802&lt;&gt;"x",AND(P802="",T802="")),"-",1)</f>
        <v>1</v>
      </c>
      <c r="N802" s="882" t="str">
        <f t="shared" ref="N802:N844" si="223">IF($L$1="","",$L$1)</f>
        <v>x</v>
      </c>
      <c r="P802" s="31">
        <f t="shared" si="221"/>
        <v>0.8</v>
      </c>
      <c r="Q802" s="27" t="str">
        <f t="shared" si="216"/>
        <v/>
      </c>
      <c r="R802" s="32" t="str">
        <f t="shared" si="217"/>
        <v>-</v>
      </c>
      <c r="S802" s="1" t="str">
        <f t="shared" si="218"/>
        <v/>
      </c>
      <c r="T802" s="97" t="str">
        <f t="shared" si="219"/>
        <v/>
      </c>
    </row>
    <row r="803" spans="1:20" ht="12.75" customHeight="1" x14ac:dyDescent="0.2">
      <c r="B803" s="95" t="str">
        <f>'[1]E-2NGeb'!P14&amp;" Wiederbeschaffungswert"</f>
        <v>Formel Wiederbeschaffungswert</v>
      </c>
      <c r="C803" s="42"/>
      <c r="D803" s="19"/>
      <c r="H803" s="5"/>
      <c r="I803" s="29" t="str">
        <f>IF(OR(B803="-",AND(P803="",T803="")),"",IF(T803=P803,"Richtig!",IF(T803="","Fehlt","Falsch")))</f>
        <v/>
      </c>
      <c r="J803" s="22" t="str">
        <f>IF(B803="-","",IF(I803="Richtig!",1,IF(I803="Formel: OK",0.5,IF(OR(I803="Falsch",I803="Fehlt"),0,""))))</f>
        <v/>
      </c>
      <c r="K803" s="23"/>
      <c r="L803" s="24" t="str">
        <f>IF(AND(P803="",T803=""),"",1)</f>
        <v/>
      </c>
      <c r="N803" s="880" t="str">
        <f t="shared" si="223"/>
        <v>x</v>
      </c>
      <c r="P803" s="19" t="str">
        <f t="shared" si="221"/>
        <v/>
      </c>
      <c r="Q803" s="1" t="str">
        <f t="shared" si="216"/>
        <v/>
      </c>
      <c r="R803" s="1" t="str">
        <f t="shared" si="217"/>
        <v/>
      </c>
      <c r="S803" s="1" t="str">
        <f t="shared" si="218"/>
        <v/>
      </c>
      <c r="T803" s="5" t="str">
        <f t="shared" si="219"/>
        <v/>
      </c>
    </row>
    <row r="804" spans="1:20" ht="12.75" x14ac:dyDescent="0.2">
      <c r="A804" s="18"/>
      <c r="B804" s="3" t="s">
        <v>90</v>
      </c>
      <c r="C804" s="42" t="str">
        <f>IF('[1]E-2NGeb'!$C$34="","",'[1]E-2NGeb'!$C$34)</f>
        <v>Ma</v>
      </c>
      <c r="D804" s="26" t="str">
        <f>IF('[1]E-2NGeb'!F48="","",'[1]E-2NGeb'!F48)</f>
        <v>Kubatur</v>
      </c>
      <c r="E804" s="27"/>
      <c r="F804" s="27"/>
      <c r="H804" s="96" t="str">
        <f>IF('2NGeb'!F48="","",'2NGeb'!F48)</f>
        <v/>
      </c>
      <c r="I804" s="29" t="str">
        <f>IF(T804="","Fehlt",IF(OR(P805&lt;&gt;T805),"Falsch",IF(AND(P804="",T804=""),"",IF(AND(T804&lt;&gt;T806,OR(T804=P804,T804=P806)),"Richtig!","Falsch"))))</f>
        <v>Fehlt</v>
      </c>
      <c r="J804" s="834">
        <f>IF(OR(N804&lt;&gt;"x",AND(P804="",T804="")),"-",IF(I804="Richtig!",1/3,IF(I804="Formel: OK",1/6,IF(OR(I804="Falsch",I804="Fehlt"),0,""))))</f>
        <v>0</v>
      </c>
      <c r="K804" s="23" t="s">
        <v>528</v>
      </c>
      <c r="L804" s="835">
        <f>IF(OR(N804&lt;&gt;"x",AND(P804="",T804="")),"-",1/3)</f>
        <v>0.33333333333333331</v>
      </c>
      <c r="N804" s="882" t="str">
        <f t="shared" si="223"/>
        <v>x</v>
      </c>
      <c r="P804" s="26" t="str">
        <f t="shared" si="221"/>
        <v>Kubatur</v>
      </c>
      <c r="Q804" s="27" t="str">
        <f t="shared" si="216"/>
        <v/>
      </c>
      <c r="R804" s="27" t="str">
        <f t="shared" si="217"/>
        <v/>
      </c>
      <c r="S804" s="1" t="str">
        <f t="shared" si="218"/>
        <v/>
      </c>
      <c r="T804" s="96" t="str">
        <f t="shared" si="219"/>
        <v/>
      </c>
    </row>
    <row r="805" spans="1:20" ht="12.75" x14ac:dyDescent="0.2">
      <c r="A805" s="18"/>
      <c r="B805" s="98" t="s">
        <v>91</v>
      </c>
      <c r="C805" s="42" t="str">
        <f>IF('[1]E-2NGeb'!$C$34="","",'[1]E-2NGeb'!$C$34)</f>
        <v>Ma</v>
      </c>
      <c r="D805" s="26" t="str">
        <f>IF('[1]E-2NGeb'!H48="","",'[1]E-2NGeb'!H48)</f>
        <v>x</v>
      </c>
      <c r="E805" s="27"/>
      <c r="F805" s="27"/>
      <c r="H805" s="96" t="str">
        <f>IF('2NGeb'!H48="","",'2NGeb'!H48)</f>
        <v/>
      </c>
      <c r="I805" s="29" t="str">
        <f>IF(AND(P805="",T805=""),"",IF(T805=P805,"Richtig!",IF(T805="","Fehlt","Falsch")))</f>
        <v>Fehlt</v>
      </c>
      <c r="J805" s="834">
        <f>IF(OR(N805&lt;&gt;"x",AND(P805="",T805="")),"-",IF(I805="Richtig!",1/3,IF(I805="Formel: OK",1/6,IF(OR(I805="Falsch",I805="Fehlt"),0,""))))</f>
        <v>0</v>
      </c>
      <c r="K805" s="23" t="s">
        <v>528</v>
      </c>
      <c r="L805" s="835">
        <f>IF(OR(N805&lt;&gt;"x",AND(P805="",T805="")),"-",1/3)</f>
        <v>0.33333333333333331</v>
      </c>
      <c r="N805" s="882" t="str">
        <f t="shared" si="223"/>
        <v>x</v>
      </c>
      <c r="P805" s="26" t="str">
        <f t="shared" si="221"/>
        <v>x</v>
      </c>
      <c r="Q805" s="27" t="str">
        <f t="shared" si="216"/>
        <v/>
      </c>
      <c r="R805" s="27" t="str">
        <f t="shared" si="217"/>
        <v/>
      </c>
      <c r="S805" s="1" t="str">
        <f t="shared" si="218"/>
        <v/>
      </c>
      <c r="T805" s="96" t="str">
        <f t="shared" si="219"/>
        <v/>
      </c>
    </row>
    <row r="806" spans="1:20" ht="12.75" x14ac:dyDescent="0.2">
      <c r="A806" s="18"/>
      <c r="B806" s="3" t="s">
        <v>92</v>
      </c>
      <c r="C806" s="42" t="str">
        <f>IF('[1]E-2NGeb'!$C$34="","",'[1]E-2NGeb'!$C$34)</f>
        <v>Ma</v>
      </c>
      <c r="D806" s="26" t="str">
        <f>IF('[1]E-2NGeb'!J48="","",'[1]E-2NGeb'!J48)</f>
        <v>red. BK-Richtsatz</v>
      </c>
      <c r="E806" s="27"/>
      <c r="F806" s="27"/>
      <c r="H806" s="96" t="str">
        <f>IF('2NGeb'!J48="","",'2NGeb'!J48)</f>
        <v/>
      </c>
      <c r="I806" s="29" t="str">
        <f>IF(T806="","Fehlt",IF(OR(P805&lt;&gt;T805),"Falsch",IF(AND(P806="",T806=""),"",IF(AND(T806&lt;&gt;T804,OR(T806=P804,T806=P806)),"Richtig!","Falsch"))))</f>
        <v>Fehlt</v>
      </c>
      <c r="J806" s="834">
        <f>IF(OR(N806&lt;&gt;"x",AND(P806="",T806="")),"-",IF(I806="Richtig!",1/3,IF(I806="Formel: OK",1/6,IF(OR(I806="Falsch",I806="Fehlt"),0,""))))</f>
        <v>0</v>
      </c>
      <c r="K806" s="23" t="s">
        <v>528</v>
      </c>
      <c r="L806" s="835">
        <f>IF(OR(N806&lt;&gt;"x",AND(P806="",T806="")),"-",1/3)</f>
        <v>0.33333333333333331</v>
      </c>
      <c r="N806" s="882" t="str">
        <f t="shared" si="223"/>
        <v>x</v>
      </c>
      <c r="P806" s="26" t="str">
        <f t="shared" si="221"/>
        <v>red. BK-Richtsatz</v>
      </c>
      <c r="Q806" s="27" t="str">
        <f t="shared" si="216"/>
        <v/>
      </c>
      <c r="R806" s="27" t="str">
        <f t="shared" si="217"/>
        <v/>
      </c>
      <c r="S806" s="1" t="str">
        <f t="shared" si="218"/>
        <v/>
      </c>
      <c r="T806" s="96" t="str">
        <f t="shared" si="219"/>
        <v/>
      </c>
    </row>
    <row r="807" spans="1:20" ht="12.75" x14ac:dyDescent="0.2">
      <c r="A807" s="18"/>
      <c r="B807" s="92" t="str">
        <f>'[1]E-2NGeb'!P17&amp;" Wiederbeschaffungswert"</f>
        <v>Ergebnis Wiederbeschaffungswert</v>
      </c>
      <c r="C807" s="42" t="str">
        <f>IF('[1]E-2NGeb'!$C$34="","",'[1]E-2NGeb'!$C$34)</f>
        <v>Ma</v>
      </c>
      <c r="D807" s="31">
        <f>IF('[1]E-2NGeb'!F51="","",'[1]E-2NGeb'!F51)</f>
        <v>26560.800000000003</v>
      </c>
      <c r="E807" s="27"/>
      <c r="F807" s="32" t="str">
        <f>IF(OR(H796="",'2NGeb'!F45=""),"-",H796*'2NGeb'!F45)</f>
        <v>-</v>
      </c>
      <c r="H807" s="97" t="str">
        <f>IF('2NGeb'!F51="","",'2NGeb'!F51)</f>
        <v/>
      </c>
      <c r="I807" s="29" t="str">
        <f>IF(AND(P807="",T807=""),"",IF(T807=P807,"Richtig!",IF(T807="","Fehlt","Falsch")))</f>
        <v>Fehlt</v>
      </c>
      <c r="J807" s="30">
        <f>IF(OR($N807&lt;&gt;"x",AND(P807="",T807="")),"-",IF(I807="Richtig!",1,IF(I807="Formel: OK",0.5,IF(OR(I807="Falsch",I807="Fehlt"),0,""))))</f>
        <v>0</v>
      </c>
      <c r="K807" s="23" t="s">
        <v>528</v>
      </c>
      <c r="L807" s="24">
        <f>IF(OR($N807&lt;&gt;"x",AND(P807="",T807="")),"-",1)</f>
        <v>1</v>
      </c>
      <c r="N807" s="882" t="str">
        <f t="shared" si="223"/>
        <v>x</v>
      </c>
      <c r="P807" s="31">
        <f t="shared" si="221"/>
        <v>26560.799999999999</v>
      </c>
      <c r="Q807" s="27" t="str">
        <f t="shared" si="216"/>
        <v/>
      </c>
      <c r="R807" s="32" t="str">
        <f t="shared" si="217"/>
        <v>-</v>
      </c>
      <c r="S807" s="1" t="str">
        <f t="shared" si="218"/>
        <v/>
      </c>
      <c r="T807" s="97" t="str">
        <f t="shared" si="219"/>
        <v/>
      </c>
    </row>
    <row r="808" spans="1:20" ht="12.75" x14ac:dyDescent="0.2">
      <c r="A808" s="18"/>
      <c r="B808" s="18"/>
      <c r="C808" s="18"/>
      <c r="D808" s="19"/>
      <c r="H808" s="5"/>
      <c r="I808" s="21"/>
      <c r="J808" s="22"/>
      <c r="K808" s="23"/>
      <c r="L808" s="24" t="str">
        <f>IF(AND(P808="",T808=""),"",1)</f>
        <v/>
      </c>
      <c r="N808" s="883" t="str">
        <f t="shared" si="223"/>
        <v>x</v>
      </c>
      <c r="P808" s="19" t="str">
        <f t="shared" si="221"/>
        <v/>
      </c>
      <c r="Q808" s="1" t="str">
        <f t="shared" si="216"/>
        <v/>
      </c>
      <c r="R808" s="1" t="str">
        <f t="shared" si="217"/>
        <v/>
      </c>
      <c r="S808" s="1" t="str">
        <f t="shared" si="218"/>
        <v/>
      </c>
      <c r="T808" s="5" t="str">
        <f t="shared" si="219"/>
        <v/>
      </c>
    </row>
    <row r="809" spans="1:20" ht="12.75" x14ac:dyDescent="0.2">
      <c r="A809" s="17" t="s">
        <v>14</v>
      </c>
      <c r="B809" s="17" t="str">
        <f>IF('[1]E-2NGeb'!N54="","-",'[1]E-2NGeb'!N54)</f>
        <v>Bergeraum (erdlastig)</v>
      </c>
      <c r="C809" s="18"/>
      <c r="D809" s="19"/>
      <c r="H809" s="5"/>
      <c r="I809" s="21"/>
      <c r="J809" s="22"/>
      <c r="K809" s="23"/>
      <c r="L809" s="24" t="str">
        <f>IF(AND(P809="",T809=""),"",1)</f>
        <v/>
      </c>
      <c r="N809" s="880" t="str">
        <f t="shared" si="223"/>
        <v>x</v>
      </c>
      <c r="P809" s="19" t="str">
        <f t="shared" si="221"/>
        <v/>
      </c>
      <c r="Q809" s="1" t="str">
        <f t="shared" si="216"/>
        <v/>
      </c>
      <c r="R809" s="1" t="str">
        <f t="shared" si="217"/>
        <v/>
      </c>
      <c r="S809" s="1" t="str">
        <f t="shared" si="218"/>
        <v/>
      </c>
      <c r="T809" s="5" t="str">
        <f t="shared" si="219"/>
        <v/>
      </c>
    </row>
    <row r="810" spans="1:20" ht="12.75" x14ac:dyDescent="0.2">
      <c r="A810" s="18"/>
      <c r="B810" s="100" t="str">
        <f>'[1]E-2NGeb'!P14&amp;" "&amp;'[1]E-2NGeb'!R61</f>
        <v>Formel Bergeraum (erdlastig)</v>
      </c>
      <c r="C810" s="42" t="str">
        <f>IF('[1]E-2NGeb'!$R$65="","",'[1]E-2NGeb'!$R$65)</f>
        <v>Be</v>
      </c>
      <c r="D810" s="26" t="str">
        <f>IF('[1]E-2NGeb'!Q58="","",'[1]E-2NGeb'!Q58)</f>
        <v>-</v>
      </c>
      <c r="E810" s="27"/>
      <c r="F810" s="27"/>
      <c r="H810" s="96" t="str">
        <f>IF('2NGeb'!Q58="","",'2NGeb'!Q58)</f>
        <v/>
      </c>
      <c r="I810" s="29" t="str">
        <f>IF(AND(P810="",T810=""),"",IF(T810=P810,"Richtig!",IF(T810="","Fehlt","Falsch")))</f>
        <v>Fehlt</v>
      </c>
      <c r="J810" s="30">
        <f>IF(OR($N810&lt;&gt;"x",AND(P810="",T810="")),"-",IF(I810="Richtig!",1,IF(I810="Formel: OK",0.5,IF(OR(I810="Falsch",I810="Fehlt"),0,""))))</f>
        <v>0</v>
      </c>
      <c r="K810" s="23" t="s">
        <v>528</v>
      </c>
      <c r="L810" s="24">
        <f>IF(OR($N810&lt;&gt;"x",AND(P810="",T810="")),"-",1)</f>
        <v>1</v>
      </c>
      <c r="N810" s="882" t="str">
        <f t="shared" si="223"/>
        <v>x</v>
      </c>
      <c r="P810" s="26" t="str">
        <f t="shared" si="221"/>
        <v>-</v>
      </c>
      <c r="Q810" s="27" t="str">
        <f t="shared" si="216"/>
        <v/>
      </c>
      <c r="R810" s="27" t="str">
        <f t="shared" si="217"/>
        <v/>
      </c>
      <c r="S810" s="1" t="str">
        <f t="shared" si="218"/>
        <v/>
      </c>
      <c r="T810" s="96" t="str">
        <f t="shared" si="219"/>
        <v/>
      </c>
    </row>
    <row r="811" spans="1:20" ht="12.75" x14ac:dyDescent="0.2">
      <c r="A811" s="18"/>
      <c r="B811" s="36" t="s">
        <v>95</v>
      </c>
      <c r="C811" s="42" t="str">
        <f>IF('[1]E-2NGeb'!$R$65="","",'[1]E-2NGeb'!$R$65)</f>
        <v>Be</v>
      </c>
      <c r="D811" s="31">
        <f>IF('[1]E-2NGeb'!X67="","",'[1]E-2NGeb'!X67)</f>
        <v>0.67</v>
      </c>
      <c r="E811" s="27"/>
      <c r="F811" s="32" t="str">
        <f>IF(H791="x",0.9,IF(H792="x",0.8,IF(H793="x",0.67,"-")))</f>
        <v>-</v>
      </c>
      <c r="H811" s="97" t="str">
        <f>IF('2NGeb'!X67="","",'2NGeb'!X67)</f>
        <v/>
      </c>
      <c r="I811" s="29" t="str">
        <f>IF(AND(P811="",T811=""),"",IF(T811=P811,"Richtig!",IF(T811="","Fehlt","Falsch")))</f>
        <v>Fehlt</v>
      </c>
      <c r="J811" s="30">
        <f>IF(OR($N811&lt;&gt;"x",AND(P811="",T811="")),"-",IF(I811="Richtig!",1,IF(I811="Formel: OK",0.5,IF(OR(I811="Falsch",I811="Fehlt"),0,""))))</f>
        <v>0</v>
      </c>
      <c r="K811" s="23" t="s">
        <v>528</v>
      </c>
      <c r="L811" s="24">
        <f>IF(OR($N811&lt;&gt;"x",AND(P811="",T811="")),"-",1)</f>
        <v>1</v>
      </c>
      <c r="N811" s="882" t="str">
        <f t="shared" si="223"/>
        <v>x</v>
      </c>
      <c r="P811" s="31">
        <f t="shared" si="221"/>
        <v>0.67</v>
      </c>
      <c r="Q811" s="27" t="str">
        <f t="shared" si="216"/>
        <v/>
      </c>
      <c r="R811" s="32" t="str">
        <f t="shared" si="217"/>
        <v>-</v>
      </c>
      <c r="S811" s="1" t="str">
        <f t="shared" si="218"/>
        <v/>
      </c>
      <c r="T811" s="97" t="str">
        <f t="shared" si="219"/>
        <v/>
      </c>
    </row>
    <row r="812" spans="1:20" ht="12.75" x14ac:dyDescent="0.2">
      <c r="A812" s="18"/>
      <c r="B812" s="92" t="str">
        <f>'[1]E-2NGeb'!P17&amp;" Wiederbeschaffungswert"</f>
        <v>Ergebnis Wiederbeschaffungswert</v>
      </c>
      <c r="C812" s="42" t="str">
        <f>IF('[1]E-2NGeb'!$R$65="","",'[1]E-2NGeb'!$R$65)</f>
        <v>Be</v>
      </c>
      <c r="D812" s="31">
        <f>IF('[1]E-2NGeb'!T69="","",'[1]E-2NGeb'!T69)</f>
        <v>26720.940000000002</v>
      </c>
      <c r="E812" s="27"/>
      <c r="F812" s="32" t="str">
        <f>IF(OR('2NGeb'!X61="",'2NGeb'!T67=""),"-",'2NGeb'!X61*'2NGeb'!T67)</f>
        <v>-</v>
      </c>
      <c r="H812" s="97" t="str">
        <f>IF('2NGeb'!T69="","",'2NGeb'!T69)</f>
        <v/>
      </c>
      <c r="I812" s="29" t="str">
        <f>IF(AND(P812="",T812=""),"",IF(T812=P812,"Richtig!",IF(T812="","Fehlt","Falsch")))</f>
        <v>Fehlt</v>
      </c>
      <c r="J812" s="30">
        <f>IF(OR($N812&lt;&gt;"x",AND(P812="",T812="")),"-",IF(I812="Richtig!",1,IF(I812="Formel: OK",0.5,IF(OR(I812="Falsch",I812="Fehlt"),0,""))))</f>
        <v>0</v>
      </c>
      <c r="K812" s="23" t="s">
        <v>528</v>
      </c>
      <c r="L812" s="24">
        <f>IF(OR($N812&lt;&gt;"x",AND(P812="",T812="")),"-",1)</f>
        <v>1</v>
      </c>
      <c r="N812" s="882" t="str">
        <f t="shared" si="223"/>
        <v>x</v>
      </c>
      <c r="P812" s="31">
        <f t="shared" si="221"/>
        <v>26720.94</v>
      </c>
      <c r="Q812" s="27" t="str">
        <f t="shared" si="216"/>
        <v/>
      </c>
      <c r="R812" s="32" t="str">
        <f t="shared" si="217"/>
        <v>-</v>
      </c>
      <c r="S812" s="1" t="str">
        <f t="shared" si="218"/>
        <v/>
      </c>
      <c r="T812" s="97" t="str">
        <f t="shared" si="219"/>
        <v/>
      </c>
    </row>
    <row r="813" spans="1:20" ht="12.75" x14ac:dyDescent="0.2">
      <c r="A813" s="18"/>
      <c r="B813" s="18"/>
      <c r="C813" s="18"/>
      <c r="D813" s="19"/>
      <c r="H813" s="5"/>
      <c r="I813" s="21" t="str">
        <f>IF(OR(B813="-",AND(P813="",T813="")),"",IF(T813=P813,"Richtig!",IF(T813="","Fehlt","Falsch")))</f>
        <v/>
      </c>
      <c r="J813" s="22" t="str">
        <f>IF(B813="-","",IF(I813="Richtig!",1,IF(I813="Formel: OK",0.5,IF(OR(I813="Falsch",I813="Fehlt"),0,""))))</f>
        <v/>
      </c>
      <c r="K813" s="23"/>
      <c r="L813" s="24" t="str">
        <f>IF(AND(P813="",T813=""),"",1)</f>
        <v/>
      </c>
      <c r="N813" s="883" t="str">
        <f t="shared" si="223"/>
        <v>x</v>
      </c>
      <c r="P813" s="19" t="str">
        <f t="shared" si="221"/>
        <v/>
      </c>
      <c r="Q813" s="1" t="str">
        <f t="shared" si="216"/>
        <v/>
      </c>
      <c r="R813" s="1" t="str">
        <f t="shared" si="217"/>
        <v/>
      </c>
      <c r="S813" s="1" t="str">
        <f t="shared" si="218"/>
        <v/>
      </c>
      <c r="T813" s="5" t="str">
        <f t="shared" si="219"/>
        <v/>
      </c>
    </row>
    <row r="814" spans="1:20" ht="12.75" x14ac:dyDescent="0.2">
      <c r="A814" s="17" t="s">
        <v>17</v>
      </c>
      <c r="B814" s="17" t="str">
        <f>"Afa und Zeitwert: "&amp;'[1]E-2NGeb'!A72</f>
        <v>Afa und Zeitwert: Eingebaute(r) Masthühnerstall (Flachstall)</v>
      </c>
      <c r="C814" s="18"/>
      <c r="D814" s="19"/>
      <c r="H814" s="5"/>
      <c r="I814" s="21" t="str">
        <f>IF(OR(B814="-",AND(P814="",T814="")),"",IF(T814=P814,"Richtig!",IF(T814="","Fehlt","Falsch")))</f>
        <v/>
      </c>
      <c r="J814" s="22" t="str">
        <f>IF(B814="-","",IF(I814="Richtig!",1,IF(I814="Formel: OK",0.5,IF(OR(I814="Falsch",I814="Fehlt"),0,""))))</f>
        <v/>
      </c>
      <c r="K814" s="23"/>
      <c r="L814" s="24" t="str">
        <f>IF(AND(P814="",T814=""),"",1)</f>
        <v/>
      </c>
      <c r="N814" s="880" t="str">
        <f t="shared" si="223"/>
        <v>x</v>
      </c>
      <c r="P814" s="19" t="str">
        <f t="shared" si="221"/>
        <v/>
      </c>
      <c r="Q814" s="1" t="str">
        <f t="shared" si="216"/>
        <v/>
      </c>
      <c r="R814" s="1" t="str">
        <f t="shared" si="217"/>
        <v/>
      </c>
      <c r="S814" s="1" t="str">
        <f t="shared" si="218"/>
        <v/>
      </c>
      <c r="T814" s="5" t="str">
        <f t="shared" si="219"/>
        <v/>
      </c>
    </row>
    <row r="815" spans="1:20" ht="12.75" customHeight="1" x14ac:dyDescent="0.2">
      <c r="B815" s="95" t="str">
        <f>'[1]E-2NGeb'!P14&amp;" "&amp;'[1]E-2NGeb'!B75</f>
        <v>Formel jAfa</v>
      </c>
      <c r="C815" s="42"/>
      <c r="D815" s="19"/>
      <c r="H815" s="5"/>
      <c r="I815" s="29"/>
      <c r="J815" s="22"/>
      <c r="K815" s="23"/>
      <c r="L815" s="24"/>
      <c r="N815" s="880" t="str">
        <f t="shared" si="223"/>
        <v>x</v>
      </c>
      <c r="P815" s="19" t="str">
        <f t="shared" si="221"/>
        <v/>
      </c>
      <c r="Q815" s="1" t="str">
        <f t="shared" si="216"/>
        <v/>
      </c>
      <c r="R815" s="1" t="str">
        <f t="shared" si="217"/>
        <v/>
      </c>
      <c r="S815" s="1" t="str">
        <f t="shared" si="218"/>
        <v/>
      </c>
      <c r="T815" s="5" t="str">
        <f t="shared" si="219"/>
        <v/>
      </c>
    </row>
    <row r="816" spans="1:20" ht="12.75" x14ac:dyDescent="0.2">
      <c r="A816" s="18"/>
      <c r="B816" s="36" t="s">
        <v>90</v>
      </c>
      <c r="C816" s="42" t="str">
        <f>IF('[1]E-2NGeb'!$C$78="","",'[1]E-2NGeb'!$C$78)</f>
        <v>Ma</v>
      </c>
      <c r="D816" s="26" t="str">
        <f>IF('[1]E-2NGeb'!F75="","",'[1]E-2NGeb'!F75)</f>
        <v>WW</v>
      </c>
      <c r="E816" s="27"/>
      <c r="F816" s="27"/>
      <c r="H816" s="96" t="str">
        <f>IF('2NGeb'!F75="","",'2NGeb'!F75)</f>
        <v/>
      </c>
      <c r="I816" s="29" t="str">
        <f>IF(OR(B816="-",AND(P816="",T816="")),"",IF(T816=P816,"Richtig!",IF(T816="","Fehlt","Falsch")))</f>
        <v>Fehlt</v>
      </c>
      <c r="J816" s="834">
        <f>IF(OR(N816&lt;&gt;"x",B816="-"),"-",IF(I816="Richtig!",1/2,IF(I816="Formel: OK",1/4,IF(OR(I816="Falsch",I816="Fehlt"),0,""))))</f>
        <v>0</v>
      </c>
      <c r="K816" s="23" t="s">
        <v>528</v>
      </c>
      <c r="L816" s="24">
        <f>IF(OR(N816&lt;&gt;"x",AND(P816="",T816="")),"-",1/2)</f>
        <v>0.5</v>
      </c>
      <c r="N816" s="882" t="str">
        <f t="shared" si="223"/>
        <v>x</v>
      </c>
      <c r="P816" s="26" t="str">
        <f t="shared" si="221"/>
        <v>WW</v>
      </c>
      <c r="Q816" s="27" t="str">
        <f t="shared" si="216"/>
        <v/>
      </c>
      <c r="R816" s="27" t="str">
        <f t="shared" si="217"/>
        <v/>
      </c>
      <c r="S816" s="1" t="str">
        <f t="shared" si="218"/>
        <v/>
      </c>
      <c r="T816" s="96" t="str">
        <f t="shared" si="219"/>
        <v/>
      </c>
    </row>
    <row r="817" spans="1:20" ht="12.75" x14ac:dyDescent="0.2">
      <c r="A817" s="18"/>
      <c r="B817" s="36" t="s">
        <v>91</v>
      </c>
      <c r="C817" s="42" t="str">
        <f>IF('[1]E-2NGeb'!$C$78="","",'[1]E-2NGeb'!$C$78)</f>
        <v>Ma</v>
      </c>
      <c r="D817" s="26" t="str">
        <f>IF('[1]E-2NGeb'!F78="","",'[1]E-2NGeb'!F78)</f>
        <v>ND</v>
      </c>
      <c r="E817" s="27"/>
      <c r="F817" s="27"/>
      <c r="H817" s="96" t="str">
        <f>IF('2NGeb'!F78="","",'2NGeb'!F78)</f>
        <v/>
      </c>
      <c r="I817" s="29" t="str">
        <f>IF(OR(B817="-",AND(P817="",T817="")),"",IF(T817=P817,"Richtig!",IF(T817="","Fehlt","Falsch")))</f>
        <v>Fehlt</v>
      </c>
      <c r="J817" s="834">
        <f>IF(OR(N817&lt;&gt;"x",B817="-"),"-",IF(I817="Richtig!",1/2,IF(I817="Formel: OK",1/4,IF(OR(I817="Falsch",I817="Fehlt"),0,""))))</f>
        <v>0</v>
      </c>
      <c r="K817" s="23" t="s">
        <v>528</v>
      </c>
      <c r="L817" s="24">
        <f>IF(OR(N817&lt;&gt;"x",AND(P817="",T817="")),"-",1/2)</f>
        <v>0.5</v>
      </c>
      <c r="N817" s="882" t="str">
        <f t="shared" si="223"/>
        <v>x</v>
      </c>
      <c r="P817" s="26" t="str">
        <f t="shared" si="221"/>
        <v>ND</v>
      </c>
      <c r="Q817" s="27" t="str">
        <f t="shared" si="216"/>
        <v/>
      </c>
      <c r="R817" s="27" t="str">
        <f t="shared" si="217"/>
        <v/>
      </c>
      <c r="S817" s="1" t="str">
        <f t="shared" si="218"/>
        <v/>
      </c>
      <c r="T817" s="96" t="str">
        <f t="shared" si="219"/>
        <v/>
      </c>
    </row>
    <row r="818" spans="1:20" ht="12.75" x14ac:dyDescent="0.2">
      <c r="A818" s="18"/>
      <c r="B818" s="92" t="str">
        <f>'[1]E-2NGeb'!$P$17&amp;" "&amp;'[1]E-2NGeb'!B75</f>
        <v>Ergebnis jAfa</v>
      </c>
      <c r="C818" s="42" t="str">
        <f>IF('[1]E-2NGeb'!$C$78="","",'[1]E-2NGeb'!$C$78)</f>
        <v>Ma</v>
      </c>
      <c r="D818" s="31">
        <f>IF('[1]E-2NGeb'!F81="","",'[1]E-2NGeb'!F81)</f>
        <v>856.80000000000007</v>
      </c>
      <c r="E818" s="27"/>
      <c r="F818" s="32" t="str">
        <f>IF(OR(H807="",'2NGeb'!B7=""),"-",H807/'2NGeb'!B7)</f>
        <v>-</v>
      </c>
      <c r="H818" s="97" t="str">
        <f>IF('2NGeb'!F81="","",'2NGeb'!F81)</f>
        <v/>
      </c>
      <c r="I818" s="29" t="str">
        <f>IF(AND(P818="",T818=""),"",IF(T818=P818,"Richtig!",IF(T818="","Fehlt","Falsch")))</f>
        <v>Fehlt</v>
      </c>
      <c r="J818" s="30">
        <f>IF(OR($N818&lt;&gt;"x",AND(P818="",T818="")),"-",IF(I818="Richtig!",1,IF(I818="Formel: OK",0.5,IF(OR(I818="Falsch",I818="Fehlt"),0,""))))</f>
        <v>0</v>
      </c>
      <c r="K818" s="23" t="s">
        <v>528</v>
      </c>
      <c r="L818" s="24">
        <f>IF(OR($N818&lt;&gt;"x",AND(P818="",T818="")),"-",1)</f>
        <v>1</v>
      </c>
      <c r="N818" s="882" t="str">
        <f t="shared" si="223"/>
        <v>x</v>
      </c>
      <c r="P818" s="31">
        <f t="shared" si="221"/>
        <v>856.8</v>
      </c>
      <c r="Q818" s="27" t="str">
        <f t="shared" si="216"/>
        <v/>
      </c>
      <c r="R818" s="32" t="str">
        <f t="shared" si="217"/>
        <v>-</v>
      </c>
      <c r="S818" s="1" t="str">
        <f t="shared" si="218"/>
        <v/>
      </c>
      <c r="T818" s="97" t="str">
        <f t="shared" si="219"/>
        <v/>
      </c>
    </row>
    <row r="819" spans="1:20" ht="12.75" customHeight="1" x14ac:dyDescent="0.2">
      <c r="B819" s="95" t="str">
        <f>'[1]E-2NGeb'!$P$14&amp;" "&amp;'[1]E-2NGeb'!B84</f>
        <v>Formel bAfa</v>
      </c>
      <c r="C819" s="42"/>
      <c r="D819" s="19"/>
      <c r="H819" s="5"/>
      <c r="I819" s="29"/>
      <c r="J819" s="22"/>
      <c r="K819" s="23"/>
      <c r="L819" s="24"/>
      <c r="N819" s="880" t="str">
        <f t="shared" si="223"/>
        <v>x</v>
      </c>
      <c r="P819" s="19" t="str">
        <f t="shared" si="221"/>
        <v/>
      </c>
      <c r="Q819" s="1" t="str">
        <f t="shared" si="216"/>
        <v/>
      </c>
      <c r="R819" s="1" t="str">
        <f t="shared" si="217"/>
        <v/>
      </c>
      <c r="S819" s="1" t="str">
        <f t="shared" si="218"/>
        <v/>
      </c>
      <c r="T819" s="5" t="str">
        <f t="shared" si="219"/>
        <v/>
      </c>
    </row>
    <row r="820" spans="1:20" ht="12.75" x14ac:dyDescent="0.2">
      <c r="A820" s="18"/>
      <c r="B820" s="36" t="s">
        <v>90</v>
      </c>
      <c r="C820" s="42" t="str">
        <f>IF('[1]E-2NGeb'!$C$78="","",'[1]E-2NGeb'!$C$78)</f>
        <v>Ma</v>
      </c>
      <c r="D820" s="26" t="str">
        <f>IF('[1]E-2NGeb'!F84="","",'[1]E-2NGeb'!F84)</f>
        <v>jährl. Afa</v>
      </c>
      <c r="E820" s="27"/>
      <c r="F820" s="27"/>
      <c r="H820" s="96" t="str">
        <f>IF('2NGeb'!F84="","",'2NGeb'!F84)</f>
        <v/>
      </c>
      <c r="I820" s="29" t="str">
        <f>IF(T820="","Fehlt",IF(OR(P821&lt;&gt;T821),"Falsch",IF(AND(P820="",T820=""),"",IF(AND(T820&lt;&gt;T822,OR(T820=P820,T820=P822)),"Richtig!","Falsch"))))</f>
        <v>Fehlt</v>
      </c>
      <c r="J820" s="834">
        <f>IF(OR(N820&lt;&gt;"x",AND(P820="",T820="")),"-",IF(I820="Richtig!",1/3,IF(I820="Formel: OK",1/6,IF(OR(I820="Falsch",I820="Fehlt"),0,""))))</f>
        <v>0</v>
      </c>
      <c r="K820" s="23" t="s">
        <v>528</v>
      </c>
      <c r="L820" s="835">
        <f>IF(OR(N820&lt;&gt;"x",AND(P820="",T820="")),"-",1/3)</f>
        <v>0.33333333333333331</v>
      </c>
      <c r="N820" s="882" t="str">
        <f t="shared" si="223"/>
        <v>x</v>
      </c>
      <c r="P820" s="26" t="str">
        <f t="shared" si="221"/>
        <v>jährl. Afa</v>
      </c>
      <c r="Q820" s="27" t="str">
        <f t="shared" si="216"/>
        <v/>
      </c>
      <c r="R820" s="27" t="str">
        <f t="shared" si="217"/>
        <v/>
      </c>
      <c r="S820" s="1" t="str">
        <f t="shared" si="218"/>
        <v/>
      </c>
      <c r="T820" s="96" t="str">
        <f t="shared" si="219"/>
        <v/>
      </c>
    </row>
    <row r="821" spans="1:20" ht="12.75" x14ac:dyDescent="0.2">
      <c r="A821" s="18"/>
      <c r="B821" s="36" t="s">
        <v>91</v>
      </c>
      <c r="C821" s="42" t="str">
        <f>IF('[1]E-2NGeb'!$C$78="","",'[1]E-2NGeb'!$C$78)</f>
        <v>Ma</v>
      </c>
      <c r="D821" s="26" t="str">
        <f>IF('[1]E-2NGeb'!H84="","",'[1]E-2NGeb'!H84)</f>
        <v>x</v>
      </c>
      <c r="E821" s="27"/>
      <c r="F821" s="27"/>
      <c r="H821" s="96" t="str">
        <f>IF('2NGeb'!H84="","",'2NGeb'!H84)</f>
        <v/>
      </c>
      <c r="I821" s="29" t="str">
        <f>IF(AND(P821="",T821=""),"",IF(T821=P821,"Richtig!",IF(T821="","Fehlt","Falsch")))</f>
        <v>Fehlt</v>
      </c>
      <c r="J821" s="834">
        <f>IF(OR(N821&lt;&gt;"x",AND(P821="",T821="")),"-",IF(I821="Richtig!",1/3,IF(I821="Formel: OK",1/6,IF(OR(I821="Falsch",I821="Fehlt"),0,""))))</f>
        <v>0</v>
      </c>
      <c r="K821" s="23" t="s">
        <v>528</v>
      </c>
      <c r="L821" s="835">
        <f>IF(OR(N821&lt;&gt;"x",AND(P821="",T821="")),"-",1/3)</f>
        <v>0.33333333333333331</v>
      </c>
      <c r="N821" s="882" t="str">
        <f t="shared" si="223"/>
        <v>x</v>
      </c>
      <c r="P821" s="26" t="str">
        <f t="shared" si="221"/>
        <v>x</v>
      </c>
      <c r="Q821" s="27" t="str">
        <f t="shared" si="216"/>
        <v/>
      </c>
      <c r="R821" s="27" t="str">
        <f t="shared" si="217"/>
        <v/>
      </c>
      <c r="S821" s="1" t="str">
        <f t="shared" si="218"/>
        <v/>
      </c>
      <c r="T821" s="96" t="str">
        <f t="shared" si="219"/>
        <v/>
      </c>
    </row>
    <row r="822" spans="1:20" ht="12.75" x14ac:dyDescent="0.2">
      <c r="A822" s="18"/>
      <c r="B822" s="36" t="s">
        <v>92</v>
      </c>
      <c r="C822" s="42" t="str">
        <f>IF('[1]E-2NGeb'!$C$78="","",'[1]E-2NGeb'!$C$78)</f>
        <v>Ma</v>
      </c>
      <c r="D822" s="26" t="str">
        <f>IF('[1]E-2NGeb'!J84="","",'[1]E-2NGeb'!J84)</f>
        <v>Alter</v>
      </c>
      <c r="E822" s="27"/>
      <c r="F822" s="27"/>
      <c r="H822" s="96" t="str">
        <f>IF('2NGeb'!J84="","",'2NGeb'!J84)</f>
        <v/>
      </c>
      <c r="I822" s="29" t="str">
        <f>IF(T822="","Fehlt",IF(OR(P821&lt;&gt;T821),"Falsch",IF(AND(P822="",T822=""),"",IF(AND(T822&lt;&gt;T820,OR(T822=P820,T822=P822)),"Richtig!","Falsch"))))</f>
        <v>Fehlt</v>
      </c>
      <c r="J822" s="834">
        <f>IF(OR(N822&lt;&gt;"x",AND(P822="",T822="")),"-",IF(I822="Richtig!",1/3,IF(I822="Formel: OK",1/6,IF(OR(I822="Falsch",I822="Fehlt"),0,""))))</f>
        <v>0</v>
      </c>
      <c r="K822" s="23" t="s">
        <v>528</v>
      </c>
      <c r="L822" s="835">
        <f>IF(OR(N822&lt;&gt;"x",AND(P822="",T822="")),"-",1/3)</f>
        <v>0.33333333333333331</v>
      </c>
      <c r="N822" s="882" t="str">
        <f t="shared" si="223"/>
        <v>x</v>
      </c>
      <c r="P822" s="26" t="str">
        <f t="shared" si="221"/>
        <v>Alter</v>
      </c>
      <c r="Q822" s="27" t="str">
        <f t="shared" si="216"/>
        <v/>
      </c>
      <c r="R822" s="27" t="str">
        <f t="shared" si="217"/>
        <v/>
      </c>
      <c r="S822" s="1" t="str">
        <f t="shared" si="218"/>
        <v/>
      </c>
      <c r="T822" s="96" t="str">
        <f t="shared" si="219"/>
        <v/>
      </c>
    </row>
    <row r="823" spans="1:20" ht="12.75" x14ac:dyDescent="0.2">
      <c r="A823" s="18"/>
      <c r="B823" s="92" t="str">
        <f>'[1]E-2NGeb'!$P$17&amp;" "&amp;'[1]E-2NGeb'!B84</f>
        <v>Ergebnis bAfa</v>
      </c>
      <c r="C823" s="42" t="str">
        <f>IF('[1]E-2NGeb'!$C$78="","",'[1]E-2NGeb'!$C$78)</f>
        <v>Ma</v>
      </c>
      <c r="D823" s="31">
        <f>IF('[1]E-2NGeb'!F89="","",'[1]E-2NGeb'!F89)</f>
        <v>11138.400000000001</v>
      </c>
      <c r="E823" s="27"/>
      <c r="F823" s="32" t="str">
        <f>IF(OR(H818="",H797=""),"-",H818*H797)</f>
        <v>-</v>
      </c>
      <c r="H823" s="97" t="str">
        <f>IF('2NGeb'!L89&lt;&gt;"","abgeschrieben",IF('2NGeb'!F89="","",'2NGeb'!F89))</f>
        <v/>
      </c>
      <c r="I823" s="29" t="str">
        <f>IF(AND(P823="",T823=""),"",IF(T823=P823,"Richtig!",IF(T823="","Fehlt","Falsch")))</f>
        <v>Fehlt</v>
      </c>
      <c r="J823" s="30">
        <f>IF(OR($N823&lt;&gt;"x",AND(P823="",T823="")),"-",IF(I823="Richtig!",1,IF(I823="Formel: OK",0.5,IF(OR(I823="Falsch",I823="Fehlt"),0,""))))</f>
        <v>0</v>
      </c>
      <c r="K823" s="23" t="s">
        <v>528</v>
      </c>
      <c r="L823" s="24">
        <f>IF(OR($N823&lt;&gt;"x",AND(P823="",T823="")),"-",1)</f>
        <v>1</v>
      </c>
      <c r="N823" s="882" t="str">
        <f t="shared" si="223"/>
        <v>x</v>
      </c>
      <c r="P823" s="31">
        <f t="shared" si="221"/>
        <v>11138.4</v>
      </c>
      <c r="Q823" s="27" t="str">
        <f t="shared" si="216"/>
        <v/>
      </c>
      <c r="R823" s="32" t="str">
        <f t="shared" si="217"/>
        <v>-</v>
      </c>
      <c r="S823" s="1" t="str">
        <f t="shared" si="218"/>
        <v/>
      </c>
      <c r="T823" s="97" t="str">
        <f t="shared" si="219"/>
        <v/>
      </c>
    </row>
    <row r="824" spans="1:20" ht="12.75" customHeight="1" x14ac:dyDescent="0.2">
      <c r="B824" s="95" t="str">
        <f>'[1]E-2NGeb'!$P$14&amp;" "&amp;'[1]E-2NGeb'!B94</f>
        <v>Formel ZW1.1.</v>
      </c>
      <c r="C824" s="42"/>
      <c r="D824" s="19"/>
      <c r="H824" s="5"/>
      <c r="I824" s="29"/>
      <c r="J824" s="22"/>
      <c r="K824" s="23"/>
      <c r="L824" s="24"/>
      <c r="N824" s="880" t="str">
        <f t="shared" si="223"/>
        <v>x</v>
      </c>
      <c r="P824" s="19" t="str">
        <f t="shared" si="221"/>
        <v/>
      </c>
      <c r="Q824" s="1" t="str">
        <f t="shared" si="216"/>
        <v/>
      </c>
      <c r="R824" s="1" t="str">
        <f t="shared" si="217"/>
        <v/>
      </c>
      <c r="S824" s="1" t="str">
        <f t="shared" si="218"/>
        <v/>
      </c>
      <c r="T824" s="5" t="str">
        <f t="shared" si="219"/>
        <v/>
      </c>
    </row>
    <row r="825" spans="1:20" ht="12.75" x14ac:dyDescent="0.2">
      <c r="A825" s="18"/>
      <c r="B825" s="36" t="s">
        <v>90</v>
      </c>
      <c r="C825" s="42" t="str">
        <f>IF('[1]E-2NGeb'!$C$78="","",'[1]E-2NGeb'!$C$78)</f>
        <v>Ma</v>
      </c>
      <c r="D825" s="26" t="str">
        <f>IF('[1]E-2NGeb'!F94="","",'[1]E-2NGeb'!F94)</f>
        <v>WW</v>
      </c>
      <c r="E825" s="27"/>
      <c r="F825" s="27"/>
      <c r="H825" s="96" t="str">
        <f>IF('2NGeb'!F94="","",'2NGeb'!F94)</f>
        <v/>
      </c>
      <c r="I825" s="29" t="str">
        <f>IF(T825="","Fehlt",IF(P826&lt;&gt;T826,"Falsch",IF(AND(P825="",T825=""),"",IF(T825=P825,"Richtig!","Falsch"))))</f>
        <v>Fehlt</v>
      </c>
      <c r="J825" s="834">
        <f>IF(OR(N825&lt;&gt;"x",AND(P825="",T825="")),"-",IF(I825="Richtig!",1/3,IF(I825="Formel: OK",1/6,IF(OR(I825="Falsch",I825="Fehlt"),0,""))))</f>
        <v>0</v>
      </c>
      <c r="K825" s="23" t="s">
        <v>528</v>
      </c>
      <c r="L825" s="835">
        <f>IF(OR(N825&lt;&gt;"x",AND(P825="",T825="")),"-",1/3)</f>
        <v>0.33333333333333331</v>
      </c>
      <c r="N825" s="882" t="str">
        <f t="shared" si="223"/>
        <v>x</v>
      </c>
      <c r="P825" s="26" t="str">
        <f t="shared" si="221"/>
        <v>WW</v>
      </c>
      <c r="Q825" s="27" t="str">
        <f t="shared" si="216"/>
        <v/>
      </c>
      <c r="R825" s="27" t="str">
        <f t="shared" si="217"/>
        <v/>
      </c>
      <c r="S825" s="1" t="str">
        <f t="shared" si="218"/>
        <v/>
      </c>
      <c r="T825" s="96" t="str">
        <f t="shared" si="219"/>
        <v/>
      </c>
    </row>
    <row r="826" spans="1:20" ht="12.75" x14ac:dyDescent="0.2">
      <c r="A826" s="18"/>
      <c r="B826" s="36" t="s">
        <v>91</v>
      </c>
      <c r="C826" s="42" t="str">
        <f>IF('[1]E-2NGeb'!$C$78="","",'[1]E-2NGeb'!$C$78)</f>
        <v>Ma</v>
      </c>
      <c r="D826" s="26" t="str">
        <f>IF('[1]E-2NGeb'!H94="","",'[1]E-2NGeb'!H94)</f>
        <v>-</v>
      </c>
      <c r="E826" s="27"/>
      <c r="F826" s="27"/>
      <c r="H826" s="96" t="str">
        <f>IF('2NGeb'!H94="","",'2NGeb'!H94)</f>
        <v/>
      </c>
      <c r="I826" s="29" t="str">
        <f>IF(AND(P826="",T826=""),"",IF(T826=P826,"Richtig!",IF(T826="","Fehlt","Falsch")))</f>
        <v>Fehlt</v>
      </c>
      <c r="J826" s="834">
        <f>IF(OR(N826&lt;&gt;"x",AND(P826="",T826="")),"-",IF(I826="Richtig!",1/3,IF(I826="Formel: OK",1/6,IF(OR(I826="Falsch",I826="Fehlt"),0,""))))</f>
        <v>0</v>
      </c>
      <c r="K826" s="23" t="s">
        <v>528</v>
      </c>
      <c r="L826" s="835">
        <f>IF(OR(N826&lt;&gt;"x",AND(P826="",T826="")),"-",1/3)</f>
        <v>0.33333333333333331</v>
      </c>
      <c r="N826" s="882" t="str">
        <f t="shared" si="223"/>
        <v>x</v>
      </c>
      <c r="P826" s="26" t="str">
        <f t="shared" si="221"/>
        <v>-</v>
      </c>
      <c r="Q826" s="27" t="str">
        <f t="shared" si="216"/>
        <v/>
      </c>
      <c r="R826" s="27" t="str">
        <f t="shared" si="217"/>
        <v/>
      </c>
      <c r="S826" s="1" t="str">
        <f t="shared" si="218"/>
        <v/>
      </c>
      <c r="T826" s="96" t="str">
        <f t="shared" si="219"/>
        <v/>
      </c>
    </row>
    <row r="827" spans="1:20" ht="12.75" x14ac:dyDescent="0.2">
      <c r="A827" s="18"/>
      <c r="B827" s="36" t="s">
        <v>92</v>
      </c>
      <c r="C827" s="42" t="str">
        <f>IF('[1]E-2NGeb'!$C$78="","",'[1]E-2NGeb'!$C$78)</f>
        <v>Ma</v>
      </c>
      <c r="D827" s="26" t="str">
        <f>IF('[1]E-2NGeb'!J94="","",'[1]E-2NGeb'!J94)</f>
        <v>bish. Afa</v>
      </c>
      <c r="E827" s="27"/>
      <c r="F827" s="27"/>
      <c r="H827" s="96" t="str">
        <f>IF('2NGeb'!J94="","",'2NGeb'!J94)</f>
        <v/>
      </c>
      <c r="I827" s="29" t="str">
        <f>IF(T827="","Fehlt",IF(P826&lt;&gt;T826,"Falsch",IF(AND(P827="",T827=""),"",IF(T827=P827,"Richtig!","Falsch"))))</f>
        <v>Fehlt</v>
      </c>
      <c r="J827" s="834">
        <f>IF(OR(N827&lt;&gt;"x",AND(P827="",T827="")),"-",IF(I827="Richtig!",1/3,IF(I827="Formel: OK",1/6,IF(OR(I827="Falsch",I827="Fehlt"),0,""))))</f>
        <v>0</v>
      </c>
      <c r="K827" s="23" t="s">
        <v>528</v>
      </c>
      <c r="L827" s="835">
        <f>IF(OR(N827&lt;&gt;"x",AND(P827="",T827="")),"-",1/3)</f>
        <v>0.33333333333333331</v>
      </c>
      <c r="N827" s="882" t="str">
        <f t="shared" si="223"/>
        <v>x</v>
      </c>
      <c r="P827" s="26" t="str">
        <f t="shared" si="221"/>
        <v>bish. Afa</v>
      </c>
      <c r="Q827" s="27" t="str">
        <f t="shared" si="216"/>
        <v/>
      </c>
      <c r="R827" s="27" t="str">
        <f t="shared" si="217"/>
        <v/>
      </c>
      <c r="S827" s="1" t="str">
        <f t="shared" si="218"/>
        <v/>
      </c>
      <c r="T827" s="96" t="str">
        <f t="shared" si="219"/>
        <v/>
      </c>
    </row>
    <row r="828" spans="1:20" ht="12.75" x14ac:dyDescent="0.2">
      <c r="A828" s="18"/>
      <c r="B828" s="92" t="str">
        <f>'[1]E-2NGeb'!$P$17&amp;" "&amp;'[1]E-2NGeb'!B94</f>
        <v>Ergebnis ZW1.1.</v>
      </c>
      <c r="C828" s="42" t="str">
        <f>IF('[1]E-2NGeb'!$C$78="","",'[1]E-2NGeb'!$C$78)</f>
        <v>Ma</v>
      </c>
      <c r="D828" s="31">
        <f>IF('[1]E-2NGeb'!F97="","",'[1]E-2NGeb'!F97)</f>
        <v>15422.400000000001</v>
      </c>
      <c r="E828" s="27"/>
      <c r="F828" s="32" t="str">
        <f>IF(OR(H807="",H823="",H823="abgeschrieben"),"-",H807-H823)</f>
        <v>-</v>
      </c>
      <c r="H828" s="97" t="str">
        <f>IF('2NGeb'!F97="","",'2NGeb'!F97)</f>
        <v/>
      </c>
      <c r="I828" s="29" t="str">
        <f>IF(AND(P828="",T828=""),"",IF(T828=P828,"Richtig!",IF(T828="","Fehlt","Falsch")))</f>
        <v>Fehlt</v>
      </c>
      <c r="J828" s="30">
        <f>IF(OR($N828&lt;&gt;"x",AND(P828="",T828="")),"-",IF(I828="Richtig!",1,IF(I828="Formel: OK",0.5,IF(OR(I828="Falsch",I828="Fehlt"),0,""))))</f>
        <v>0</v>
      </c>
      <c r="K828" s="23" t="s">
        <v>528</v>
      </c>
      <c r="L828" s="24">
        <f>IF(OR($N828&lt;&gt;"x",AND(P828="",T828="")),"-",1)</f>
        <v>1</v>
      </c>
      <c r="N828" s="882" t="str">
        <f t="shared" si="223"/>
        <v>x</v>
      </c>
      <c r="P828" s="31">
        <f t="shared" si="221"/>
        <v>15422.4</v>
      </c>
      <c r="Q828" s="27" t="str">
        <f t="shared" si="216"/>
        <v/>
      </c>
      <c r="R828" s="32" t="str">
        <f t="shared" si="217"/>
        <v>-</v>
      </c>
      <c r="S828" s="1" t="str">
        <f t="shared" si="218"/>
        <v/>
      </c>
      <c r="T828" s="97" t="str">
        <f t="shared" si="219"/>
        <v/>
      </c>
    </row>
    <row r="829" spans="1:20" ht="12.75" customHeight="1" x14ac:dyDescent="0.2">
      <c r="B829" s="95" t="str">
        <f>'[1]E-2NGeb'!$P$14&amp;" "&amp;'[1]E-2NGeb'!B100</f>
        <v>Formel ZW31.12.</v>
      </c>
      <c r="C829" s="42"/>
      <c r="D829" s="19"/>
      <c r="H829" s="5"/>
      <c r="I829" s="29"/>
      <c r="J829" s="22"/>
      <c r="K829" s="23"/>
      <c r="L829" s="24"/>
      <c r="N829" s="880" t="str">
        <f t="shared" si="223"/>
        <v>x</v>
      </c>
      <c r="P829" s="19" t="str">
        <f t="shared" si="221"/>
        <v/>
      </c>
      <c r="Q829" s="1" t="str">
        <f t="shared" si="216"/>
        <v/>
      </c>
      <c r="R829" s="1" t="str">
        <f t="shared" si="217"/>
        <v/>
      </c>
      <c r="S829" s="1" t="str">
        <f t="shared" si="218"/>
        <v/>
      </c>
      <c r="T829" s="5" t="str">
        <f t="shared" si="219"/>
        <v/>
      </c>
    </row>
    <row r="830" spans="1:20" ht="12.75" x14ac:dyDescent="0.2">
      <c r="A830" s="18"/>
      <c r="B830" s="36" t="s">
        <v>90</v>
      </c>
      <c r="C830" s="42" t="str">
        <f>IF('[1]E-2NGeb'!$C$78="","",'[1]E-2NGeb'!$C$78)</f>
        <v>Ma</v>
      </c>
      <c r="D830" s="26" t="str">
        <f>IF('[1]E-2NGeb'!F100="","",'[1]E-2NGeb'!F100)</f>
        <v>ZW1.1.</v>
      </c>
      <c r="E830" s="27"/>
      <c r="F830" s="27"/>
      <c r="H830" s="96" t="str">
        <f>IF('2NGeb'!F100="","",'2NGeb'!F100)</f>
        <v/>
      </c>
      <c r="I830" s="29" t="str">
        <f>IF(T830="","Fehlt",IF(P831&lt;&gt;T831,"Falsch",IF(AND(P830="",T830=""),"",IF(T830=P830,"Richtig!","Falsch"))))</f>
        <v>Fehlt</v>
      </c>
      <c r="J830" s="834">
        <f>IF(OR(N830&lt;&gt;"x",AND(P830="",T830="")),"-",IF(I830="Richtig!",1/3,IF(I830="Formel: OK",1/6,IF(OR(I830="Falsch",I830="Fehlt"),0,""))))</f>
        <v>0</v>
      </c>
      <c r="K830" s="23" t="s">
        <v>528</v>
      </c>
      <c r="L830" s="835">
        <f>IF(OR(N830&lt;&gt;"x",AND(P830="",T830="")),"-",1/3)</f>
        <v>0.33333333333333331</v>
      </c>
      <c r="N830" s="882" t="str">
        <f t="shared" si="223"/>
        <v>x</v>
      </c>
      <c r="P830" s="26" t="str">
        <f t="shared" si="221"/>
        <v>ZW1.1.</v>
      </c>
      <c r="Q830" s="27" t="str">
        <f t="shared" si="216"/>
        <v/>
      </c>
      <c r="R830" s="27" t="str">
        <f t="shared" si="217"/>
        <v/>
      </c>
      <c r="S830" s="1" t="str">
        <f t="shared" si="218"/>
        <v/>
      </c>
      <c r="T830" s="96" t="str">
        <f t="shared" si="219"/>
        <v/>
      </c>
    </row>
    <row r="831" spans="1:20" ht="12.75" x14ac:dyDescent="0.2">
      <c r="A831" s="18"/>
      <c r="B831" s="36" t="s">
        <v>91</v>
      </c>
      <c r="C831" s="42" t="str">
        <f>IF('[1]E-2NGeb'!$C$78="","",'[1]E-2NGeb'!$C$78)</f>
        <v>Ma</v>
      </c>
      <c r="D831" s="26" t="str">
        <f>IF('[1]E-2NGeb'!H100="","",'[1]E-2NGeb'!H100)</f>
        <v>-</v>
      </c>
      <c r="E831" s="27"/>
      <c r="F831" s="27"/>
      <c r="H831" s="96" t="str">
        <f>IF('2NGeb'!H100="","",'2NGeb'!H100)</f>
        <v/>
      </c>
      <c r="I831" s="29" t="str">
        <f>IF(AND(P831="",T831=""),"",IF(T831=P831,"Richtig!",IF(T831="","Fehlt","Falsch")))</f>
        <v>Fehlt</v>
      </c>
      <c r="J831" s="834">
        <f>IF(OR(N831&lt;&gt;"x",AND(P831="",T831="")),"-",IF(I831="Richtig!",1/3,IF(I831="Formel: OK",1/6,IF(OR(I831="Falsch",I831="Fehlt"),0,""))))</f>
        <v>0</v>
      </c>
      <c r="K831" s="23" t="s">
        <v>528</v>
      </c>
      <c r="L831" s="835">
        <f>IF(OR(N831&lt;&gt;"x",AND(P831="",T831="")),"-",1/3)</f>
        <v>0.33333333333333331</v>
      </c>
      <c r="N831" s="882" t="str">
        <f t="shared" si="223"/>
        <v>x</v>
      </c>
      <c r="P831" s="26" t="str">
        <f t="shared" si="221"/>
        <v>-</v>
      </c>
      <c r="Q831" s="27" t="str">
        <f t="shared" si="216"/>
        <v/>
      </c>
      <c r="R831" s="27" t="str">
        <f t="shared" si="217"/>
        <v/>
      </c>
      <c r="S831" s="1" t="str">
        <f t="shared" si="218"/>
        <v/>
      </c>
      <c r="T831" s="96" t="str">
        <f t="shared" si="219"/>
        <v/>
      </c>
    </row>
    <row r="832" spans="1:20" ht="12.75" x14ac:dyDescent="0.2">
      <c r="A832" s="18"/>
      <c r="B832" s="36" t="s">
        <v>92</v>
      </c>
      <c r="C832" s="42" t="str">
        <f>IF('[1]E-2NGeb'!$C$78="","",'[1]E-2NGeb'!$C$78)</f>
        <v>Ma</v>
      </c>
      <c r="D832" s="26" t="str">
        <f>IF('[1]E-2NGeb'!J100="","",'[1]E-2NGeb'!J100)</f>
        <v>jährl. Afa</v>
      </c>
      <c r="E832" s="27"/>
      <c r="F832" s="27"/>
      <c r="H832" s="96" t="str">
        <f>IF('2NGeb'!J100="","",'2NGeb'!J100)</f>
        <v/>
      </c>
      <c r="I832" s="29" t="str">
        <f>IF(T832="","Fehlt",IF(P831&lt;&gt;T831,"Falsch",IF(AND(P832="",T832=""),"",IF(T832=P832,"Richtig!","Falsch"))))</f>
        <v>Fehlt</v>
      </c>
      <c r="J832" s="834">
        <f>IF(OR(N832&lt;&gt;"x",AND(P832="",T832="")),"-",IF(I832="Richtig!",1/3,IF(I832="Formel: OK",1/6,IF(OR(I832="Falsch",I832="Fehlt"),0,""))))</f>
        <v>0</v>
      </c>
      <c r="K832" s="23" t="s">
        <v>528</v>
      </c>
      <c r="L832" s="835">
        <f>IF(OR(N832&lt;&gt;"x",AND(P832="",T832="")),"-",1/3)</f>
        <v>0.33333333333333331</v>
      </c>
      <c r="N832" s="882" t="str">
        <f t="shared" si="223"/>
        <v>x</v>
      </c>
      <c r="P832" s="26" t="str">
        <f t="shared" si="221"/>
        <v>jährl. Afa</v>
      </c>
      <c r="Q832" s="27" t="str">
        <f t="shared" si="216"/>
        <v/>
      </c>
      <c r="R832" s="27" t="str">
        <f t="shared" si="217"/>
        <v/>
      </c>
      <c r="S832" s="1" t="str">
        <f t="shared" si="218"/>
        <v/>
      </c>
      <c r="T832" s="96" t="str">
        <f t="shared" si="219"/>
        <v/>
      </c>
    </row>
    <row r="833" spans="1:20" ht="12.75" x14ac:dyDescent="0.2">
      <c r="A833" s="18"/>
      <c r="B833" s="92" t="str">
        <f>'[1]E-2NGeb'!$P$17&amp;" "&amp;'[1]E-2NGeb'!B100</f>
        <v>Ergebnis ZW31.12.</v>
      </c>
      <c r="C833" s="42" t="str">
        <f>IF('[1]E-2NGeb'!$C$78="","",'[1]E-2NGeb'!$C$78)</f>
        <v>Ma</v>
      </c>
      <c r="D833" s="31">
        <f>IF('[1]E-2NGeb'!F103="","",'[1]E-2NGeb'!F103)</f>
        <v>14565.600000000002</v>
      </c>
      <c r="E833" s="27"/>
      <c r="F833" s="32" t="str">
        <f>IF(OR(H828="",H818=""),"-",H828-H818)</f>
        <v>-</v>
      </c>
      <c r="H833" s="97" t="str">
        <f>IF('2NGeb'!F103="","",'2NGeb'!F103)</f>
        <v/>
      </c>
      <c r="I833" s="29" t="str">
        <f>IF(AND(P833="",T833=""),"",IF(T833=P833,"Richtig!",IF(T833="","Fehlt","Falsch")))</f>
        <v>Fehlt</v>
      </c>
      <c r="J833" s="30">
        <f>IF(OR($N833&lt;&gt;"x",AND(P833="",T833="")),"-",IF(I833="Richtig!",1,IF(I833="Formel: OK",0.5,IF(OR(I833="Falsch",I833="Fehlt"),0,""))))</f>
        <v>0</v>
      </c>
      <c r="K833" s="23" t="s">
        <v>528</v>
      </c>
      <c r="L833" s="24">
        <f>IF(OR($N833&lt;&gt;"x",AND(P833="",T833="")),"-",1)</f>
        <v>1</v>
      </c>
      <c r="N833" s="882" t="str">
        <f t="shared" si="223"/>
        <v>x</v>
      </c>
      <c r="P833" s="31">
        <f t="shared" si="221"/>
        <v>14565.6</v>
      </c>
      <c r="Q833" s="27" t="str">
        <f t="shared" si="216"/>
        <v/>
      </c>
      <c r="R833" s="32" t="str">
        <f t="shared" si="217"/>
        <v>-</v>
      </c>
      <c r="S833" s="1" t="str">
        <f t="shared" si="218"/>
        <v/>
      </c>
      <c r="T833" s="97" t="str">
        <f t="shared" si="219"/>
        <v/>
      </c>
    </row>
    <row r="834" spans="1:20" ht="12.75" customHeight="1" x14ac:dyDescent="0.2">
      <c r="B834" s="25"/>
      <c r="C834" s="42"/>
      <c r="D834" s="19"/>
      <c r="H834" s="5"/>
      <c r="I834" s="29" t="str">
        <f>IF(OR(B834="-",AND(P834="",T834="")),"",IF(T834=P834,"Richtig!",IF(T834="","Fehlt","Falsch")))</f>
        <v/>
      </c>
      <c r="J834" s="22" t="str">
        <f>IF(AND(P834="",T834=""),"",IF(I834="Richtig!",1,IF(I834="Formel: OK",0.5,IF(OR(I834="Falsch",I834="Fehlt"),0,""))))</f>
        <v/>
      </c>
      <c r="K834" s="23"/>
      <c r="L834" s="24" t="str">
        <f>IF(AND(P834="",T834=""),"",1)</f>
        <v/>
      </c>
      <c r="N834" s="883" t="str">
        <f t="shared" si="223"/>
        <v>x</v>
      </c>
      <c r="P834" s="19" t="str">
        <f t="shared" si="221"/>
        <v/>
      </c>
      <c r="Q834" s="1" t="str">
        <f t="shared" si="216"/>
        <v/>
      </c>
      <c r="R834" s="1" t="str">
        <f t="shared" si="217"/>
        <v/>
      </c>
      <c r="S834" s="1" t="str">
        <f t="shared" si="218"/>
        <v/>
      </c>
      <c r="T834" s="5" t="str">
        <f t="shared" si="219"/>
        <v/>
      </c>
    </row>
    <row r="835" spans="1:20" ht="12.75" x14ac:dyDescent="0.2">
      <c r="A835" s="17" t="s">
        <v>19</v>
      </c>
      <c r="B835" s="17" t="str">
        <f>"Afa und Zeitwert: "&amp;'[1]E-2NGeb'!N72</f>
        <v>Afa und Zeitwert: Bergeraum (erdlastig)</v>
      </c>
      <c r="C835" s="18"/>
      <c r="D835" s="19"/>
      <c r="H835" s="5"/>
      <c r="I835" s="21" t="str">
        <f>IF(OR(B835="-",AND(P835="",T835="")),"",IF(T835=P835,"Richtig!",IF(T835="","Fehlt","Falsch")))</f>
        <v/>
      </c>
      <c r="J835" s="22" t="str">
        <f>IF(AND(P835="",T835=""),"",IF(I835="Richtig!",1,IF(I835="Formel: OK",0.5,IF(OR(I835="Falsch",I835="Fehlt"),0,""))))</f>
        <v/>
      </c>
      <c r="K835" s="23"/>
      <c r="L835" s="24" t="str">
        <f>IF(AND(P835="",T835=""),"",1)</f>
        <v/>
      </c>
      <c r="N835" s="880" t="str">
        <f t="shared" si="223"/>
        <v>x</v>
      </c>
      <c r="P835" s="19" t="str">
        <f t="shared" si="221"/>
        <v/>
      </c>
      <c r="Q835" s="1" t="str">
        <f t="shared" si="216"/>
        <v/>
      </c>
      <c r="R835" s="1" t="str">
        <f t="shared" si="217"/>
        <v/>
      </c>
      <c r="S835" s="1" t="str">
        <f t="shared" si="218"/>
        <v/>
      </c>
      <c r="T835" s="5" t="str">
        <f t="shared" si="219"/>
        <v/>
      </c>
    </row>
    <row r="836" spans="1:20" ht="12.75" x14ac:dyDescent="0.2">
      <c r="A836" s="18"/>
      <c r="B836" s="92" t="str">
        <f>'[1]E-2NGeb'!$P$17&amp;" "&amp;'[1]E-2NGeb'!Q81</f>
        <v>Ergebnis jAfa</v>
      </c>
      <c r="C836" s="42" t="str">
        <f>IF('[1]E-2NGeb'!$R$81="","",'[1]E-2NGeb'!$R$81)</f>
        <v>Be</v>
      </c>
      <c r="D836" s="31">
        <f>IF('[1]E-2NGeb'!T81="","",'[1]E-2NGeb'!T81)</f>
        <v>861.96580645161293</v>
      </c>
      <c r="E836" s="27"/>
      <c r="F836" s="32" t="str">
        <f>IF(OR(H812="",'2NGeb'!B7=""),"-",H812/'2NGeb'!B7)</f>
        <v>-</v>
      </c>
      <c r="H836" s="97" t="str">
        <f>IF('2NGeb'!T81="","",'2NGeb'!T81)</f>
        <v/>
      </c>
      <c r="I836" s="29" t="str">
        <f>IF(AND(P836="",T836=""),"",IF(T836=P836,"Richtig!",IF(T836="","Fehlt","Falsch")))</f>
        <v>Fehlt</v>
      </c>
      <c r="J836" s="30">
        <f>IF(OR($N836&lt;&gt;"x",AND(P836="",T836="")),"-",IF(I836="Richtig!",1,IF(I836="Formel: OK",0.5,IF(OR(I836="Falsch",I836="Fehlt"),0,""))))</f>
        <v>0</v>
      </c>
      <c r="K836" s="23" t="s">
        <v>528</v>
      </c>
      <c r="L836" s="24">
        <f>IF(OR($N836&lt;&gt;"x",AND(P836="",T836="")),"-",1)</f>
        <v>1</v>
      </c>
      <c r="N836" s="882" t="str">
        <f t="shared" si="223"/>
        <v>x</v>
      </c>
      <c r="P836" s="31">
        <f t="shared" si="221"/>
        <v>861.96581000000003</v>
      </c>
      <c r="Q836" s="27" t="str">
        <f t="shared" si="216"/>
        <v/>
      </c>
      <c r="R836" s="32" t="str">
        <f t="shared" si="217"/>
        <v>-</v>
      </c>
      <c r="S836" s="1" t="str">
        <f t="shared" si="218"/>
        <v/>
      </c>
      <c r="T836" s="97" t="str">
        <f t="shared" si="219"/>
        <v/>
      </c>
    </row>
    <row r="837" spans="1:20" ht="12.75" x14ac:dyDescent="0.2">
      <c r="A837" s="18"/>
      <c r="B837" s="92" t="str">
        <f>'[1]E-2NGeb'!$P$17&amp;" "&amp;'[1]E-2NGeb'!Q89</f>
        <v>Ergebnis bAfa</v>
      </c>
      <c r="C837" s="42" t="str">
        <f>IF('[1]E-2NGeb'!$R$81="","",'[1]E-2NGeb'!$R$81)</f>
        <v>Be</v>
      </c>
      <c r="D837" s="31">
        <f>IF('[1]E-2NGeb'!T89="","",'[1]E-2NGeb'!T89)</f>
        <v>18101.281935483872</v>
      </c>
      <c r="E837" s="27"/>
      <c r="F837" s="32" t="str">
        <f>IF(OR(H836="",H789=""),"-",H836*H789)</f>
        <v>-</v>
      </c>
      <c r="H837" s="97" t="str">
        <f>IF('2NGeb'!W89&lt;&gt;"","abgeschrieben",IF('2NGeb'!T89="","",'2NGeb'!T89))</f>
        <v/>
      </c>
      <c r="I837" s="29" t="str">
        <f>IF(AND(P837="",T837=""),"",IF(T837=P837,"Richtig!",IF(T837="","Fehlt","Falsch")))</f>
        <v>Fehlt</v>
      </c>
      <c r="J837" s="30">
        <f>IF(OR($N837&lt;&gt;"x",AND(P837="",T837="")),"-",IF(I837="Richtig!",1,IF(I837="Formel: OK",0.5,IF(OR(I837="Falsch",I837="Fehlt"),0,""))))</f>
        <v>0</v>
      </c>
      <c r="K837" s="23" t="s">
        <v>528</v>
      </c>
      <c r="L837" s="24">
        <f>IF(OR($N837&lt;&gt;"x",AND(P837="",T837="")),"-",1)</f>
        <v>1</v>
      </c>
      <c r="N837" s="882" t="str">
        <f t="shared" si="223"/>
        <v>x</v>
      </c>
      <c r="P837" s="31">
        <f t="shared" si="221"/>
        <v>18101.281940000001</v>
      </c>
      <c r="Q837" s="27" t="str">
        <f t="shared" si="216"/>
        <v/>
      </c>
      <c r="R837" s="32" t="str">
        <f t="shared" si="217"/>
        <v>-</v>
      </c>
      <c r="S837" s="1" t="str">
        <f t="shared" si="218"/>
        <v/>
      </c>
      <c r="T837" s="97" t="str">
        <f t="shared" si="219"/>
        <v/>
      </c>
    </row>
    <row r="838" spans="1:20" ht="12.75" x14ac:dyDescent="0.2">
      <c r="A838" s="18"/>
      <c r="B838" s="92" t="str">
        <f>'[1]E-2NGeb'!$P$17&amp;" "&amp;'[1]E-2NGeb'!Q97</f>
        <v>Ergebnis ZW1.1.</v>
      </c>
      <c r="C838" s="42" t="str">
        <f>IF('[1]E-2NGeb'!$R$81="","",'[1]E-2NGeb'!$R$81)</f>
        <v>Be</v>
      </c>
      <c r="D838" s="31">
        <f>IF('[1]E-2NGeb'!T97="","",'[1]E-2NGeb'!T97)</f>
        <v>8619.6580645161303</v>
      </c>
      <c r="E838" s="27"/>
      <c r="F838" s="32" t="str">
        <f>IF(OR(H812="",H837="",H837="abgeschrieben"),"-",H812-H837)</f>
        <v>-</v>
      </c>
      <c r="H838" s="97" t="str">
        <f>IF('2NGeb'!T97="","",'2NGeb'!T97)</f>
        <v/>
      </c>
      <c r="I838" s="29" t="str">
        <f>IF(AND(P838="",T838=""),"",IF(T838=P838,"Richtig!",IF(T838="","Fehlt","Falsch")))</f>
        <v>Fehlt</v>
      </c>
      <c r="J838" s="30">
        <f>IF(OR($N838&lt;&gt;"x",AND(P838="",T838="")),"-",IF(I838="Richtig!",1,IF(I838="Formel: OK",0.5,IF(OR(I838="Falsch",I838="Fehlt"),0,""))))</f>
        <v>0</v>
      </c>
      <c r="K838" s="23" t="s">
        <v>528</v>
      </c>
      <c r="L838" s="24">
        <f>IF(OR($N838&lt;&gt;"x",AND(P838="",T838="")),"-",1)</f>
        <v>1</v>
      </c>
      <c r="N838" s="882" t="str">
        <f t="shared" si="223"/>
        <v>x</v>
      </c>
      <c r="P838" s="31">
        <f t="shared" si="221"/>
        <v>8619.6580599999998</v>
      </c>
      <c r="Q838" s="27" t="str">
        <f t="shared" si="216"/>
        <v/>
      </c>
      <c r="R838" s="32" t="str">
        <f t="shared" si="217"/>
        <v>-</v>
      </c>
      <c r="S838" s="1" t="str">
        <f t="shared" si="218"/>
        <v/>
      </c>
      <c r="T838" s="97" t="str">
        <f t="shared" si="219"/>
        <v/>
      </c>
    </row>
    <row r="839" spans="1:20" ht="12.75" x14ac:dyDescent="0.2">
      <c r="A839" s="18"/>
      <c r="B839" s="92" t="str">
        <f>'[1]E-2NGeb'!$P$17&amp;" "&amp;'[1]E-2NGeb'!Q103</f>
        <v>Ergebnis ZW31.12.</v>
      </c>
      <c r="C839" s="42" t="str">
        <f>IF('[1]E-2NGeb'!$R$81="","",'[1]E-2NGeb'!$R$81)</f>
        <v>Be</v>
      </c>
      <c r="D839" s="31">
        <f>IF('[1]E-2NGeb'!T103="","",'[1]E-2NGeb'!T103)</f>
        <v>7757.6922580645169</v>
      </c>
      <c r="E839" s="27"/>
      <c r="F839" s="32" t="str">
        <f>IF(OR(H838="",H836=""),"-",H838-H836)</f>
        <v>-</v>
      </c>
      <c r="H839" s="97" t="str">
        <f>IF('2NGeb'!T103="","",'2NGeb'!T103)</f>
        <v/>
      </c>
      <c r="I839" s="29" t="str">
        <f>IF(AND(P839="",T839=""),"",IF(T839=P839,"Richtig!",IF(T839="","Fehlt","Falsch")))</f>
        <v>Fehlt</v>
      </c>
      <c r="J839" s="30">
        <f>IF(OR($N839&lt;&gt;"x",AND(P839="",T839="")),"-",IF(I839="Richtig!",1,IF(I839="Formel: OK",0.5,IF(OR(I839="Falsch",I839="Fehlt"),0,""))))</f>
        <v>0</v>
      </c>
      <c r="K839" s="23" t="s">
        <v>528</v>
      </c>
      <c r="L839" s="24">
        <f>IF(OR($N839&lt;&gt;"x",AND(P839="",T839="")),"-",1)</f>
        <v>1</v>
      </c>
      <c r="N839" s="882" t="str">
        <f t="shared" si="223"/>
        <v>x</v>
      </c>
      <c r="P839" s="31">
        <f t="shared" si="221"/>
        <v>7757.6922599999998</v>
      </c>
      <c r="Q839" s="27" t="str">
        <f t="shared" si="216"/>
        <v/>
      </c>
      <c r="R839" s="32" t="str">
        <f t="shared" si="217"/>
        <v>-</v>
      </c>
      <c r="S839" s="1" t="str">
        <f t="shared" si="218"/>
        <v/>
      </c>
      <c r="T839" s="97" t="str">
        <f t="shared" si="219"/>
        <v/>
      </c>
    </row>
    <row r="840" spans="1:20" ht="12.75" x14ac:dyDescent="0.2">
      <c r="A840" s="18"/>
      <c r="B840" s="92"/>
      <c r="C840" s="42"/>
      <c r="D840" s="101"/>
      <c r="E840" s="27"/>
      <c r="F840" s="32"/>
      <c r="H840" s="876"/>
      <c r="I840" s="29"/>
      <c r="J840" s="102"/>
      <c r="K840" s="23"/>
      <c r="L840" s="24"/>
      <c r="N840" s="883" t="str">
        <f t="shared" si="223"/>
        <v>x</v>
      </c>
      <c r="T840" s="1"/>
    </row>
    <row r="841" spans="1:20" ht="19.5" x14ac:dyDescent="0.2">
      <c r="A841" s="10" t="s">
        <v>102</v>
      </c>
      <c r="B841" s="11"/>
      <c r="C841" s="12"/>
      <c r="D841" s="13"/>
      <c r="E841" s="13"/>
      <c r="F841" s="14"/>
      <c r="G841" s="12"/>
      <c r="H841" s="14"/>
      <c r="I841" s="15"/>
      <c r="J841" s="16"/>
      <c r="K841" s="16"/>
      <c r="L841" s="16"/>
      <c r="N841" s="881" t="str">
        <f t="shared" si="223"/>
        <v>x</v>
      </c>
      <c r="T841" s="1"/>
    </row>
    <row r="842" spans="1:20" ht="12.75" x14ac:dyDescent="0.2">
      <c r="A842" s="17" t="s">
        <v>9</v>
      </c>
      <c r="B842" s="17" t="s">
        <v>533</v>
      </c>
      <c r="C842" s="42"/>
      <c r="D842" s="29"/>
      <c r="E842" s="29"/>
      <c r="F842" s="32"/>
      <c r="H842" s="29"/>
      <c r="I842" s="29"/>
      <c r="J842" s="30">
        <f>ErgInt!O290</f>
        <v>0</v>
      </c>
      <c r="K842" s="23" t="s">
        <v>528</v>
      </c>
      <c r="L842" s="24">
        <f>IF(N842&lt;&gt;"x","",ErgInt!Q290)</f>
        <v>83</v>
      </c>
      <c r="N842" s="882" t="str">
        <f t="shared" si="223"/>
        <v>x</v>
      </c>
      <c r="T842" s="1"/>
    </row>
    <row r="843" spans="1:20" ht="20.100000000000001" customHeight="1" x14ac:dyDescent="0.2">
      <c r="A843" s="18"/>
      <c r="B843" s="36"/>
      <c r="C843" s="42"/>
      <c r="D843" s="29"/>
      <c r="E843" s="29"/>
      <c r="F843" s="32"/>
      <c r="H843" s="29"/>
      <c r="I843" s="29"/>
      <c r="J843" s="102"/>
      <c r="K843" s="23"/>
      <c r="L843" s="24"/>
      <c r="N843" s="883" t="str">
        <f t="shared" si="223"/>
        <v>x</v>
      </c>
      <c r="T843" s="1"/>
    </row>
    <row r="844" spans="1:20" ht="15" x14ac:dyDescent="0.3">
      <c r="A844" s="103" t="s">
        <v>96</v>
      </c>
      <c r="B844" s="104"/>
      <c r="C844" s="104"/>
      <c r="D844" s="836">
        <f>COUNT(D9:D843)</f>
        <v>478</v>
      </c>
      <c r="E844" s="1025"/>
      <c r="F844" s="1025"/>
      <c r="G844" s="1025"/>
      <c r="H844" s="837">
        <f>COUNT(H9:H843)</f>
        <v>209</v>
      </c>
      <c r="I844" s="105"/>
      <c r="J844" s="106">
        <f>SUM(J9:J843)</f>
        <v>0</v>
      </c>
      <c r="K844" s="107" t="str">
        <f>IF(L844="","","│")</f>
        <v>│</v>
      </c>
      <c r="L844" s="105">
        <f>SUM(L9:L843)</f>
        <v>335.00000000000011</v>
      </c>
      <c r="N844" s="882" t="str">
        <f t="shared" si="223"/>
        <v>x</v>
      </c>
      <c r="T844" s="1"/>
    </row>
    <row r="845" spans="1:20" ht="3" customHeight="1" x14ac:dyDescent="0.2">
      <c r="A845" s="108"/>
      <c r="B845" s="108"/>
      <c r="C845" s="108"/>
      <c r="D845" s="108"/>
      <c r="E845" s="108"/>
      <c r="F845" s="108"/>
      <c r="G845" s="109"/>
      <c r="H845" s="110"/>
      <c r="I845" s="109"/>
      <c r="J845" s="108"/>
      <c r="K845" s="108"/>
      <c r="L845" s="111"/>
      <c r="N845" s="878" t="str">
        <f>N844</f>
        <v>x</v>
      </c>
      <c r="T845" s="1"/>
    </row>
    <row r="846" spans="1:20" ht="50.1" customHeight="1" x14ac:dyDescent="0.2">
      <c r="T846" s="1"/>
    </row>
    <row r="847" spans="1:20" ht="22.5" x14ac:dyDescent="0.45">
      <c r="A847" s="113" t="s">
        <v>97</v>
      </c>
      <c r="B847" s="114"/>
      <c r="C847" s="1023">
        <f>IF(L844=0,"",J844/L844)</f>
        <v>0</v>
      </c>
      <c r="D847" s="1023"/>
      <c r="E847" s="1023"/>
      <c r="F847" s="1023"/>
      <c r="G847" s="1023"/>
      <c r="H847" s="1023"/>
      <c r="I847" s="115"/>
      <c r="J847" s="115"/>
      <c r="K847" s="115"/>
      <c r="L847" s="115"/>
      <c r="N847" s="116"/>
      <c r="O847" s="116"/>
      <c r="T847" s="1"/>
    </row>
    <row r="848" spans="1:20" ht="22.5" x14ac:dyDescent="0.3">
      <c r="A848" s="117"/>
      <c r="B848" s="118">
        <f>C848-I852+J851</f>
        <v>294.00000000000011</v>
      </c>
      <c r="C848" s="119">
        <f>L844</f>
        <v>335.00000000000011</v>
      </c>
      <c r="D848" s="120" t="str">
        <f>IF(AND(J844&gt;=B848-0.5,J844&lt;=C848),"u","j")</f>
        <v>j</v>
      </c>
      <c r="E848" s="120" t="str">
        <f>IF(OR(J844=B848-0.5,J844=B848),"-","")</f>
        <v/>
      </c>
      <c r="F848" s="120"/>
      <c r="I848" s="121"/>
      <c r="J848" s="122"/>
      <c r="K848" s="121"/>
      <c r="L848" s="58"/>
      <c r="N848" s="123"/>
      <c r="O848" s="123"/>
      <c r="T848" s="1"/>
    </row>
    <row r="849" spans="1:20" ht="22.5" x14ac:dyDescent="0.3">
      <c r="A849" s="117"/>
      <c r="B849" s="118">
        <f>C849-I852+J851</f>
        <v>252.00000000000011</v>
      </c>
      <c r="C849" s="124">
        <f>B848-1</f>
        <v>293.00000000000011</v>
      </c>
      <c r="D849" s="120" t="str">
        <f>IF(AND(J844&gt;=B849-0.5,J844&lt;=C849),"v","k")</f>
        <v>k</v>
      </c>
      <c r="E849" s="120" t="str">
        <f>IF(OR(J844=B849-0.5,J844=B849),"-",IF(OR(J844=C849-0.5,J844=C849),"+",""))</f>
        <v/>
      </c>
      <c r="F849" s="120"/>
      <c r="I849" s="121"/>
      <c r="J849" s="122"/>
      <c r="K849" s="121"/>
      <c r="L849" s="58"/>
      <c r="N849" s="123"/>
      <c r="O849" s="123"/>
      <c r="T849" s="1"/>
    </row>
    <row r="850" spans="1:20" ht="22.5" x14ac:dyDescent="0.3">
      <c r="A850" s="117"/>
      <c r="B850" s="118">
        <f>C850-I852</f>
        <v>207.00000000000011</v>
      </c>
      <c r="C850" s="124">
        <f>B849-1</f>
        <v>251.00000000000011</v>
      </c>
      <c r="D850" s="120" t="str">
        <f>IF(AND(J844&gt;=B850-0.5,J844&lt;=C850),"w","l")</f>
        <v>l</v>
      </c>
      <c r="E850" s="120" t="str">
        <f>IF(OR(J844=B850-0.5,J844=B850),"-",IF(OR(J844=C850-0.5,J844=C850),"+",""))</f>
        <v/>
      </c>
      <c r="F850" s="120"/>
      <c r="I850" s="840" t="s">
        <v>98</v>
      </c>
      <c r="J850" s="841" t="s">
        <v>99</v>
      </c>
      <c r="K850" s="842"/>
      <c r="L850" s="843"/>
      <c r="N850" s="123"/>
      <c r="O850" s="123"/>
      <c r="T850" s="1"/>
    </row>
    <row r="851" spans="1:20" ht="22.5" x14ac:dyDescent="0.3">
      <c r="A851" s="117"/>
      <c r="B851" s="118">
        <f>C851-I852</f>
        <v>162.00000000000011</v>
      </c>
      <c r="C851" s="124">
        <f>B850-1</f>
        <v>206.00000000000011</v>
      </c>
      <c r="D851" s="120" t="str">
        <f>IF(AND(J844&gt;=B851-0.5,J844&lt;=C851),"x","m")</f>
        <v>m</v>
      </c>
      <c r="E851" s="120" t="str">
        <f>IF(OR(J844=B851-0.5,J844=B851),"-",IF(OR(J844=C851-0.5,J844=C851),"+",""))</f>
        <v/>
      </c>
      <c r="F851" s="120"/>
      <c r="G851" s="125" t="s">
        <v>100</v>
      </c>
      <c r="I851" s="844">
        <v>0.13</v>
      </c>
      <c r="J851" s="845">
        <v>3</v>
      </c>
      <c r="K851" s="842"/>
      <c r="L851" s="843"/>
      <c r="N851" s="123"/>
      <c r="O851" s="123"/>
      <c r="T851" s="1"/>
    </row>
    <row r="852" spans="1:20" ht="22.5" x14ac:dyDescent="0.3">
      <c r="A852" s="117"/>
      <c r="B852" s="126">
        <v>0</v>
      </c>
      <c r="C852" s="124">
        <f>B851-1</f>
        <v>161.00000000000011</v>
      </c>
      <c r="D852" s="120" t="str">
        <f>IF(L844=0,"",IF(AND(J844&gt;=B852-0.5,J844&lt;=C852),"y","n"))</f>
        <v>y</v>
      </c>
      <c r="E852" s="120" t="str">
        <f>IF(OR(J844=C852-1,J844=C852-0.5,J844=C852),"+","")</f>
        <v/>
      </c>
      <c r="F852" s="120"/>
      <c r="G852" s="127"/>
      <c r="H852" s="128"/>
      <c r="I852" s="1024">
        <f>ROUND(L844*I851,0)</f>
        <v>44</v>
      </c>
      <c r="J852" s="1024"/>
      <c r="K852" s="842"/>
      <c r="L852" s="843"/>
      <c r="N852" s="123"/>
      <c r="O852" s="123"/>
      <c r="T852" s="1"/>
    </row>
    <row r="853" spans="1:20" ht="12.75" x14ac:dyDescent="0.2">
      <c r="A853" s="114"/>
      <c r="B853" s="114"/>
      <c r="C853" s="114"/>
      <c r="D853" s="114"/>
      <c r="E853" s="114"/>
      <c r="F853" s="114"/>
      <c r="G853" s="114"/>
      <c r="H853" s="129"/>
      <c r="I853" s="114"/>
      <c r="J853" s="114"/>
      <c r="K853" s="114"/>
      <c r="L853" s="114"/>
      <c r="T853" s="1"/>
    </row>
    <row r="854" spans="1:20" ht="15" hidden="1" customHeight="1" x14ac:dyDescent="0.2"/>
    <row r="855" spans="1:20" ht="15" hidden="1" customHeight="1" x14ac:dyDescent="0.2">
      <c r="A855" s="915"/>
      <c r="B855" s="914" t="s">
        <v>608</v>
      </c>
    </row>
    <row r="856" spans="1:20" ht="15" hidden="1" customHeight="1" x14ac:dyDescent="0.2">
      <c r="A856" s="916">
        <v>1</v>
      </c>
      <c r="B856" s="912" t="s">
        <v>613</v>
      </c>
    </row>
    <row r="857" spans="1:20" ht="15" hidden="1" customHeight="1" x14ac:dyDescent="0.2">
      <c r="A857" s="916">
        <v>2</v>
      </c>
      <c r="B857" s="912" t="s">
        <v>614</v>
      </c>
    </row>
    <row r="858" spans="1:20" ht="15" hidden="1" customHeight="1" x14ac:dyDescent="0.2">
      <c r="A858" s="916">
        <v>3</v>
      </c>
      <c r="B858" s="912" t="s">
        <v>615</v>
      </c>
    </row>
    <row r="859" spans="1:20" ht="15" hidden="1" customHeight="1" x14ac:dyDescent="0.2">
      <c r="A859" s="916">
        <v>4</v>
      </c>
      <c r="B859" s="912" t="s">
        <v>616</v>
      </c>
    </row>
    <row r="860" spans="1:20" ht="15" hidden="1" customHeight="1" x14ac:dyDescent="0.2">
      <c r="A860" s="916">
        <v>5</v>
      </c>
      <c r="B860" s="912" t="s">
        <v>617</v>
      </c>
    </row>
    <row r="861" spans="1:20" ht="15" hidden="1" customHeight="1" x14ac:dyDescent="0.2">
      <c r="A861" s="916">
        <v>6</v>
      </c>
      <c r="B861" s="912" t="s">
        <v>618</v>
      </c>
    </row>
    <row r="862" spans="1:20" ht="15" hidden="1" customHeight="1" x14ac:dyDescent="0.2">
      <c r="A862" s="916">
        <v>7</v>
      </c>
      <c r="B862" s="912" t="s">
        <v>619</v>
      </c>
    </row>
    <row r="863" spans="1:20" ht="15" hidden="1" customHeight="1" x14ac:dyDescent="0.2">
      <c r="A863" s="916">
        <v>8</v>
      </c>
      <c r="B863" s="912" t="s">
        <v>620</v>
      </c>
    </row>
    <row r="864" spans="1:20" ht="15" hidden="1" customHeight="1" x14ac:dyDescent="0.2">
      <c r="A864" s="916">
        <v>9</v>
      </c>
      <c r="B864" s="912" t="s">
        <v>621</v>
      </c>
    </row>
    <row r="865" spans="1:2" ht="15" hidden="1" customHeight="1" x14ac:dyDescent="0.2">
      <c r="A865" s="916">
        <v>10</v>
      </c>
      <c r="B865" s="912" t="s">
        <v>622</v>
      </c>
    </row>
    <row r="866" spans="1:2" ht="15" hidden="1" customHeight="1" x14ac:dyDescent="0.2">
      <c r="A866" s="916">
        <v>11</v>
      </c>
      <c r="B866" s="912" t="s">
        <v>623</v>
      </c>
    </row>
    <row r="867" spans="1:2" ht="15" hidden="1" customHeight="1" x14ac:dyDescent="0.2">
      <c r="A867" s="916">
        <v>12</v>
      </c>
      <c r="B867" s="912" t="s">
        <v>624</v>
      </c>
    </row>
    <row r="868" spans="1:2" ht="15" hidden="1" customHeight="1" x14ac:dyDescent="0.2">
      <c r="A868" s="916">
        <v>13</v>
      </c>
      <c r="B868" s="912" t="s">
        <v>625</v>
      </c>
    </row>
    <row r="869" spans="1:2" ht="15" hidden="1" customHeight="1" x14ac:dyDescent="0.2">
      <c r="A869" s="916">
        <v>14</v>
      </c>
      <c r="B869" s="912" t="s">
        <v>626</v>
      </c>
    </row>
    <row r="870" spans="1:2" ht="15" hidden="1" customHeight="1" x14ac:dyDescent="0.2">
      <c r="A870" s="916">
        <v>15</v>
      </c>
      <c r="B870" s="912" t="s">
        <v>627</v>
      </c>
    </row>
    <row r="871" spans="1:2" ht="15" hidden="1" customHeight="1" x14ac:dyDescent="0.2">
      <c r="A871" s="916">
        <v>16</v>
      </c>
      <c r="B871" s="912" t="s">
        <v>628</v>
      </c>
    </row>
    <row r="872" spans="1:2" ht="15" hidden="1" customHeight="1" x14ac:dyDescent="0.2">
      <c r="A872" s="916">
        <v>17</v>
      </c>
      <c r="B872" s="912" t="s">
        <v>629</v>
      </c>
    </row>
    <row r="873" spans="1:2" ht="15" hidden="1" customHeight="1" x14ac:dyDescent="0.2">
      <c r="A873" s="916">
        <v>18</v>
      </c>
      <c r="B873" s="912" t="s">
        <v>630</v>
      </c>
    </row>
    <row r="874" spans="1:2" ht="15" hidden="1" customHeight="1" x14ac:dyDescent="0.2">
      <c r="A874" s="916">
        <v>19</v>
      </c>
      <c r="B874" s="912" t="s">
        <v>631</v>
      </c>
    </row>
    <row r="875" spans="1:2" ht="15" hidden="1" customHeight="1" x14ac:dyDescent="0.2">
      <c r="A875" s="916">
        <v>20</v>
      </c>
      <c r="B875" s="912" t="s">
        <v>632</v>
      </c>
    </row>
    <row r="876" spans="1:2" ht="15" hidden="1" customHeight="1" x14ac:dyDescent="0.2">
      <c r="A876" s="916">
        <v>21</v>
      </c>
      <c r="B876" s="912" t="s">
        <v>633</v>
      </c>
    </row>
    <row r="877" spans="1:2" ht="15" hidden="1" customHeight="1" x14ac:dyDescent="0.2">
      <c r="A877" s="916">
        <v>22</v>
      </c>
      <c r="B877" s="912" t="s">
        <v>634</v>
      </c>
    </row>
    <row r="878" spans="1:2" ht="15" hidden="1" customHeight="1" x14ac:dyDescent="0.2">
      <c r="A878" s="916">
        <v>23</v>
      </c>
      <c r="B878" s="912" t="s">
        <v>635</v>
      </c>
    </row>
    <row r="879" spans="1:2" ht="15" hidden="1" customHeight="1" x14ac:dyDescent="0.2">
      <c r="A879" s="916">
        <v>24</v>
      </c>
      <c r="B879" s="912" t="s">
        <v>636</v>
      </c>
    </row>
    <row r="880" spans="1:2" ht="15" hidden="1" customHeight="1" x14ac:dyDescent="0.2">
      <c r="A880" s="916">
        <v>25</v>
      </c>
      <c r="B880" s="913" t="s">
        <v>637</v>
      </c>
    </row>
    <row r="881" spans="1:2" ht="15" hidden="1" customHeight="1" x14ac:dyDescent="0.2">
      <c r="A881" s="916">
        <v>26</v>
      </c>
      <c r="B881" s="913" t="s">
        <v>638</v>
      </c>
    </row>
    <row r="882" spans="1:2" ht="15" hidden="1" customHeight="1" x14ac:dyDescent="0.2">
      <c r="A882" s="916">
        <v>27</v>
      </c>
      <c r="B882" s="913" t="s">
        <v>639</v>
      </c>
    </row>
    <row r="883" spans="1:2" ht="15" hidden="1" customHeight="1" x14ac:dyDescent="0.2">
      <c r="A883" s="916">
        <v>28</v>
      </c>
      <c r="B883" s="913" t="s">
        <v>640</v>
      </c>
    </row>
    <row r="884" spans="1:2" ht="15" hidden="1" customHeight="1" x14ac:dyDescent="0.2">
      <c r="A884" s="916">
        <v>29</v>
      </c>
      <c r="B884" s="913" t="s">
        <v>641</v>
      </c>
    </row>
    <row r="885" spans="1:2" ht="15" hidden="1" customHeight="1" x14ac:dyDescent="0.2">
      <c r="A885" s="916">
        <v>30</v>
      </c>
      <c r="B885" s="913" t="s">
        <v>642</v>
      </c>
    </row>
    <row r="886" spans="1:2" ht="15" hidden="1" customHeight="1" x14ac:dyDescent="0.2">
      <c r="A886" s="916">
        <v>31</v>
      </c>
      <c r="B886" s="913" t="s">
        <v>643</v>
      </c>
    </row>
    <row r="887" spans="1:2" ht="15" hidden="1" customHeight="1" x14ac:dyDescent="0.2">
      <c r="A887" s="916">
        <v>32</v>
      </c>
      <c r="B887" s="913" t="s">
        <v>644</v>
      </c>
    </row>
    <row r="888" spans="1:2" ht="15" hidden="1" customHeight="1" x14ac:dyDescent="0.2">
      <c r="A888" s="916">
        <v>33</v>
      </c>
      <c r="B888" s="913" t="s">
        <v>645</v>
      </c>
    </row>
    <row r="889" spans="1:2" ht="15" hidden="1" customHeight="1" x14ac:dyDescent="0.2">
      <c r="A889" s="916">
        <v>34</v>
      </c>
      <c r="B889" s="913" t="s">
        <v>646</v>
      </c>
    </row>
    <row r="890" spans="1:2" ht="15" hidden="1" customHeight="1" x14ac:dyDescent="0.2">
      <c r="A890" s="916">
        <v>35</v>
      </c>
      <c r="B890" s="913" t="s">
        <v>647</v>
      </c>
    </row>
    <row r="891" spans="1:2" ht="15" hidden="1" customHeight="1" x14ac:dyDescent="0.2">
      <c r="A891" s="916">
        <v>36</v>
      </c>
      <c r="B891" s="913" t="s">
        <v>648</v>
      </c>
    </row>
    <row r="892" spans="1:2" ht="15" hidden="1" customHeight="1" x14ac:dyDescent="0.2">
      <c r="A892" s="916">
        <v>37</v>
      </c>
      <c r="B892" s="913" t="s">
        <v>649</v>
      </c>
    </row>
    <row r="893" spans="1:2" ht="15" hidden="1" customHeight="1" x14ac:dyDescent="0.2">
      <c r="A893" s="916">
        <v>38</v>
      </c>
      <c r="B893" s="913" t="s">
        <v>650</v>
      </c>
    </row>
    <row r="894" spans="1:2" ht="15" hidden="1" customHeight="1" x14ac:dyDescent="0.2">
      <c r="A894" s="916">
        <v>39</v>
      </c>
      <c r="B894" s="913" t="s">
        <v>651</v>
      </c>
    </row>
    <row r="895" spans="1:2" ht="15" hidden="1" customHeight="1" x14ac:dyDescent="0.2">
      <c r="A895" s="916">
        <v>40</v>
      </c>
      <c r="B895" s="913" t="s">
        <v>652</v>
      </c>
    </row>
    <row r="896" spans="1:2" ht="15" hidden="1" customHeight="1" x14ac:dyDescent="0.2">
      <c r="A896" s="916">
        <v>41</v>
      </c>
      <c r="B896" s="913" t="s">
        <v>653</v>
      </c>
    </row>
  </sheetData>
  <sheetProtection algorithmName="SHA-512" hashValue="1KVPuFTM4KyuvQoDWPfubusZyBYha/hU7UiEtuuWWCKKEB/XBqUQiD4LFok3Me/ANJsrF3nynxBAwC535RHS6Q==" saltValue="oXIEJpO/KacZFe8kMIpezg==" spinCount="100000" sheet="1" objects="1" scenarios="1" selectLockedCells="1" selectUnlockedCells="1"/>
  <mergeCells count="4">
    <mergeCell ref="M1:O1"/>
    <mergeCell ref="C847:H847"/>
    <mergeCell ref="I852:J852"/>
    <mergeCell ref="E844:G844"/>
  </mergeCells>
  <phoneticPr fontId="4" type="noConversion"/>
  <conditionalFormatting sqref="A522:H523 A525:H532 B772:H772 B768:H768 B791:H791 A791:A793 A799:A802 B799:H799 A768:A770 A772:A774 B802:H802 A3:H3 A5:H5 A7:H447 A468:H519 A534:H767 A771:H771 A775:H790 A794:H798 A803:H845 A448:C467 E448:H467">
    <cfRule type="expression" dxfId="197" priority="34" stopIfTrue="1">
      <formula>$N3&lt;&gt;"x"</formula>
    </cfRule>
  </conditionalFormatting>
  <conditionalFormatting sqref="D448:D467">
    <cfRule type="expression" dxfId="196" priority="35" stopIfTrue="1">
      <formula>$N425&lt;&gt;"x"</formula>
    </cfRule>
  </conditionalFormatting>
  <conditionalFormatting sqref="E850:F850">
    <cfRule type="expression" dxfId="195" priority="36" stopIfTrue="1">
      <formula>#REF!&lt;&gt;""</formula>
    </cfRule>
    <cfRule type="cellIs" dxfId="194" priority="37" stopIfTrue="1" operator="equal">
      <formula>"w"</formula>
    </cfRule>
  </conditionalFormatting>
  <conditionalFormatting sqref="E851:F851">
    <cfRule type="expression" dxfId="193" priority="38" stopIfTrue="1">
      <formula>#REF!&lt;&gt;""</formula>
    </cfRule>
    <cfRule type="cellIs" dxfId="192" priority="39" stopIfTrue="1" operator="equal">
      <formula>"x"</formula>
    </cfRule>
  </conditionalFormatting>
  <conditionalFormatting sqref="E852:F852">
    <cfRule type="expression" dxfId="191" priority="40" stopIfTrue="1">
      <formula>#REF!&lt;&gt;""</formula>
    </cfRule>
    <cfRule type="cellIs" dxfId="190" priority="41" stopIfTrue="1" operator="equal">
      <formula>"y"</formula>
    </cfRule>
  </conditionalFormatting>
  <conditionalFormatting sqref="E848:F848">
    <cfRule type="expression" dxfId="189" priority="42" stopIfTrue="1">
      <formula>$A$2&lt;&gt;""</formula>
    </cfRule>
    <cfRule type="cellIs" dxfId="188" priority="43" stopIfTrue="1" operator="equal">
      <formula>"u"</formula>
    </cfRule>
  </conditionalFormatting>
  <conditionalFormatting sqref="E849:F849">
    <cfRule type="expression" dxfId="187" priority="44" stopIfTrue="1">
      <formula>$A$2&lt;&gt;""</formula>
    </cfRule>
    <cfRule type="cellIs" dxfId="186" priority="45" stopIfTrue="1" operator="equal">
      <formula>"v"</formula>
    </cfRule>
  </conditionalFormatting>
  <conditionalFormatting sqref="B792:H793">
    <cfRule type="expression" dxfId="185" priority="46" stopIfTrue="1">
      <formula>$N$791&lt;&gt;"x"</formula>
    </cfRule>
  </conditionalFormatting>
  <conditionalFormatting sqref="B800:H801">
    <cfRule type="expression" dxfId="184" priority="47" stopIfTrue="1">
      <formula>$N$799&lt;&gt;"x"</formula>
    </cfRule>
  </conditionalFormatting>
  <conditionalFormatting sqref="B769:H770">
    <cfRule type="expression" dxfId="183" priority="48" stopIfTrue="1">
      <formula>$N$768&lt;&gt;"x"</formula>
    </cfRule>
  </conditionalFormatting>
  <conditionalFormatting sqref="B773:H774">
    <cfRule type="expression" dxfId="182" priority="49" stopIfTrue="1">
      <formula>$N$772&lt;&gt;"x"</formula>
    </cfRule>
  </conditionalFormatting>
  <conditionalFormatting sqref="B848:B852">
    <cfRule type="expression" dxfId="181" priority="50" stopIfTrue="1">
      <formula>$A$2&lt;&gt;""</formula>
    </cfRule>
    <cfRule type="expression" dxfId="180" priority="51" stopIfTrue="1">
      <formula>$L$1&lt;&gt;"x"</formula>
    </cfRule>
  </conditionalFormatting>
  <conditionalFormatting sqref="C848:C852 A853:H853 A847:H847">
    <cfRule type="expression" dxfId="179" priority="52" stopIfTrue="1">
      <formula>$L$1&lt;&gt;"x"</formula>
    </cfRule>
  </conditionalFormatting>
  <conditionalFormatting sqref="D848">
    <cfRule type="expression" dxfId="178" priority="53" stopIfTrue="1">
      <formula>$A$2&lt;&gt;""</formula>
    </cfRule>
    <cfRule type="cellIs" dxfId="177" priority="54" stopIfTrue="1" operator="equal">
      <formula>"u"</formula>
    </cfRule>
    <cfRule type="expression" dxfId="176" priority="55" stopIfTrue="1">
      <formula>$L$1&lt;&gt;"x"</formula>
    </cfRule>
  </conditionalFormatting>
  <conditionalFormatting sqref="D849">
    <cfRule type="expression" dxfId="175" priority="56" stopIfTrue="1">
      <formula>$A$2&lt;&gt;""</formula>
    </cfRule>
    <cfRule type="cellIs" dxfId="174" priority="57" stopIfTrue="1" operator="equal">
      <formula>"v"</formula>
    </cfRule>
    <cfRule type="expression" dxfId="173" priority="58" stopIfTrue="1">
      <formula>$L$1&lt;&gt;"x"</formula>
    </cfRule>
  </conditionalFormatting>
  <conditionalFormatting sqref="D850">
    <cfRule type="expression" dxfId="172" priority="59" stopIfTrue="1">
      <formula>$A$2&lt;&gt;""</formula>
    </cfRule>
    <cfRule type="cellIs" dxfId="171" priority="60" stopIfTrue="1" operator="equal">
      <formula>"w"</formula>
    </cfRule>
    <cfRule type="expression" dxfId="170" priority="61" stopIfTrue="1">
      <formula>$L$1&lt;&gt;"x"</formula>
    </cfRule>
  </conditionalFormatting>
  <conditionalFormatting sqref="D851">
    <cfRule type="expression" dxfId="169" priority="62" stopIfTrue="1">
      <formula>$A$2&lt;&gt;""</formula>
    </cfRule>
    <cfRule type="cellIs" dxfId="168" priority="63" stopIfTrue="1" operator="equal">
      <formula>"x"</formula>
    </cfRule>
    <cfRule type="expression" dxfId="167" priority="64" stopIfTrue="1">
      <formula>$L$1&lt;&gt;"x"</formula>
    </cfRule>
  </conditionalFormatting>
  <conditionalFormatting sqref="D852">
    <cfRule type="expression" dxfId="166" priority="65" stopIfTrue="1">
      <formula>$A$2&lt;&gt;""</formula>
    </cfRule>
    <cfRule type="cellIs" dxfId="165" priority="66" stopIfTrue="1" operator="equal">
      <formula>"y"</formula>
    </cfRule>
    <cfRule type="expression" dxfId="164" priority="67" stopIfTrue="1">
      <formula>$L$1&lt;&gt;"x"</formula>
    </cfRule>
  </conditionalFormatting>
  <conditionalFormatting sqref="I522:L523 P522:T523 I525:L532 P525:T532 I791 I799 I3:L3 P3:T3 I5:L5 P5:T5 P7:T9 P468:T519 I534:L767 P534:T768 I771:L771 P771:T772 I775:L790 P775:T791 I794:L798 P794:T799 I802:L845 P802:T839 I7:L519 Q448:T467 P11:T447 Q10:T10">
    <cfRule type="expression" dxfId="163" priority="2" stopIfTrue="1">
      <formula>$N3&lt;&gt;"x"</formula>
    </cfRule>
  </conditionalFormatting>
  <conditionalFormatting sqref="P448:P467">
    <cfRule type="expression" dxfId="162" priority="3" stopIfTrue="1">
      <formula>$N425&lt;&gt;"x"</formula>
    </cfRule>
  </conditionalFormatting>
  <conditionalFormatting sqref="J791:L793 I792:I793 P792:T793">
    <cfRule type="expression" dxfId="161" priority="14" stopIfTrue="1">
      <formula>$N$791&lt;&gt;"x"</formula>
    </cfRule>
  </conditionalFormatting>
  <conditionalFormatting sqref="J799:L801 I800:I801 P800:T801">
    <cfRule type="expression" dxfId="160" priority="15" stopIfTrue="1">
      <formula>$N$799&lt;&gt;"x"</formula>
    </cfRule>
  </conditionalFormatting>
  <conditionalFormatting sqref="I768:L770 P769:T770">
    <cfRule type="expression" dxfId="159" priority="16" stopIfTrue="1">
      <formula>$N$768&lt;&gt;"x"</formula>
    </cfRule>
  </conditionalFormatting>
  <conditionalFormatting sqref="I772:L774 P773:T774">
    <cfRule type="expression" dxfId="158" priority="17" stopIfTrue="1">
      <formula>$N$772&lt;&gt;"x"</formula>
    </cfRule>
  </conditionalFormatting>
  <conditionalFormatting sqref="I853:L853 I847:L847">
    <cfRule type="expression" dxfId="157" priority="18" stopIfTrue="1">
      <formula>$L$1&lt;&gt;"x"</formula>
    </cfRule>
  </conditionalFormatting>
  <conditionalFormatting sqref="P10">
    <cfRule type="expression" dxfId="156" priority="1" stopIfTrue="1">
      <formula>$N10&lt;&gt;"x"</formula>
    </cfRule>
  </conditionalFormatting>
  <dataValidations count="2">
    <dataValidation type="list" allowBlank="1" showInputMessage="1" showErrorMessage="1" sqref="B2" xr:uid="{00000000-0002-0000-0000-000000000000}">
      <formula1>$B$856:$B$896</formula1>
    </dataValidation>
    <dataValidation type="list" allowBlank="1" showInputMessage="1" showErrorMessage="1" sqref="L1" xr:uid="{00000000-0002-0000-0000-000001000000}">
      <formula1>#REF!</formula1>
    </dataValidation>
  </dataValidations>
  <printOptions horizontalCentered="1"/>
  <pageMargins left="0.39370078740157483" right="0.39370078740157483" top="0.78740157480314965" bottom="0.78740157480314965" header="0" footer="0.39370078740157483"/>
  <pageSetup paperSize="9" scale="85" fitToHeight="7" orientation="portrait" horizontalDpi="4294967293" r:id="rId1"/>
  <headerFooter alignWithMargins="0">
    <oddFooter>&amp;L&amp;"Arial,Kursiv"&amp;8© Mag. Wolfgang Harasleben&amp;R&amp;"Arial,Kursiv"&amp;8Seite &amp;P/&amp;N</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39">
    <tabColor indexed="10"/>
  </sheetPr>
  <dimension ref="A1:K91"/>
  <sheetViews>
    <sheetView showGridLines="0" workbookViewId="0">
      <pane ySplit="10" topLeftCell="A11" activePane="bottomLeft" state="frozen"/>
      <selection activeCell="F326" sqref="F326"/>
      <selection pane="bottomLeft" activeCell="F8" sqref="F8:G8"/>
    </sheetView>
  </sheetViews>
  <sheetFormatPr baseColWidth="10" defaultColWidth="0" defaultRowHeight="15" zeroHeight="1" x14ac:dyDescent="0.2"/>
  <cols>
    <col min="1" max="1" width="2.28515625" style="79" customWidth="1"/>
    <col min="2" max="4" width="11.28515625" style="79" customWidth="1"/>
    <col min="5" max="6" width="10" style="79" customWidth="1"/>
    <col min="7" max="8" width="11.7109375" style="79" customWidth="1"/>
    <col min="9" max="9" width="2.28515625" style="79" customWidth="1"/>
    <col min="10" max="10" width="0.85546875" style="65" customWidth="1"/>
    <col min="11" max="11" width="20.7109375" style="65" customWidth="1"/>
    <col min="12" max="16384" width="14.85546875" style="79" hidden="1"/>
  </cols>
  <sheetData>
    <row r="1" spans="1:11" ht="24.95" customHeight="1" x14ac:dyDescent="0.2">
      <c r="A1" s="503"/>
      <c r="B1" s="503" t="str">
        <f>"Vollkstenrechnung "&amp;C3</f>
        <v>Vollkstenrechnung Erdbeer-Jogurt</v>
      </c>
      <c r="C1" s="503"/>
      <c r="D1" s="503"/>
      <c r="E1" s="503"/>
      <c r="F1" s="503"/>
      <c r="G1" s="503"/>
      <c r="H1" s="503"/>
      <c r="I1" s="503"/>
      <c r="J1" s="464"/>
      <c r="K1" s="1177" t="s">
        <v>101</v>
      </c>
    </row>
    <row r="2" spans="1:11" ht="24.95" customHeight="1" x14ac:dyDescent="0.2">
      <c r="A2" s="504"/>
      <c r="B2" s="504"/>
      <c r="C2" s="504"/>
      <c r="D2" s="504"/>
      <c r="E2" s="504"/>
      <c r="F2" s="504"/>
      <c r="G2" s="504"/>
      <c r="H2" s="504"/>
      <c r="I2" s="504"/>
      <c r="J2" s="467"/>
      <c r="K2" s="1177"/>
    </row>
    <row r="3" spans="1:11" ht="15" customHeight="1" x14ac:dyDescent="0.2">
      <c r="A3" s="505"/>
      <c r="B3" s="506" t="s">
        <v>410</v>
      </c>
      <c r="C3" s="507" t="str">
        <f>IF([1]Jog!C12="","",[1]Jog!C12)</f>
        <v>Erdbeer-Jogurt</v>
      </c>
      <c r="D3" s="508"/>
      <c r="E3" s="509"/>
      <c r="F3" s="510"/>
      <c r="G3" s="505"/>
      <c r="H3" s="505"/>
      <c r="I3" s="505"/>
      <c r="J3" s="470"/>
      <c r="K3" s="1177"/>
    </row>
    <row r="4" spans="1:11" ht="9.9499999999999993" customHeight="1" x14ac:dyDescent="0.2">
      <c r="A4" s="505"/>
      <c r="B4" s="505"/>
      <c r="C4" s="505"/>
      <c r="D4" s="505"/>
      <c r="E4" s="505"/>
      <c r="F4" s="505"/>
      <c r="G4" s="505"/>
      <c r="H4" s="511"/>
      <c r="I4" s="505"/>
      <c r="J4" s="470"/>
      <c r="K4" s="1177"/>
    </row>
    <row r="5" spans="1:11" ht="15" customHeight="1" x14ac:dyDescent="0.2">
      <c r="A5" s="505"/>
      <c r="B5" s="506" t="s">
        <v>411</v>
      </c>
      <c r="C5" s="512"/>
      <c r="D5" s="512"/>
      <c r="E5" s="512"/>
      <c r="F5" s="1178" t="str">
        <f>IF([1]Jog!N17="","",[1]Jog!N17)</f>
        <v/>
      </c>
      <c r="G5" s="1178"/>
      <c r="H5" s="514" t="str">
        <f>IF([1]Jog!N15="","",[1]Jog!N15)</f>
        <v/>
      </c>
      <c r="I5" s="505"/>
      <c r="J5" s="470"/>
      <c r="K5" s="471"/>
    </row>
    <row r="6" spans="1:11" ht="15" customHeight="1" x14ac:dyDescent="0.2">
      <c r="A6" s="505"/>
      <c r="B6" s="515" t="str">
        <f>IF([1]Jog!B15="","",[1]Jog!B15)</f>
        <v>Glasgröße</v>
      </c>
      <c r="C6" s="515"/>
      <c r="D6" s="516"/>
      <c r="E6" s="517"/>
      <c r="F6" s="517"/>
      <c r="G6" s="517"/>
      <c r="H6" s="518">
        <f>IF([1]Jog!M15="","",[1]Jog!M15)</f>
        <v>0.27</v>
      </c>
      <c r="I6" s="505"/>
      <c r="J6" s="470"/>
      <c r="K6" s="471"/>
    </row>
    <row r="7" spans="1:11" ht="15" customHeight="1" thickBot="1" x14ac:dyDescent="0.25">
      <c r="A7" s="505"/>
      <c r="B7" s="515" t="str">
        <f>IF([1]Jog!B17="","",[1]Jog!B17)</f>
        <v>Verkaufsmenge</v>
      </c>
      <c r="C7" s="515" t="s">
        <v>412</v>
      </c>
      <c r="D7" s="515"/>
      <c r="E7" s="515"/>
      <c r="F7" s="1180">
        <f>IF([1]Jog!M17="","",[1]Jog!M17)</f>
        <v>218</v>
      </c>
      <c r="G7" s="1181"/>
      <c r="H7" s="505"/>
      <c r="I7" s="505"/>
      <c r="J7" s="470"/>
      <c r="K7" s="471"/>
    </row>
    <row r="8" spans="1:11" ht="15" customHeight="1" thickBot="1" x14ac:dyDescent="0.25">
      <c r="A8" s="505"/>
      <c r="B8" s="515"/>
      <c r="C8" s="515" t="s">
        <v>413</v>
      </c>
      <c r="D8" s="515"/>
      <c r="E8" s="515"/>
      <c r="F8" s="1182"/>
      <c r="G8" s="1183"/>
      <c r="H8" s="505"/>
      <c r="I8" s="505"/>
      <c r="J8" s="470"/>
      <c r="K8" s="471"/>
    </row>
    <row r="9" spans="1:11" ht="15" customHeight="1" thickBot="1" x14ac:dyDescent="0.25">
      <c r="A9" s="505"/>
      <c r="B9" s="515" t="str">
        <f>IF([1]Jog!B19="","",[1]Jog!B19)</f>
        <v>Verkaufserlös</v>
      </c>
      <c r="C9" s="515"/>
      <c r="D9" s="515"/>
      <c r="E9" s="515"/>
      <c r="F9" s="1184"/>
      <c r="G9" s="1185"/>
      <c r="H9" s="519">
        <f>IF([1]Jog!M19="","",[1]Jog!M19)</f>
        <v>0.5</v>
      </c>
      <c r="I9" s="505"/>
      <c r="J9" s="470"/>
      <c r="K9" s="471"/>
    </row>
    <row r="10" spans="1:11" ht="23.25" thickBot="1" x14ac:dyDescent="0.25">
      <c r="A10" s="505"/>
      <c r="B10" s="520" t="str">
        <f>IF(F10="","Berechnung fehlt!",IF(F10&gt;0,"Gewinn","Verlust!"))</f>
        <v>Berechnung fehlt!</v>
      </c>
      <c r="C10" s="1188" t="str">
        <f>IF(OR(F10="",G45=""),"Gewinn/Verlust?",IF(H9&lt;H45,"ACHTUNG: Der Preis deckt die Kosten nicht ab!!!",IF(H10&lt;H46,"ACHTUNG: Der tatsächliche Gewinn liegt unter dem Gewinnzuschlag!!!","")))</f>
        <v>Gewinn/Verlust?</v>
      </c>
      <c r="D10" s="1188"/>
      <c r="E10" s="1189"/>
      <c r="F10" s="1186"/>
      <c r="G10" s="1187"/>
      <c r="H10" s="810" t="str">
        <f>IF(OR(H9="",H45="",F9="",G45=""),"noch leer",H9-H45)</f>
        <v>noch leer</v>
      </c>
      <c r="I10" s="510"/>
      <c r="J10" s="467"/>
      <c r="K10" s="480"/>
    </row>
    <row r="11" spans="1:11" ht="9.9499999999999993" customHeight="1" x14ac:dyDescent="0.2">
      <c r="A11" s="505"/>
      <c r="B11" s="505"/>
      <c r="C11" s="505"/>
      <c r="D11" s="505"/>
      <c r="E11" s="505"/>
      <c r="F11" s="505"/>
      <c r="G11" s="505"/>
      <c r="H11" s="505"/>
      <c r="I11" s="505"/>
      <c r="J11" s="470"/>
      <c r="K11" s="471"/>
    </row>
    <row r="12" spans="1:11" ht="15" customHeight="1" x14ac:dyDescent="0.2">
      <c r="A12" s="505"/>
      <c r="B12" s="506" t="s">
        <v>414</v>
      </c>
      <c r="C12" s="521"/>
      <c r="D12" s="521"/>
      <c r="E12" s="521"/>
      <c r="F12" s="521"/>
      <c r="G12" s="521"/>
      <c r="H12" s="521"/>
      <c r="I12" s="510"/>
      <c r="J12" s="470"/>
      <c r="K12" s="471"/>
    </row>
    <row r="13" spans="1:11" ht="15" customHeight="1" x14ac:dyDescent="0.2">
      <c r="A13" s="505"/>
      <c r="B13" s="506" t="s">
        <v>415</v>
      </c>
      <c r="C13" s="506"/>
      <c r="D13" s="513"/>
      <c r="E13" s="522"/>
      <c r="F13" s="522"/>
      <c r="G13" s="522"/>
      <c r="H13" s="522"/>
      <c r="I13" s="510"/>
      <c r="J13" s="487"/>
      <c r="K13" s="471"/>
    </row>
    <row r="14" spans="1:11" ht="15" customHeight="1" x14ac:dyDescent="0.2">
      <c r="A14" s="505"/>
      <c r="B14" s="506" t="s">
        <v>60</v>
      </c>
      <c r="C14" s="506"/>
      <c r="D14" s="1190" t="s">
        <v>276</v>
      </c>
      <c r="E14" s="1176" t="s">
        <v>416</v>
      </c>
      <c r="F14" s="1176"/>
      <c r="G14" s="1176" t="str">
        <f>"Gesamtkosten
"&amp;F5</f>
        <v xml:space="preserve">Gesamtkosten
</v>
      </c>
      <c r="H14" s="1176" t="s">
        <v>417</v>
      </c>
      <c r="I14" s="510"/>
      <c r="J14" s="487"/>
      <c r="K14" s="471"/>
    </row>
    <row r="15" spans="1:11" ht="15" customHeight="1" thickBot="1" x14ac:dyDescent="0.25">
      <c r="A15" s="505"/>
      <c r="B15" s="521" t="s">
        <v>418</v>
      </c>
      <c r="C15" s="521"/>
      <c r="D15" s="1191"/>
      <c r="E15" s="1179"/>
      <c r="F15" s="1179"/>
      <c r="G15" s="1176"/>
      <c r="H15" s="1176"/>
      <c r="I15" s="510"/>
      <c r="J15" s="487"/>
      <c r="K15" s="471"/>
    </row>
    <row r="16" spans="1:11" ht="15" customHeight="1" thickBot="1" x14ac:dyDescent="0.25">
      <c r="A16" s="505"/>
      <c r="B16" s="515" t="str">
        <f>IF([1]Jog!B22="","",[1]Jog!B22)</f>
        <v>Rohmilch</v>
      </c>
      <c r="C16" s="515"/>
      <c r="D16" s="524">
        <f>F7</f>
        <v>218</v>
      </c>
      <c r="E16" s="525">
        <f>IF([1]Jog!M22="","",[1]Jog!M22)</f>
        <v>0.37</v>
      </c>
      <c r="F16" s="526" t="str">
        <f>IF([1]Jog!N22="","",[1]Jog!N22)</f>
        <v>pro lt</v>
      </c>
      <c r="G16" s="527"/>
      <c r="H16" s="528"/>
      <c r="I16" s="510"/>
      <c r="J16" s="470"/>
      <c r="K16" s="471"/>
    </row>
    <row r="17" spans="1:11" ht="15" customHeight="1" thickBot="1" x14ac:dyDescent="0.25">
      <c r="A17" s="505"/>
      <c r="B17" s="529" t="s">
        <v>419</v>
      </c>
      <c r="C17" s="529"/>
      <c r="D17" s="530"/>
      <c r="E17" s="531"/>
      <c r="F17" s="531"/>
      <c r="G17" s="812">
        <f>SUM(G16)</f>
        <v>0</v>
      </c>
      <c r="H17" s="532"/>
      <c r="I17" s="510"/>
      <c r="J17" s="467"/>
      <c r="K17" s="480"/>
    </row>
    <row r="18" spans="1:11" ht="3" customHeight="1" x14ac:dyDescent="0.2">
      <c r="A18" s="505"/>
      <c r="B18" s="533"/>
      <c r="C18" s="533"/>
      <c r="D18" s="534"/>
      <c r="E18" s="535"/>
      <c r="F18" s="535"/>
      <c r="G18" s="535"/>
      <c r="H18" s="535"/>
      <c r="I18" s="510"/>
      <c r="J18" s="470"/>
      <c r="K18" s="471"/>
    </row>
    <row r="19" spans="1:11" ht="15" customHeight="1" thickBot="1" x14ac:dyDescent="0.25">
      <c r="A19" s="505"/>
      <c r="B19" s="521" t="s">
        <v>420</v>
      </c>
      <c r="C19" s="521"/>
      <c r="D19" s="523" t="s">
        <v>276</v>
      </c>
      <c r="E19" s="536" t="s">
        <v>421</v>
      </c>
      <c r="F19" s="537" t="s">
        <v>422</v>
      </c>
      <c r="G19" s="523" t="s">
        <v>423</v>
      </c>
      <c r="H19" s="523" t="s">
        <v>424</v>
      </c>
      <c r="I19" s="510"/>
      <c r="J19" s="470"/>
      <c r="K19" s="471"/>
    </row>
    <row r="20" spans="1:11" ht="15" customHeight="1" thickBot="1" x14ac:dyDescent="0.25">
      <c r="A20" s="505"/>
      <c r="B20" s="515" t="str">
        <f>IF([1]Jog!B25="","",[1]Jog!B25)</f>
        <v>Glas</v>
      </c>
      <c r="C20" s="515"/>
      <c r="D20" s="538">
        <f>F8</f>
        <v>0</v>
      </c>
      <c r="E20" s="525">
        <f>IF([1]Jog!O25="","",[1]Jog!O25)</f>
        <v>0.17</v>
      </c>
      <c r="F20" s="526" t="str">
        <f>IF([1]Jog!J25="","",[1]Jog!J25)</f>
        <v>/ Stk.</v>
      </c>
      <c r="G20" s="527"/>
      <c r="H20" s="528"/>
      <c r="I20" s="510"/>
      <c r="J20" s="470"/>
      <c r="K20" s="471"/>
    </row>
    <row r="21" spans="1:11" ht="15" customHeight="1" thickBot="1" x14ac:dyDescent="0.25">
      <c r="A21" s="505"/>
      <c r="B21" s="515" t="str">
        <f>IF([1]Jog!B27="","",[1]Jog!B27)</f>
        <v>Deckel und Etikett</v>
      </c>
      <c r="C21" s="515"/>
      <c r="D21" s="538">
        <f>F8</f>
        <v>0</v>
      </c>
      <c r="E21" s="525">
        <f>IF([1]Jog!O27="","",[1]Jog!O27)</f>
        <v>0.09</v>
      </c>
      <c r="F21" s="526" t="str">
        <f>IF([1]Jog!J27="","",[1]Jog!J27)</f>
        <v>/ Stk.</v>
      </c>
      <c r="G21" s="799">
        <f>IF(OR(D21="",E21=""),"",D21*E21)</f>
        <v>0</v>
      </c>
      <c r="H21" s="528"/>
      <c r="I21" s="510"/>
      <c r="J21" s="470"/>
      <c r="K21" s="471"/>
    </row>
    <row r="22" spans="1:11" ht="15" customHeight="1" thickBot="1" x14ac:dyDescent="0.25">
      <c r="A22" s="505"/>
      <c r="B22" s="515" t="str">
        <f>IF([1]Jog!B29="","",[1]Jog!B29)</f>
        <v>Jogurtkultur</v>
      </c>
      <c r="C22" s="515"/>
      <c r="D22" s="539">
        <f>IF([1]Jog!N29="","",[1]Jog!N29)</f>
        <v>7</v>
      </c>
      <c r="E22" s="525">
        <f>IF([1]Jog!O29="","",[1]Jog!O29)</f>
        <v>0.37</v>
      </c>
      <c r="F22" s="526" t="str">
        <f>IF([1]Jog!J29="","",[1]Jog!J29)</f>
        <v>/ Kaffeelöffel</v>
      </c>
      <c r="G22" s="527"/>
      <c r="H22" s="528"/>
      <c r="I22" s="510"/>
      <c r="J22" s="467"/>
      <c r="K22" s="480"/>
    </row>
    <row r="23" spans="1:11" ht="15" customHeight="1" thickBot="1" x14ac:dyDescent="0.25">
      <c r="A23" s="505"/>
      <c r="B23" s="515" t="str">
        <f>IF([1]Jog!B31="","",[1]Jog!B31)</f>
        <v>Geschmackszutaten: Erdbeer</v>
      </c>
      <c r="C23" s="515"/>
      <c r="D23" s="540">
        <f>IF([1]Jog!N31="","",[1]Jog!N31)</f>
        <v>2.2000000000000002</v>
      </c>
      <c r="E23" s="525">
        <f>IF([1]Jog!O31="","",[1]Jog!O31)</f>
        <v>13.08</v>
      </c>
      <c r="F23" s="526" t="str">
        <f>IF([1]Jog!J31="","",[1]Jog!J31)</f>
        <v>/ kg</v>
      </c>
      <c r="G23" s="527"/>
      <c r="H23" s="528"/>
      <c r="I23" s="510"/>
      <c r="J23" s="470"/>
      <c r="K23" s="471"/>
    </row>
    <row r="24" spans="1:11" ht="15" customHeight="1" thickBot="1" x14ac:dyDescent="0.25">
      <c r="A24" s="505"/>
      <c r="B24" s="515" t="str">
        <f>IF([1]Jog!B33="","",[1]Jog!B33)</f>
        <v>Zucker</v>
      </c>
      <c r="C24" s="515"/>
      <c r="D24" s="540">
        <f>IF([1]Jog!N33="","",[1]Jog!N33)</f>
        <v>1.1000000000000001</v>
      </c>
      <c r="E24" s="525">
        <f>IF([1]Jog!O33="","",[1]Jog!O33)</f>
        <v>0.87</v>
      </c>
      <c r="F24" s="526" t="str">
        <f>IF([1]Jog!J33="","",[1]Jog!J33)</f>
        <v>/ kg</v>
      </c>
      <c r="G24" s="527"/>
      <c r="H24" s="528"/>
      <c r="I24" s="510"/>
      <c r="J24" s="470"/>
      <c r="K24" s="471"/>
    </row>
    <row r="25" spans="1:11" ht="15" customHeight="1" x14ac:dyDescent="0.2">
      <c r="A25" s="505"/>
      <c r="B25" s="515" t="str">
        <f>IF([1]Jog!B35="","",[1]Jog!B35)</f>
        <v>Strom</v>
      </c>
      <c r="C25" s="515"/>
      <c r="D25" s="541">
        <f>IF([1]Jog!N35="","",[1]Jog!N35)</f>
        <v>31</v>
      </c>
      <c r="E25" s="525">
        <f>IF([1]Jog!O35="","",[1]Jog!O35)</f>
        <v>0.13</v>
      </c>
      <c r="F25" s="526" t="str">
        <f>IF([1]Jog!J35="","",[1]Jog!J35)</f>
        <v>/ KWh</v>
      </c>
      <c r="G25" s="800">
        <f>IF(OR(D25="",E25=""),"",D25*E25)</f>
        <v>4.03</v>
      </c>
      <c r="H25" s="528"/>
      <c r="I25" s="510"/>
      <c r="J25" s="470"/>
      <c r="K25" s="471"/>
    </row>
    <row r="26" spans="1:11" ht="15" customHeight="1" x14ac:dyDescent="0.2">
      <c r="A26" s="505"/>
      <c r="B26" s="515" t="str">
        <f>IF([1]Jog!B37="","",[1]Jog!B37)</f>
        <v>Wasser (inkl. Abwasser)</v>
      </c>
      <c r="C26" s="515"/>
      <c r="D26" s="542">
        <f>IF([1]Jog!N37="","",[1]Jog!N37)</f>
        <v>5.5</v>
      </c>
      <c r="E26" s="525">
        <f>IF([1]Jog!O37="","",[1]Jog!O37)</f>
        <v>1.47</v>
      </c>
      <c r="F26" s="526" t="str">
        <f>IF([1]Jog!J37="","",[1]Jog!J37)</f>
        <v>/ m³</v>
      </c>
      <c r="G26" s="801">
        <f>IF(OR(D26="",E26=""),"",D26*E26)</f>
        <v>8.0849999999999991</v>
      </c>
      <c r="H26" s="528"/>
      <c r="I26" s="510"/>
      <c r="J26" s="470"/>
      <c r="K26" s="500"/>
    </row>
    <row r="27" spans="1:11" ht="15" customHeight="1" x14ac:dyDescent="0.2">
      <c r="A27" s="505"/>
      <c r="B27" s="515" t="str">
        <f>IF([1]Jog!B39="","",[1]Jog!B39)</f>
        <v/>
      </c>
      <c r="C27" s="515"/>
      <c r="D27" s="540" t="str">
        <f>IF([1]Jog!N39="","",[1]Jog!N39)</f>
        <v/>
      </c>
      <c r="E27" s="525" t="str">
        <f>IF([1]Jog!O39="","",[1]Jog!O39)</f>
        <v/>
      </c>
      <c r="F27" s="543" t="str">
        <f>IF([1]Jog!J39="","",[1]Jog!J39)</f>
        <v/>
      </c>
      <c r="G27" s="801"/>
      <c r="H27" s="528"/>
      <c r="I27" s="510"/>
      <c r="J27" s="502"/>
      <c r="K27" s="500"/>
    </row>
    <row r="28" spans="1:11" ht="15" customHeight="1" thickBot="1" x14ac:dyDescent="0.25">
      <c r="A28" s="505"/>
      <c r="B28" s="515" t="str">
        <f>IF([1]Jog!B41="","",[1]Jog!B41)</f>
        <v/>
      </c>
      <c r="C28" s="515"/>
      <c r="D28" s="538" t="str">
        <f>IF([1]Jog!N41="","",[1]Jog!N41)</f>
        <v/>
      </c>
      <c r="E28" s="525" t="str">
        <f>IF([1]Jog!O41="","",[1]Jog!O41)</f>
        <v/>
      </c>
      <c r="F28" s="543" t="str">
        <f>IF([1]Jog!J41="","",[1]Jog!J41)</f>
        <v/>
      </c>
      <c r="G28" s="802"/>
      <c r="H28" s="528"/>
      <c r="I28" s="510"/>
      <c r="J28" s="502"/>
      <c r="K28" s="803"/>
    </row>
    <row r="29" spans="1:11" ht="15" customHeight="1" thickBot="1" x14ac:dyDescent="0.25">
      <c r="A29" s="505"/>
      <c r="B29" s="529" t="s">
        <v>425</v>
      </c>
      <c r="C29" s="529"/>
      <c r="D29" s="530"/>
      <c r="E29" s="531"/>
      <c r="F29" s="531"/>
      <c r="G29" s="532"/>
      <c r="H29" s="532"/>
      <c r="I29" s="510"/>
      <c r="J29" s="502"/>
      <c r="K29" s="803"/>
    </row>
    <row r="30" spans="1:11" ht="3" customHeight="1" x14ac:dyDescent="0.2">
      <c r="A30" s="505"/>
      <c r="B30" s="533"/>
      <c r="C30" s="533"/>
      <c r="D30" s="534"/>
      <c r="E30" s="535"/>
      <c r="F30" s="535"/>
      <c r="G30" s="535"/>
      <c r="H30" s="535"/>
      <c r="I30" s="510"/>
      <c r="J30" s="502"/>
      <c r="K30" s="803"/>
    </row>
    <row r="31" spans="1:11" ht="15" customHeight="1" x14ac:dyDescent="0.2">
      <c r="A31" s="505"/>
      <c r="B31" s="521" t="s">
        <v>426</v>
      </c>
      <c r="C31" s="521"/>
      <c r="D31" s="523"/>
      <c r="E31" s="536" t="s">
        <v>427</v>
      </c>
      <c r="F31" s="537" t="s">
        <v>422</v>
      </c>
      <c r="G31" s="523" t="s">
        <v>423</v>
      </c>
      <c r="H31" s="523" t="s">
        <v>424</v>
      </c>
      <c r="I31" s="505"/>
      <c r="J31" s="502"/>
      <c r="K31" s="803"/>
    </row>
    <row r="32" spans="1:11" ht="15" customHeight="1" thickBot="1" x14ac:dyDescent="0.25">
      <c r="A32" s="505"/>
      <c r="B32" s="515" t="str">
        <f>IF([1]Jog!B44="","",[1]Jog!B44)</f>
        <v>Arbeitszeitbedarf für Herstellung und Abfüllung</v>
      </c>
      <c r="C32" s="515"/>
      <c r="D32" s="544"/>
      <c r="E32" s="545">
        <f>IF([1]Jog!N44="","",[1]Jog!N44)</f>
        <v>19</v>
      </c>
      <c r="F32" s="907">
        <f>IF([1]Jog!O44="","",[1]Jog!O44)</f>
        <v>218</v>
      </c>
      <c r="G32" s="546"/>
      <c r="H32" s="546"/>
      <c r="I32" s="505"/>
      <c r="J32" s="502"/>
      <c r="K32" s="803"/>
    </row>
    <row r="33" spans="1:11" ht="15" customHeight="1" thickBot="1" x14ac:dyDescent="0.25">
      <c r="A33" s="505"/>
      <c r="B33" s="515" t="str">
        <f>IF([1]Jog!B46="","",[1]Jog!B46)</f>
        <v>Lohnansatz</v>
      </c>
      <c r="C33" s="515"/>
      <c r="D33" s="547"/>
      <c r="E33" s="548">
        <f>IF([1]Jog!N46="","",[1]Jog!N46)</f>
        <v>8.6999999999999993</v>
      </c>
      <c r="F33" s="549" t="str">
        <f>IF([1]Jog!O46="","",[1]Jog!O46)</f>
        <v>je Akh</v>
      </c>
      <c r="G33" s="550"/>
      <c r="H33" s="528"/>
      <c r="I33" s="505"/>
      <c r="J33" s="502"/>
      <c r="K33" s="803"/>
    </row>
    <row r="34" spans="1:11" ht="15" customHeight="1" x14ac:dyDescent="0.2">
      <c r="A34" s="505"/>
      <c r="B34" s="529" t="s">
        <v>428</v>
      </c>
      <c r="C34" s="529"/>
      <c r="D34" s="530"/>
      <c r="E34" s="531"/>
      <c r="F34" s="531"/>
      <c r="G34" s="804">
        <f>SUM(G33)</f>
        <v>0</v>
      </c>
      <c r="H34" s="805" t="str">
        <f>IF(OR(G34="",$F$8=""),"",G34/$F$8)</f>
        <v/>
      </c>
      <c r="I34" s="505"/>
      <c r="J34" s="502"/>
      <c r="K34" s="803"/>
    </row>
    <row r="35" spans="1:11" ht="3" customHeight="1" x14ac:dyDescent="0.2">
      <c r="A35" s="505"/>
      <c r="B35" s="533"/>
      <c r="C35" s="533"/>
      <c r="D35" s="534"/>
      <c r="E35" s="535"/>
      <c r="F35" s="535"/>
      <c r="G35" s="535"/>
      <c r="H35" s="535"/>
      <c r="I35" s="510"/>
      <c r="J35" s="502"/>
      <c r="K35" s="803"/>
    </row>
    <row r="36" spans="1:11" ht="15" customHeight="1" thickBot="1" x14ac:dyDescent="0.25">
      <c r="A36" s="505"/>
      <c r="B36" s="521" t="s">
        <v>64</v>
      </c>
      <c r="C36" s="521"/>
      <c r="D36" s="523"/>
      <c r="E36" s="536" t="s">
        <v>421</v>
      </c>
      <c r="F36" s="537" t="s">
        <v>422</v>
      </c>
      <c r="G36" s="523" t="s">
        <v>423</v>
      </c>
      <c r="H36" s="523" t="s">
        <v>424</v>
      </c>
      <c r="I36" s="505"/>
      <c r="J36" s="502"/>
      <c r="K36" s="803"/>
    </row>
    <row r="37" spans="1:11" ht="15" customHeight="1" thickBot="1" x14ac:dyDescent="0.25">
      <c r="A37" s="510"/>
      <c r="B37" s="551" t="str">
        <f>IF([1]Jog!B49="","",[1]Jog!B49)</f>
        <v>Pasteur</v>
      </c>
      <c r="C37" s="551"/>
      <c r="D37" s="551"/>
      <c r="E37" s="525">
        <f>IF([1]Jog!N49="","",[1]Jog!N49)</f>
        <v>950</v>
      </c>
      <c r="F37" s="552" t="str">
        <f>IF([1]Jog!O49="","",[1]Jog!O49)</f>
        <v>/Jahr</v>
      </c>
      <c r="G37" s="527"/>
      <c r="H37" s="528"/>
      <c r="I37" s="510"/>
      <c r="J37" s="502"/>
      <c r="K37" s="803"/>
    </row>
    <row r="38" spans="1:11" ht="15" customHeight="1" thickBot="1" x14ac:dyDescent="0.25">
      <c r="A38" s="510"/>
      <c r="B38" s="551" t="str">
        <f>IF([1]Jog!B51="","",[1]Jog!B51)</f>
        <v>Kühlschrank</v>
      </c>
      <c r="C38" s="551"/>
      <c r="D38" s="551"/>
      <c r="E38" s="525">
        <f>IF([1]Jog!N51="","",[1]Jog!N51)</f>
        <v>340</v>
      </c>
      <c r="F38" s="552" t="str">
        <f>IF([1]Jog!O51="","",[1]Jog!O51)</f>
        <v>/Jahr</v>
      </c>
      <c r="G38" s="527"/>
      <c r="H38" s="528"/>
      <c r="I38" s="510"/>
      <c r="J38" s="502"/>
      <c r="K38" s="803"/>
    </row>
    <row r="39" spans="1:11" ht="15" customHeight="1" thickBot="1" x14ac:dyDescent="0.25">
      <c r="A39" s="510"/>
      <c r="B39" s="551" t="str">
        <f>IF([1]Jog!B53="","",[1]Jog!B53)</f>
        <v>Geschirrspüler</v>
      </c>
      <c r="C39" s="551"/>
      <c r="D39" s="551"/>
      <c r="E39" s="525">
        <f>IF([1]Jog!N53="","",[1]Jog!N53)</f>
        <v>290</v>
      </c>
      <c r="F39" s="552" t="str">
        <f>IF([1]Jog!O53="","",[1]Jog!O53)</f>
        <v>/Jahr</v>
      </c>
      <c r="G39" s="527"/>
      <c r="H39" s="528"/>
      <c r="I39" s="510"/>
      <c r="J39" s="502"/>
      <c r="K39" s="803"/>
    </row>
    <row r="40" spans="1:11" ht="15" customHeight="1" thickBot="1" x14ac:dyDescent="0.25">
      <c r="A40" s="505"/>
      <c r="B40" s="529" t="s">
        <v>429</v>
      </c>
      <c r="C40" s="529"/>
      <c r="D40" s="530"/>
      <c r="E40" s="531"/>
      <c r="F40" s="531"/>
      <c r="G40" s="532"/>
      <c r="H40" s="806" t="str">
        <f>IF(OR(G40="",$F$8=""),"",G40/$F$8)</f>
        <v/>
      </c>
      <c r="I40" s="505"/>
      <c r="J40" s="502"/>
      <c r="K40" s="803"/>
    </row>
    <row r="41" spans="1:11" ht="15" customHeight="1" thickBot="1" x14ac:dyDescent="0.25">
      <c r="A41" s="553"/>
      <c r="B41" s="554" t="s">
        <v>430</v>
      </c>
      <c r="C41" s="554"/>
      <c r="D41" s="554"/>
      <c r="E41" s="554"/>
      <c r="F41" s="554"/>
      <c r="G41" s="555"/>
      <c r="H41" s="809" t="str">
        <f>IF(OR(G41="",$F$8=""),"",G41/$F$8)</f>
        <v/>
      </c>
      <c r="I41" s="553"/>
      <c r="J41" s="502"/>
      <c r="K41" s="803"/>
    </row>
    <row r="42" spans="1:11" ht="9.9499999999999993" customHeight="1" x14ac:dyDescent="0.2">
      <c r="A42" s="553"/>
      <c r="B42" s="533"/>
      <c r="C42" s="533"/>
      <c r="D42" s="533"/>
      <c r="E42" s="533"/>
      <c r="F42" s="533"/>
      <c r="G42" s="556"/>
      <c r="H42" s="556"/>
      <c r="I42" s="553"/>
      <c r="J42" s="502"/>
      <c r="K42" s="803"/>
    </row>
    <row r="43" spans="1:11" ht="15" customHeight="1" thickBot="1" x14ac:dyDescent="0.25">
      <c r="A43" s="505"/>
      <c r="B43" s="506" t="s">
        <v>431</v>
      </c>
      <c r="C43" s="512"/>
      <c r="D43" s="512"/>
      <c r="E43" s="512"/>
      <c r="F43" s="512"/>
      <c r="G43" s="523" t="s">
        <v>423</v>
      </c>
      <c r="H43" s="523" t="s">
        <v>424</v>
      </c>
      <c r="I43" s="505"/>
      <c r="J43" s="502"/>
      <c r="K43" s="803"/>
    </row>
    <row r="44" spans="1:11" ht="15" customHeight="1" thickBot="1" x14ac:dyDescent="0.25">
      <c r="A44" s="510"/>
      <c r="B44" s="551" t="str">
        <f>IF([1]Jog!B56="","",[1]Jog!B56)</f>
        <v>Gemein- und Vermarktungskostenzuschlag</v>
      </c>
      <c r="C44" s="551"/>
      <c r="D44" s="551"/>
      <c r="E44" s="557">
        <f>IF([1]Jog!N56="","",[1]Jog!N56)</f>
        <v>2.7E-2</v>
      </c>
      <c r="F44" s="558" t="str">
        <f>IF([1]Jog!O56="","",[1]Jog!O56)</f>
        <v>der Herstellungskosten</v>
      </c>
      <c r="G44" s="527"/>
      <c r="H44" s="528"/>
      <c r="I44" s="510"/>
      <c r="J44" s="502"/>
      <c r="K44" s="803"/>
    </row>
    <row r="45" spans="1:11" ht="15" customHeight="1" thickBot="1" x14ac:dyDescent="0.25">
      <c r="A45" s="553"/>
      <c r="B45" s="554" t="s">
        <v>432</v>
      </c>
      <c r="C45" s="554"/>
      <c r="D45" s="554"/>
      <c r="E45" s="554"/>
      <c r="F45" s="554"/>
      <c r="G45" s="807">
        <f>SUM(G41,G44)</f>
        <v>0</v>
      </c>
      <c r="H45" s="808" t="str">
        <f>IF(OR(G45="",$F$8=""),"",G45/$F$8)</f>
        <v/>
      </c>
      <c r="I45" s="553"/>
      <c r="J45" s="502"/>
      <c r="K45" s="803"/>
    </row>
    <row r="46" spans="1:11" ht="15" customHeight="1" thickBot="1" x14ac:dyDescent="0.25">
      <c r="A46" s="510"/>
      <c r="B46" s="551" t="str">
        <f>IF([1]Jog!B58="","",[1]Jog!B58)</f>
        <v>Gewinn- und Risikozuschlag</v>
      </c>
      <c r="C46" s="551"/>
      <c r="D46" s="551"/>
      <c r="E46" s="557">
        <f>IF([1]Jog!N58="","",[1]Jog!N58)</f>
        <v>5.5E-2</v>
      </c>
      <c r="F46" s="559" t="str">
        <f>IF([1]Jog!O58="","",[1]Jog!O58)</f>
        <v>der Vollkosten</v>
      </c>
      <c r="G46" s="527"/>
      <c r="H46" s="889" t="e">
        <f>G46/F8</f>
        <v>#DIV/0!</v>
      </c>
      <c r="I46" s="510"/>
      <c r="J46" s="502"/>
      <c r="K46" s="803"/>
    </row>
    <row r="47" spans="1:11" ht="15" customHeight="1" thickBot="1" x14ac:dyDescent="0.25">
      <c r="A47" s="553"/>
      <c r="B47" s="560" t="s">
        <v>433</v>
      </c>
      <c r="C47" s="560"/>
      <c r="D47" s="560"/>
      <c r="E47" s="560"/>
      <c r="F47" s="560"/>
      <c r="G47" s="811">
        <f>SUM(G45:G46)</f>
        <v>0</v>
      </c>
      <c r="H47" s="561"/>
      <c r="I47" s="553"/>
      <c r="J47" s="502"/>
      <c r="K47" s="803"/>
    </row>
    <row r="48" spans="1:11" x14ac:dyDescent="0.2">
      <c r="J48" s="502"/>
      <c r="K48" s="803"/>
    </row>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sheetData>
  <sheetProtection algorithmName="SHA-512" hashValue="270crIfIWhR4r4zg9PIclAvgVRgjjr5HPn35KsZ9pMIjidgvPTAla9xgDHd5ACVh8VuA2hGhi8cNDf9V1MB5Wg==" saltValue="mKjPjNuIa7fD+gXDhQJasQ==" spinCount="100000" sheet="1" objects="1" scenarios="1"/>
  <mergeCells count="11">
    <mergeCell ref="G14:G15"/>
    <mergeCell ref="K1:K4"/>
    <mergeCell ref="H14:H15"/>
    <mergeCell ref="F5:G5"/>
    <mergeCell ref="E14:F15"/>
    <mergeCell ref="F7:G7"/>
    <mergeCell ref="F8:G8"/>
    <mergeCell ref="F9:G9"/>
    <mergeCell ref="F10:G10"/>
    <mergeCell ref="C10:E10"/>
    <mergeCell ref="D14:D15"/>
  </mergeCells>
  <phoneticPr fontId="4" type="noConversion"/>
  <conditionalFormatting sqref="E46 E44 D16:F16 D20:F26 E32:F33 E37:F39 H6 H9 F7:G7">
    <cfRule type="cellIs" dxfId="44" priority="1" stopIfTrue="1" operator="equal">
      <formula>""</formula>
    </cfRule>
  </conditionalFormatting>
  <conditionalFormatting sqref="D3:E3">
    <cfRule type="expression" dxfId="43" priority="2" stopIfTrue="1">
      <formula>#REF!=""</formula>
    </cfRule>
  </conditionalFormatting>
  <conditionalFormatting sqref="B10">
    <cfRule type="cellIs" dxfId="42" priority="3" stopIfTrue="1" operator="equal">
      <formula>"Berechnung fehlt!"</formula>
    </cfRule>
    <cfRule type="expression" dxfId="41" priority="4" stopIfTrue="1">
      <formula>$C$10="ACHTUNG: Der tatsächliche Gewinn liegt unter dem Gewinnzuschlag!!!"</formula>
    </cfRule>
    <cfRule type="cellIs" dxfId="40" priority="5" stopIfTrue="1" operator="equal">
      <formula>"Verlust!"</formula>
    </cfRule>
  </conditionalFormatting>
  <conditionalFormatting sqref="F10:G10">
    <cfRule type="cellIs" dxfId="39" priority="6" stopIfTrue="1" operator="lessThan">
      <formula>0</formula>
    </cfRule>
    <cfRule type="expression" dxfId="38" priority="7" stopIfTrue="1">
      <formula>$C$10="ACHTUNG: Der tatsächliche Gewinn liegt unter dem Gewinnzuschlag!!!"</formula>
    </cfRule>
    <cfRule type="cellIs" dxfId="37" priority="8" stopIfTrue="1" operator="equal">
      <formula>"noch leer"</formula>
    </cfRule>
  </conditionalFormatting>
  <conditionalFormatting sqref="C10:E10">
    <cfRule type="cellIs" dxfId="36" priority="9" stopIfTrue="1" operator="equal">
      <formula>"ACHTUNG: Der Preis deckt die Kosten nicht ab!!!"</formula>
    </cfRule>
    <cfRule type="expression" dxfId="35" priority="10" stopIfTrue="1">
      <formula>$C$10="ACHTUNG: Der tatsächliche Gewinn liegt unter dem Gewinnzuschlag!!!"</formula>
    </cfRule>
    <cfRule type="cellIs" dxfId="34" priority="11" stopIfTrue="1" operator="equal">
      <formula>"Gewinn/Verlust?"</formula>
    </cfRule>
  </conditionalFormatting>
  <conditionalFormatting sqref="H10">
    <cfRule type="cellIs" dxfId="33" priority="12" stopIfTrue="1" operator="lessThan">
      <formula>0</formula>
    </cfRule>
    <cfRule type="expression" dxfId="32" priority="13" stopIfTrue="1">
      <formula>$C$10="ACHTUNG: Der tatsächliche Gewinn liegt unter dem Gewinnzuschlag!!!"</formula>
    </cfRule>
    <cfRule type="cellIs" dxfId="31" priority="14" stopIfTrue="1" operator="equal">
      <formula>"noch leer"</formula>
    </cfRule>
  </conditionalFormatting>
  <printOptions horizontalCentered="1"/>
  <pageMargins left="0.39370078740157483" right="0.39370078740157483" top="0.59055118110236227" bottom="0.39370078740157483" header="0" footer="0"/>
  <pageSetup paperSize="9" orientation="portrait" blackAndWhite="1" horizontalDpi="4294967295" verticalDpi="300" r:id="rId1"/>
  <headerFooter alignWithMargins="0">
    <oddHeader>&amp;R&amp;8&amp;U&amp;F - Seite &amp;P/&amp;N</oddHead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9">
    <tabColor indexed="10"/>
  </sheetPr>
  <dimension ref="A1:G19"/>
  <sheetViews>
    <sheetView showGridLines="0" workbookViewId="0">
      <pane ySplit="3" topLeftCell="A4" activePane="bottomLeft" state="frozen"/>
      <selection activeCell="F326" sqref="F326"/>
      <selection pane="bottomLeft" activeCell="D18" sqref="D18"/>
    </sheetView>
  </sheetViews>
  <sheetFormatPr baseColWidth="10" defaultColWidth="0" defaultRowHeight="12.75" zeroHeight="1" x14ac:dyDescent="0.2"/>
  <cols>
    <col min="1" max="1" width="2.7109375" style="1" customWidth="1"/>
    <col min="2" max="2" width="6.7109375" style="1" customWidth="1"/>
    <col min="3" max="3" width="60.7109375" style="1" customWidth="1"/>
    <col min="4" max="4" width="15.7109375" style="1" customWidth="1"/>
    <col min="5" max="5" width="2.7109375" style="1" customWidth="1"/>
    <col min="6" max="6" width="0.85546875" style="1" customWidth="1"/>
    <col min="7" max="7" width="20.7109375" style="1" customWidth="1"/>
    <col min="8" max="16384" width="0" style="1" hidden="1"/>
  </cols>
  <sheetData>
    <row r="1" spans="1:7" ht="24.95" customHeight="1" x14ac:dyDescent="0.2">
      <c r="A1" s="180"/>
      <c r="B1" s="181" t="str">
        <f>"Fixkosten für das Jahr "&amp;IF([1]Allg!E12="","",[1]Allg!E12)</f>
        <v>Fixkosten für das Jahr 2019</v>
      </c>
      <c r="C1" s="562"/>
      <c r="D1" s="563"/>
      <c r="E1" s="564"/>
      <c r="F1" s="464"/>
      <c r="G1" s="1177" t="s">
        <v>101</v>
      </c>
    </row>
    <row r="2" spans="1:7" ht="30" customHeight="1" x14ac:dyDescent="0.2">
      <c r="A2" s="220"/>
      <c r="B2" s="220"/>
      <c r="D2" s="220"/>
      <c r="E2" s="220"/>
      <c r="F2" s="467"/>
      <c r="G2" s="1177"/>
    </row>
    <row r="3" spans="1:7" ht="20.100000000000001" customHeight="1" x14ac:dyDescent="0.2">
      <c r="A3" s="220"/>
      <c r="B3" s="194" t="s">
        <v>434</v>
      </c>
      <c r="C3" s="194"/>
      <c r="D3" s="183" t="s">
        <v>435</v>
      </c>
      <c r="E3" s="220"/>
      <c r="F3" s="470"/>
      <c r="G3" s="1177"/>
    </row>
    <row r="4" spans="1:7" ht="21.95" customHeight="1" x14ac:dyDescent="0.2">
      <c r="A4" s="220"/>
      <c r="B4" s="214">
        <v>1</v>
      </c>
      <c r="C4" s="184" t="str">
        <f>IF([1]FK!C12="","",[1]FK!C12)</f>
        <v>Betriebsversicherungen</v>
      </c>
      <c r="D4" s="565">
        <f>IF([1]FK!N12="","",-[1]FK!N12)</f>
        <v>-1802</v>
      </c>
      <c r="E4" s="566"/>
      <c r="F4" s="470"/>
      <c r="G4" s="471"/>
    </row>
    <row r="5" spans="1:7" ht="21.95" customHeight="1" x14ac:dyDescent="0.2">
      <c r="A5" s="220"/>
      <c r="B5" s="214">
        <v>2</v>
      </c>
      <c r="C5" s="184" t="str">
        <f>IF([1]FK!C14="","",[1]FK!C14)</f>
        <v>Betriebssteuern und -abgaben</v>
      </c>
      <c r="D5" s="565">
        <f>IF([1]FK!N14="","",-[1]FK!N14)</f>
        <v>-872</v>
      </c>
      <c r="E5" s="566"/>
      <c r="F5" s="470"/>
      <c r="G5" s="471"/>
    </row>
    <row r="6" spans="1:7" ht="21.95" customHeight="1" x14ac:dyDescent="0.2">
      <c r="A6" s="220"/>
      <c r="B6" s="214">
        <v>3</v>
      </c>
      <c r="C6" s="184" t="str">
        <f>IF([1]FK!C15="","",[1]FK!C15)</f>
        <v>Abschreibung</v>
      </c>
      <c r="D6" s="567" t="s">
        <v>223</v>
      </c>
      <c r="E6" s="566"/>
      <c r="F6" s="470"/>
      <c r="G6" s="471"/>
    </row>
    <row r="7" spans="1:7" ht="21.95" customHeight="1" x14ac:dyDescent="0.2">
      <c r="A7" s="220"/>
      <c r="B7" s="214"/>
      <c r="C7" s="184" t="str">
        <f>IF([1]FK!C16="","",[1]FK!C16)</f>
        <v xml:space="preserve">              Grundverbesserungen</v>
      </c>
      <c r="D7" s="568" t="str">
        <f>IF(AV!I9="","noch leer",-AV!I9)</f>
        <v>noch leer</v>
      </c>
      <c r="E7" s="566"/>
      <c r="F7" s="470"/>
      <c r="G7" s="471"/>
    </row>
    <row r="8" spans="1:7" ht="21.95" customHeight="1" x14ac:dyDescent="0.2">
      <c r="A8" s="220"/>
      <c r="B8" s="214"/>
      <c r="C8" s="184" t="str">
        <f>IF([1]FK!C17="","",[1]FK!C17)</f>
        <v xml:space="preserve">              Betriebs- und Geschäftsausstattung</v>
      </c>
      <c r="D8" s="568" t="s">
        <v>223</v>
      </c>
      <c r="E8" s="566"/>
      <c r="F8" s="470"/>
      <c r="G8" s="471"/>
    </row>
    <row r="9" spans="1:7" ht="21.95" customHeight="1" x14ac:dyDescent="0.2">
      <c r="A9" s="220"/>
      <c r="B9" s="214"/>
      <c r="C9" s="184" t="str">
        <f>IF([1]FK!C19="","",[1]FK!C19)</f>
        <v xml:space="preserve">              Gebäude</v>
      </c>
      <c r="D9" s="568" t="str">
        <f>IF(AV!I19="","noch leer",-AV!I19)</f>
        <v>noch leer</v>
      </c>
      <c r="E9" s="566"/>
      <c r="F9" s="470"/>
      <c r="G9" s="471"/>
    </row>
    <row r="10" spans="1:7" ht="21.95" customHeight="1" x14ac:dyDescent="0.2">
      <c r="A10" s="220"/>
      <c r="B10" s="214"/>
      <c r="C10" s="184" t="str">
        <f>IF([1]FK!C18="","",[1]FK!C18)</f>
        <v xml:space="preserve">              Maschinen</v>
      </c>
      <c r="D10" s="568" t="str">
        <f>IF(AV!I41="","noch leer",-AV!I41)</f>
        <v>noch leer</v>
      </c>
      <c r="E10" s="566"/>
      <c r="F10" s="467"/>
      <c r="G10" s="480"/>
    </row>
    <row r="11" spans="1:7" ht="21.95" customHeight="1" x14ac:dyDescent="0.2">
      <c r="A11" s="220"/>
      <c r="B11" s="214">
        <v>4</v>
      </c>
      <c r="C11" s="184" t="str">
        <f>IF([1]FK!C20="","",[1]FK!C20)</f>
        <v>Gebäudereparaturen</v>
      </c>
      <c r="D11" s="565">
        <f>IF([1]FK!N20="","",-[1]FK!N20)</f>
        <v>-655</v>
      </c>
      <c r="E11" s="566"/>
      <c r="F11" s="470"/>
      <c r="G11" s="471"/>
    </row>
    <row r="12" spans="1:7" ht="21.95" customHeight="1" x14ac:dyDescent="0.2">
      <c r="A12" s="220"/>
      <c r="B12" s="214">
        <v>5</v>
      </c>
      <c r="C12" s="184" t="str">
        <f>IF([1]FK!C22="","",[1]FK!C22)</f>
        <v>Pachtzinse</v>
      </c>
      <c r="D12" s="565" t="s">
        <v>223</v>
      </c>
      <c r="E12" s="566"/>
      <c r="F12" s="470"/>
      <c r="G12" s="471"/>
    </row>
    <row r="13" spans="1:7" ht="21.95" customHeight="1" x14ac:dyDescent="0.2">
      <c r="A13" s="220"/>
      <c r="B13" s="214">
        <v>6</v>
      </c>
      <c r="C13" s="184" t="str">
        <f>IF([1]FK!C24="","",[1]FK!C24)</f>
        <v>Schuldzinse</v>
      </c>
      <c r="D13" s="565">
        <f>IF([1]FK!N24="","",-[1]FK!N24)</f>
        <v>-2366</v>
      </c>
      <c r="E13" s="566"/>
      <c r="F13" s="487"/>
      <c r="G13" s="471"/>
    </row>
    <row r="14" spans="1:7" ht="21.95" customHeight="1" x14ac:dyDescent="0.2">
      <c r="A14" s="220"/>
      <c r="B14" s="214">
        <v>7</v>
      </c>
      <c r="C14" s="184" t="str">
        <f>IF([1]FK!C26="","",[1]FK!C26)</f>
        <v>Ausgedingelasten</v>
      </c>
      <c r="D14" s="565" t="s">
        <v>223</v>
      </c>
      <c r="E14" s="566"/>
      <c r="F14" s="487"/>
      <c r="G14" s="471"/>
    </row>
    <row r="15" spans="1:7" ht="21.95" customHeight="1" x14ac:dyDescent="0.2">
      <c r="A15" s="220"/>
      <c r="B15" s="214">
        <v>8</v>
      </c>
      <c r="C15" s="184" t="str">
        <f>IF([1]FK!C28="","",[1]FK!C28)</f>
        <v>Vewaltungskosten</v>
      </c>
      <c r="D15" s="565">
        <f>IF([1]FK!N28="","",-[1]FK!N28)</f>
        <v>-839</v>
      </c>
      <c r="E15" s="566"/>
      <c r="F15" s="487"/>
      <c r="G15" s="471"/>
    </row>
    <row r="16" spans="1:7" ht="21.95" customHeight="1" x14ac:dyDescent="0.2">
      <c r="A16" s="220"/>
      <c r="B16" s="214">
        <v>9</v>
      </c>
      <c r="C16" s="184" t="str">
        <f>IF([1]FK!C30="","",[1]FK!C30)</f>
        <v/>
      </c>
      <c r="D16" s="569" t="s">
        <v>223</v>
      </c>
      <c r="E16" s="566"/>
      <c r="F16" s="470"/>
      <c r="G16" s="471"/>
    </row>
    <row r="17" spans="1:7" ht="21.95" customHeight="1" thickBot="1" x14ac:dyDescent="0.25">
      <c r="A17" s="220"/>
      <c r="B17" s="214">
        <v>10</v>
      </c>
      <c r="C17" s="184" t="str">
        <f>IF([1]FK!C32="","",[1]FK!C32)</f>
        <v/>
      </c>
      <c r="D17" s="569" t="s">
        <v>223</v>
      </c>
      <c r="E17" s="566"/>
      <c r="F17" s="467"/>
      <c r="G17" s="480"/>
    </row>
    <row r="18" spans="1:7" ht="21.95" customHeight="1" thickBot="1" x14ac:dyDescent="0.25">
      <c r="A18" s="220"/>
      <c r="B18" s="570" t="s">
        <v>429</v>
      </c>
      <c r="C18" s="570"/>
      <c r="D18" s="571"/>
      <c r="E18" s="566"/>
      <c r="F18" s="470"/>
      <c r="G18" s="471"/>
    </row>
    <row r="19" spans="1:7" x14ac:dyDescent="0.2">
      <c r="F19" s="739"/>
      <c r="G19" s="813"/>
    </row>
  </sheetData>
  <sheetProtection algorithmName="SHA-512" hashValue="gfg10hPV47K6Vha6udE8USDZecUioPv+8tGxRpODTnoxQFUo6XniEv410QqbFLliXXAUZPSQDnDQai+FJ6GZ3A==" saltValue="g5IubKHhPbr1ro2LcvK70w==" spinCount="100000" sheet="1" objects="1" scenarios="1"/>
  <mergeCells count="1">
    <mergeCell ref="G1:G3"/>
  </mergeCells>
  <phoneticPr fontId="4" type="noConversion"/>
  <conditionalFormatting sqref="D7 D9:D10">
    <cfRule type="cellIs" dxfId="30" priority="1" stopIfTrue="1" operator="equal">
      <formula>""</formula>
    </cfRule>
    <cfRule type="cellIs" dxfId="29" priority="2" stopIfTrue="1" operator="equal">
      <formula>"noch leer"</formula>
    </cfRule>
  </conditionalFormatting>
  <printOptions horizontalCentered="1"/>
  <pageMargins left="0.39370078740157483" right="0.39370078740157483" top="0.59055118110236227" bottom="0.39370078740157483" header="0" footer="0"/>
  <pageSetup paperSize="9" orientation="portrait" blackAndWhite="1" horizontalDpi="4294967295" r:id="rId1"/>
  <headerFooter alignWithMargins="0">
    <oddHeader>&amp;R&amp;8&amp;U&amp;F - Seite &amp;P/&amp;N</oddHead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20">
    <tabColor indexed="10"/>
  </sheetPr>
  <dimension ref="A1:M64"/>
  <sheetViews>
    <sheetView showGridLines="0" workbookViewId="0">
      <pane ySplit="4" topLeftCell="A5" activePane="bottomLeft" state="frozen"/>
      <selection activeCell="F326" sqref="F326"/>
      <selection pane="bottomLeft" activeCell="F7" sqref="F7"/>
    </sheetView>
  </sheetViews>
  <sheetFormatPr baseColWidth="10" defaultColWidth="0" defaultRowHeight="0" customHeight="1" zeroHeight="1" x14ac:dyDescent="0.2"/>
  <cols>
    <col min="1" max="1" width="2.7109375" style="233" customWidth="1"/>
    <col min="2" max="2" width="14.7109375" style="587" customWidth="1"/>
    <col min="3" max="3" width="2.7109375" style="587" customWidth="1"/>
    <col min="4" max="4" width="5.7109375" style="233" customWidth="1"/>
    <col min="5" max="6" width="10.7109375" style="284" customWidth="1"/>
    <col min="7" max="7" width="6.7109375" style="233" customWidth="1"/>
    <col min="8" max="10" width="10.7109375" style="284" customWidth="1"/>
    <col min="11" max="11" width="2.7109375" style="233" customWidth="1"/>
    <col min="12" max="12" width="0.85546875" style="1" customWidth="1"/>
    <col min="13" max="13" width="20.7109375" style="1" customWidth="1"/>
    <col min="14" max="16384" width="11.42578125" style="233" hidden="1"/>
  </cols>
  <sheetData>
    <row r="1" spans="1:13" ht="24.95" customHeight="1" x14ac:dyDescent="0.2">
      <c r="A1" s="180"/>
      <c r="B1" s="181" t="s">
        <v>436</v>
      </c>
      <c r="C1" s="181"/>
      <c r="D1" s="181"/>
      <c r="E1" s="181"/>
      <c r="F1" s="181"/>
      <c r="G1" s="181"/>
      <c r="H1" s="181"/>
      <c r="I1" s="181"/>
      <c r="J1" s="181"/>
      <c r="K1" s="181"/>
      <c r="L1" s="464"/>
      <c r="M1" s="1177" t="s">
        <v>101</v>
      </c>
    </row>
    <row r="2" spans="1:13" ht="30" customHeight="1" x14ac:dyDescent="0.2">
      <c r="B2" s="572"/>
      <c r="C2" s="572"/>
      <c r="D2" s="573"/>
      <c r="E2" s="573"/>
      <c r="F2" s="573"/>
      <c r="G2" s="573"/>
      <c r="H2" s="573"/>
      <c r="I2" s="573"/>
      <c r="J2" s="573"/>
      <c r="L2" s="467"/>
      <c r="M2" s="1177"/>
    </row>
    <row r="3" spans="1:13" ht="14.1" customHeight="1" x14ac:dyDescent="0.2">
      <c r="B3" s="288"/>
      <c r="C3" s="288"/>
      <c r="D3" s="1192" t="s">
        <v>437</v>
      </c>
      <c r="E3" s="1192"/>
      <c r="F3" s="574">
        <f>IF([1]Allg!E12="","",[1]Allg!E12)</f>
        <v>2019</v>
      </c>
      <c r="G3" s="1192" t="s">
        <v>438</v>
      </c>
      <c r="H3" s="1192"/>
      <c r="I3" s="574">
        <f>IF([1]Allg!E12="","",[1]Allg!E12)</f>
        <v>2019</v>
      </c>
      <c r="J3" s="1193" t="s">
        <v>439</v>
      </c>
      <c r="L3" s="470"/>
      <c r="M3" s="1177"/>
    </row>
    <row r="4" spans="1:13" ht="14.1" customHeight="1" x14ac:dyDescent="0.2">
      <c r="B4" s="575" t="s">
        <v>440</v>
      </c>
      <c r="C4" s="575"/>
      <c r="D4" s="276" t="s">
        <v>276</v>
      </c>
      <c r="E4" s="283" t="s">
        <v>441</v>
      </c>
      <c r="F4" s="283" t="s">
        <v>269</v>
      </c>
      <c r="G4" s="276" t="s">
        <v>276</v>
      </c>
      <c r="H4" s="283" t="s">
        <v>441</v>
      </c>
      <c r="I4" s="283" t="s">
        <v>269</v>
      </c>
      <c r="J4" s="1193"/>
      <c r="L4" s="470"/>
      <c r="M4" s="1177"/>
    </row>
    <row r="5" spans="1:13" ht="14.1" customHeight="1" x14ac:dyDescent="0.2">
      <c r="B5" s="288" t="str">
        <f>IF([1]UV!D14="","",[1]UV!D14)</f>
        <v>RINDER</v>
      </c>
      <c r="C5" s="288"/>
      <c r="D5" s="265"/>
      <c r="E5" s="265"/>
      <c r="F5" s="265"/>
      <c r="G5" s="265"/>
      <c r="H5" s="265"/>
      <c r="I5" s="265"/>
      <c r="J5" s="265"/>
      <c r="L5" s="470"/>
      <c r="M5" s="471"/>
    </row>
    <row r="6" spans="1:13" ht="14.1" customHeight="1" thickBot="1" x14ac:dyDescent="0.25">
      <c r="B6" s="267" t="str">
        <f>IF([1]UV!C18="","",[1]UV!C18)</f>
        <v>Milchkühe</v>
      </c>
      <c r="C6" s="267"/>
      <c r="D6" s="576">
        <f>IF([1]UV!E18="","",[1]UV!E18)</f>
        <v>11</v>
      </c>
      <c r="E6" s="577">
        <f>IF([1]UV!S18="","",[1]UV!S18)</f>
        <v>1148</v>
      </c>
      <c r="F6" s="823">
        <f>IF($B6="","",D6*E6)</f>
        <v>12628</v>
      </c>
      <c r="G6" s="578">
        <f>IF([1]UV!K18="","",[1]UV!K18)</f>
        <v>14</v>
      </c>
      <c r="H6" s="317">
        <f>IF([1]UV!T18="","",[1]UV!T18)</f>
        <v>1148</v>
      </c>
      <c r="I6" s="824">
        <f>IF($B6="","",G6*H6)</f>
        <v>16072</v>
      </c>
      <c r="J6" s="824">
        <f>IF($B6="","",I6-F6)</f>
        <v>3444</v>
      </c>
      <c r="L6" s="470"/>
      <c r="M6" s="471"/>
    </row>
    <row r="7" spans="1:13" ht="14.1" customHeight="1" thickBot="1" x14ac:dyDescent="0.25">
      <c r="B7" s="267" t="str">
        <f>IF([1]UV!C20="","",[1]UV!C20)</f>
        <v>Kalbinnen</v>
      </c>
      <c r="C7" s="267"/>
      <c r="D7" s="576">
        <f>IF([1]UV!E20="","",[1]UV!E20)</f>
        <v>6</v>
      </c>
      <c r="E7" s="577">
        <f>IF([1]UV!S20="","",[1]UV!S20)</f>
        <v>1289</v>
      </c>
      <c r="F7" s="819"/>
      <c r="G7" s="578">
        <f>IF([1]UV!K20="","",[1]UV!K20)</f>
        <v>3</v>
      </c>
      <c r="H7" s="317">
        <f>IF([1]UV!T20="","",[1]UV!T20)</f>
        <v>1289</v>
      </c>
      <c r="I7" s="820"/>
      <c r="J7" s="820"/>
      <c r="L7" s="470"/>
      <c r="M7" s="471"/>
    </row>
    <row r="8" spans="1:13" ht="14.1" customHeight="1" thickBot="1" x14ac:dyDescent="0.25">
      <c r="B8" s="267" t="str">
        <f>IF([1]UV!C22="","",[1]UV!C22)</f>
        <v>Jungvieh 1 - 2 Jahre</v>
      </c>
      <c r="C8" s="267"/>
      <c r="D8" s="576">
        <f>IF([1]UV!E22="","",[1]UV!E22)</f>
        <v>4</v>
      </c>
      <c r="E8" s="577">
        <f>IF([1]UV!S22="","",[1]UV!S22)</f>
        <v>755</v>
      </c>
      <c r="F8" s="819"/>
      <c r="G8" s="578">
        <f>IF([1]UV!K22="","",[1]UV!K22)</f>
        <v>5</v>
      </c>
      <c r="H8" s="317">
        <f>IF([1]UV!T22="","",[1]UV!T22)</f>
        <v>755</v>
      </c>
      <c r="I8" s="820"/>
      <c r="J8" s="820"/>
      <c r="L8" s="470"/>
      <c r="M8" s="471"/>
    </row>
    <row r="9" spans="1:13" ht="14.1" customHeight="1" x14ac:dyDescent="0.2">
      <c r="B9" s="267" t="str">
        <f>IF([1]UV!C24="","",[1]UV!C24)</f>
        <v>Jungvieh bis 1 Jahr</v>
      </c>
      <c r="C9" s="267"/>
      <c r="D9" s="576">
        <f>IF([1]UV!E24="","",[1]UV!E24)</f>
        <v>3</v>
      </c>
      <c r="E9" s="577">
        <f>IF([1]UV!S24="","",[1]UV!S24)</f>
        <v>546</v>
      </c>
      <c r="F9" s="304">
        <f>IF($B9="","",D9*E9)</f>
        <v>1638</v>
      </c>
      <c r="G9" s="578">
        <f>IF([1]UV!K24="","",[1]UV!K24)</f>
        <v>3</v>
      </c>
      <c r="H9" s="317">
        <f>IF([1]UV!T24="","",[1]UV!T24)</f>
        <v>546</v>
      </c>
      <c r="I9" s="827">
        <f>IF($B9="","",G9*H9)</f>
        <v>1638</v>
      </c>
      <c r="J9" s="827">
        <f>IF($B9="","",I9-F9)</f>
        <v>0</v>
      </c>
      <c r="L9" s="470"/>
      <c r="M9" s="471"/>
    </row>
    <row r="10" spans="1:13" ht="14.1" customHeight="1" x14ac:dyDescent="0.2">
      <c r="B10" s="267" t="str">
        <f>IF([1]UV!C26="","",[1]UV!C26)</f>
        <v>Mastkälber</v>
      </c>
      <c r="C10" s="267"/>
      <c r="D10" s="576">
        <f>IF([1]UV!E26="","",[1]UV!E26)</f>
        <v>5</v>
      </c>
      <c r="E10" s="577">
        <f>IF([1]UV!S26="","",[1]UV!S26)</f>
        <v>196</v>
      </c>
      <c r="F10" s="304">
        <f>IF($B10="","",D10*E10)</f>
        <v>980</v>
      </c>
      <c r="G10" s="578">
        <f>IF([1]UV!K26="","",[1]UV!K26)</f>
        <v>3</v>
      </c>
      <c r="H10" s="317">
        <f>IF([1]UV!T26="","",[1]UV!T26)</f>
        <v>196</v>
      </c>
      <c r="I10" s="827">
        <f>IF($B10="","",G10*H10)</f>
        <v>588</v>
      </c>
      <c r="J10" s="827">
        <f>IF($B10="","",I10-F10)</f>
        <v>-392</v>
      </c>
      <c r="L10" s="467"/>
      <c r="M10" s="480"/>
    </row>
    <row r="11" spans="1:13" ht="14.1" customHeight="1" x14ac:dyDescent="0.2">
      <c r="B11" s="267" t="str">
        <f>IF([1]UV!C28="","",[1]UV!C28)</f>
        <v/>
      </c>
      <c r="C11" s="267"/>
      <c r="D11" s="576" t="str">
        <f>IF([1]UV!E28="","",[1]UV!E28)</f>
        <v/>
      </c>
      <c r="E11" s="577" t="str">
        <f>IF([1]UV!S28="","",[1]UV!S28)</f>
        <v/>
      </c>
      <c r="F11" s="304"/>
      <c r="G11" s="578" t="str">
        <f>IF([1]UV!K28="","",[1]UV!K28)</f>
        <v/>
      </c>
      <c r="H11" s="317" t="str">
        <f>IF([1]UV!T28="","",[1]UV!T28)</f>
        <v/>
      </c>
      <c r="I11" s="827"/>
      <c r="J11" s="827"/>
      <c r="L11" s="470"/>
      <c r="M11" s="471"/>
    </row>
    <row r="12" spans="1:13" ht="14.1" customHeight="1" thickBot="1" x14ac:dyDescent="0.25">
      <c r="B12" s="267" t="str">
        <f>IF([1]UV!C30="","",[1]UV!C30)</f>
        <v/>
      </c>
      <c r="C12" s="267"/>
      <c r="D12" s="576" t="str">
        <f>IF([1]UV!E30="","",[1]UV!E30)</f>
        <v/>
      </c>
      <c r="E12" s="577" t="str">
        <f>IF([1]UV!S30="","",[1]UV!S30)</f>
        <v/>
      </c>
      <c r="F12" s="823"/>
      <c r="G12" s="578" t="str">
        <f>IF([1]UV!K30="","",[1]UV!K30)</f>
        <v/>
      </c>
      <c r="H12" s="317" t="str">
        <f>IF([1]UV!T30="","",[1]UV!T30)</f>
        <v/>
      </c>
      <c r="I12" s="824"/>
      <c r="J12" s="824"/>
      <c r="L12" s="470"/>
      <c r="M12" s="471"/>
    </row>
    <row r="13" spans="1:13" ht="14.1" customHeight="1" thickBot="1" x14ac:dyDescent="0.25">
      <c r="B13" s="579" t="str">
        <f>"Summe "&amp;B5</f>
        <v>Summe RINDER</v>
      </c>
      <c r="C13" s="580"/>
      <c r="D13" s="331"/>
      <c r="E13" s="331"/>
      <c r="F13" s="581"/>
      <c r="G13" s="331"/>
      <c r="H13" s="582"/>
      <c r="I13" s="583"/>
      <c r="J13" s="583"/>
      <c r="L13" s="487"/>
      <c r="M13" s="471"/>
    </row>
    <row r="14" spans="1:13" ht="6" customHeight="1" thickBot="1" x14ac:dyDescent="0.25">
      <c r="B14" s="233"/>
      <c r="C14" s="233"/>
      <c r="E14" s="233"/>
      <c r="F14" s="233"/>
      <c r="H14" s="233"/>
      <c r="I14" s="233"/>
      <c r="J14" s="233"/>
      <c r="L14" s="487"/>
      <c r="M14" s="471"/>
    </row>
    <row r="15" spans="1:13" ht="13.5" thickBot="1" x14ac:dyDescent="0.25">
      <c r="B15" s="233"/>
      <c r="C15" s="584"/>
      <c r="D15" s="585" t="s">
        <v>442</v>
      </c>
      <c r="E15" s="233"/>
      <c r="F15" s="586" t="s">
        <v>443</v>
      </c>
      <c r="H15" s="233"/>
      <c r="I15" s="233"/>
      <c r="J15" s="233"/>
      <c r="L15" s="487"/>
      <c r="M15" s="471"/>
    </row>
    <row r="16" spans="1:13" ht="3.95" customHeight="1" thickBot="1" x14ac:dyDescent="0.25">
      <c r="B16" s="233"/>
      <c r="C16" s="233"/>
      <c r="E16" s="233"/>
      <c r="F16" s="233"/>
      <c r="H16" s="233"/>
      <c r="I16" s="233"/>
      <c r="J16" s="233"/>
      <c r="L16" s="470"/>
      <c r="M16" s="471"/>
    </row>
    <row r="17" spans="2:13" ht="15.75" thickBot="1" x14ac:dyDescent="0.25">
      <c r="B17" s="233"/>
      <c r="C17" s="584"/>
      <c r="D17" s="585" t="s">
        <v>444</v>
      </c>
      <c r="E17" s="233"/>
      <c r="F17" s="233"/>
      <c r="H17" s="233"/>
      <c r="I17" s="233"/>
      <c r="J17" s="233"/>
      <c r="L17" s="467"/>
      <c r="M17" s="480"/>
    </row>
    <row r="18" spans="2:13" ht="3.95" customHeight="1" thickBot="1" x14ac:dyDescent="0.25">
      <c r="B18" s="233"/>
      <c r="C18" s="233"/>
      <c r="E18" s="233"/>
      <c r="F18" s="233"/>
      <c r="H18" s="233"/>
      <c r="I18" s="233"/>
      <c r="J18" s="233"/>
      <c r="L18" s="470"/>
      <c r="M18" s="471"/>
    </row>
    <row r="19" spans="2:13" ht="13.5" thickBot="1" x14ac:dyDescent="0.25">
      <c r="B19" s="233"/>
      <c r="C19" s="584"/>
      <c r="D19" s="585" t="s">
        <v>445</v>
      </c>
      <c r="E19" s="233"/>
      <c r="F19" s="233"/>
      <c r="H19" s="233"/>
      <c r="I19" s="233"/>
      <c r="J19" s="233"/>
      <c r="L19" s="739"/>
      <c r="M19" s="813"/>
    </row>
    <row r="20" spans="2:13" ht="6" customHeight="1" x14ac:dyDescent="0.2">
      <c r="B20" s="233"/>
      <c r="C20" s="233"/>
      <c r="E20" s="233"/>
      <c r="F20" s="233"/>
      <c r="H20" s="233"/>
      <c r="I20" s="233"/>
      <c r="J20" s="233"/>
      <c r="L20" s="739"/>
      <c r="M20" s="813"/>
    </row>
    <row r="21" spans="2:13" ht="14.1" customHeight="1" x14ac:dyDescent="0.2">
      <c r="B21" s="288" t="str">
        <f>IF([1]UV!D32="","",UPPER([1]UV!D32))</f>
        <v>HÜHNER</v>
      </c>
      <c r="C21" s="288"/>
      <c r="D21" s="265"/>
      <c r="E21" s="265"/>
      <c r="F21" s="265"/>
      <c r="G21" s="265"/>
      <c r="H21" s="265"/>
      <c r="I21" s="265"/>
      <c r="J21" s="265"/>
      <c r="L21" s="739"/>
      <c r="M21" s="813"/>
    </row>
    <row r="22" spans="2:13" ht="14.1" customHeight="1" x14ac:dyDescent="0.2">
      <c r="B22" s="267" t="str">
        <f>IF([1]UV!C36="","",[1]UV!C36)</f>
        <v>Mastkücken</v>
      </c>
      <c r="C22" s="267"/>
      <c r="D22" s="576">
        <f>IF([1]UV!E36="","",[1]UV!E36)</f>
        <v>40</v>
      </c>
      <c r="E22" s="577">
        <f>IF([1]UV!S36="","",[1]UV!S36)</f>
        <v>0.38</v>
      </c>
      <c r="F22" s="304">
        <f>IF($B22="","",D22*E22)</f>
        <v>15.2</v>
      </c>
      <c r="G22" s="578">
        <f>IF([1]UV!K36="","",[1]UV!K36)</f>
        <v>35</v>
      </c>
      <c r="H22" s="317">
        <f>IF([1]UV!T36="","",[1]UV!T36)</f>
        <v>0.38</v>
      </c>
      <c r="I22" s="827">
        <f>IF($B22="","",G22*H22)</f>
        <v>13.3</v>
      </c>
      <c r="J22" s="827">
        <f>IF($B22="","",I22-F22)</f>
        <v>-1.8999999999999986</v>
      </c>
      <c r="L22" s="739"/>
      <c r="M22" s="813"/>
    </row>
    <row r="23" spans="2:13" ht="14.1" customHeight="1" x14ac:dyDescent="0.2">
      <c r="B23" s="267" t="str">
        <f>IF([1]UV!C38="","",[1]UV!C38)</f>
        <v>Masthühner</v>
      </c>
      <c r="C23" s="267"/>
      <c r="D23" s="576">
        <f>IF([1]UV!E38="","",[1]UV!E38)</f>
        <v>60</v>
      </c>
      <c r="E23" s="577">
        <f>IF([1]UV!S38="","",[1]UV!S38)</f>
        <v>3.34</v>
      </c>
      <c r="F23" s="304">
        <f>IF($B23="","",D23*E23)</f>
        <v>200.39999999999998</v>
      </c>
      <c r="G23" s="578">
        <f>IF([1]UV!K38="","",[1]UV!K38)</f>
        <v>78</v>
      </c>
      <c r="H23" s="317">
        <f>IF([1]UV!T38="","",[1]UV!T38)</f>
        <v>3.34</v>
      </c>
      <c r="I23" s="827">
        <f>IF($B23="","",G23*H23)</f>
        <v>260.52</v>
      </c>
      <c r="J23" s="827">
        <f>IF($B23="","",I23-F23)</f>
        <v>60.120000000000005</v>
      </c>
      <c r="L23" s="739"/>
      <c r="M23" s="813"/>
    </row>
    <row r="24" spans="2:13" ht="14.1" customHeight="1" x14ac:dyDescent="0.2">
      <c r="B24" s="267" t="str">
        <f>IF([1]UV!C40="","",[1]UV!C40)</f>
        <v/>
      </c>
      <c r="C24" s="267"/>
      <c r="D24" s="576" t="str">
        <f>IF([1]UV!E40="","",[1]UV!E40)</f>
        <v/>
      </c>
      <c r="E24" s="577" t="str">
        <f>IF([1]UV!S40="","",[1]UV!S40)</f>
        <v/>
      </c>
      <c r="F24" s="304"/>
      <c r="G24" s="578" t="str">
        <f>IF([1]UV!K40="","",[1]UV!K40)</f>
        <v/>
      </c>
      <c r="H24" s="317" t="str">
        <f>IF([1]UV!T40="","",[1]UV!T40)</f>
        <v/>
      </c>
      <c r="I24" s="827"/>
      <c r="J24" s="827"/>
      <c r="L24" s="739"/>
      <c r="M24" s="813"/>
    </row>
    <row r="25" spans="2:13" ht="14.1" customHeight="1" x14ac:dyDescent="0.2">
      <c r="B25" s="267" t="str">
        <f>IF([1]UV!C42="","",[1]UV!C42)</f>
        <v/>
      </c>
      <c r="C25" s="267"/>
      <c r="D25" s="576" t="str">
        <f>IF([1]UV!E42="","",[1]UV!E42)</f>
        <v/>
      </c>
      <c r="E25" s="577" t="str">
        <f>IF([1]UV!S42="","",[1]UV!S42)</f>
        <v/>
      </c>
      <c r="F25" s="304"/>
      <c r="G25" s="578" t="str">
        <f>IF([1]UV!K42="","",[1]UV!K42)</f>
        <v/>
      </c>
      <c r="H25" s="317" t="str">
        <f>IF([1]UV!T42="","",[1]UV!T42)</f>
        <v/>
      </c>
      <c r="I25" s="827"/>
      <c r="J25" s="827"/>
      <c r="L25" s="739"/>
      <c r="M25" s="813"/>
    </row>
    <row r="26" spans="2:13" ht="14.1" customHeight="1" x14ac:dyDescent="0.2">
      <c r="B26" s="267" t="str">
        <f>IF([1]UV!C44="","",[1]UV!C44)</f>
        <v/>
      </c>
      <c r="C26" s="267"/>
      <c r="D26" s="576" t="str">
        <f>IF([1]UV!E44="","",[1]UV!E44)</f>
        <v/>
      </c>
      <c r="E26" s="577" t="str">
        <f>IF([1]UV!S44="","",[1]UV!S44)</f>
        <v/>
      </c>
      <c r="F26" s="304"/>
      <c r="G26" s="578" t="str">
        <f>IF([1]UV!K44="","",[1]UV!K44)</f>
        <v/>
      </c>
      <c r="H26" s="317" t="str">
        <f>IF([1]UV!T44="","",[1]UV!T44)</f>
        <v/>
      </c>
      <c r="I26" s="827"/>
      <c r="J26" s="827"/>
      <c r="L26" s="739"/>
      <c r="M26" s="813"/>
    </row>
    <row r="27" spans="2:13" ht="14.1" customHeight="1" x14ac:dyDescent="0.2">
      <c r="B27" s="579" t="str">
        <f>"Summe "&amp;B21</f>
        <v>Summe HÜHNER</v>
      </c>
      <c r="C27" s="580"/>
      <c r="D27" s="331"/>
      <c r="E27" s="331"/>
      <c r="F27" s="821">
        <f>IF(SUM(F22:F26)=0,"",SUM(F22:F26))</f>
        <v>215.59999999999997</v>
      </c>
      <c r="G27" s="331"/>
      <c r="H27" s="582"/>
      <c r="I27" s="822">
        <f>IF(SUM(I22:I26)=0,"",SUM(I22:I26))</f>
        <v>273.82</v>
      </c>
      <c r="J27" s="822">
        <f>IF(SUM(J22:J26)=0,"",SUM(J22:J26))</f>
        <v>58.220000000000006</v>
      </c>
      <c r="L27" s="739"/>
      <c r="M27" s="813"/>
    </row>
    <row r="28" spans="2:13" ht="6" customHeight="1" x14ac:dyDescent="0.2">
      <c r="B28" s="233"/>
      <c r="C28" s="233"/>
      <c r="E28" s="233"/>
      <c r="F28" s="233"/>
      <c r="H28" s="233"/>
      <c r="I28" s="233"/>
      <c r="J28" s="233"/>
      <c r="L28" s="739"/>
      <c r="M28" s="813"/>
    </row>
    <row r="29" spans="2:13" ht="14.1" customHeight="1" x14ac:dyDescent="0.2">
      <c r="B29" s="288" t="s">
        <v>446</v>
      </c>
      <c r="C29" s="288"/>
      <c r="D29" s="265"/>
      <c r="E29" s="265"/>
      <c r="F29" s="265"/>
      <c r="G29" s="265"/>
      <c r="H29" s="265"/>
      <c r="I29" s="265"/>
      <c r="J29" s="265"/>
      <c r="L29" s="739"/>
      <c r="M29" s="813"/>
    </row>
    <row r="30" spans="2:13" ht="14.1" customHeight="1" x14ac:dyDescent="0.2">
      <c r="B30" s="288" t="s">
        <v>447</v>
      </c>
      <c r="C30" s="288"/>
      <c r="D30" s="265"/>
      <c r="E30" s="265"/>
      <c r="F30" s="265"/>
      <c r="G30" s="265"/>
      <c r="H30" s="265"/>
      <c r="I30" s="265"/>
      <c r="J30" s="265"/>
      <c r="L30" s="739"/>
      <c r="M30" s="813"/>
    </row>
    <row r="31" spans="2:13" ht="14.1" customHeight="1" x14ac:dyDescent="0.2">
      <c r="B31" s="267" t="str">
        <f>IF([1]UV!C50="","",[1]UV!C50)</f>
        <v>Käse</v>
      </c>
      <c r="C31" s="267"/>
      <c r="D31" s="576">
        <f>IF([1]UV!E50="","",[1]UV!E50)</f>
        <v>15</v>
      </c>
      <c r="E31" s="577">
        <f>IF([1]UV!S50="","",[1]UV!S50)</f>
        <v>7.23</v>
      </c>
      <c r="F31" s="304">
        <f>IF($B31="","",D31*E31)</f>
        <v>108.45</v>
      </c>
      <c r="G31" s="578">
        <f>IF([1]UV!K50="","",[1]UV!K50)</f>
        <v>12</v>
      </c>
      <c r="H31" s="317">
        <f>IF([1]UV!T50="","",[1]UV!T50)</f>
        <v>7.23</v>
      </c>
      <c r="I31" s="827">
        <f>IF($B31="","",G31*H31)</f>
        <v>86.76</v>
      </c>
      <c r="J31" s="827">
        <f>IF($B31="","",I31-F31)</f>
        <v>-21.689999999999998</v>
      </c>
      <c r="L31" s="739"/>
      <c r="M31" s="813"/>
    </row>
    <row r="32" spans="2:13" ht="14.1" customHeight="1" thickBot="1" x14ac:dyDescent="0.25">
      <c r="B32" s="267" t="str">
        <f>IF([1]UV!C52="","",[1]UV!C52)</f>
        <v>Butter</v>
      </c>
      <c r="C32" s="267"/>
      <c r="D32" s="576">
        <f>IF([1]UV!E52="","",[1]UV!E52)</f>
        <v>33</v>
      </c>
      <c r="E32" s="577">
        <f>IF([1]UV!S52="","",[1]UV!S52)</f>
        <v>5.28</v>
      </c>
      <c r="F32" s="823">
        <f>D32*E32</f>
        <v>174.24</v>
      </c>
      <c r="G32" s="578">
        <f>IF([1]UV!K52="","",[1]UV!K52)</f>
        <v>62</v>
      </c>
      <c r="H32" s="317">
        <f>IF([1]UV!T52="","",[1]UV!T52)</f>
        <v>5.28</v>
      </c>
      <c r="I32" s="824">
        <f>G32*H32</f>
        <v>327.36</v>
      </c>
      <c r="J32" s="824">
        <f>I32-F32</f>
        <v>153.12</v>
      </c>
      <c r="L32" s="739"/>
      <c r="M32" s="813"/>
    </row>
    <row r="33" spans="2:13" ht="14.1" customHeight="1" thickBot="1" x14ac:dyDescent="0.25">
      <c r="B33" s="267" t="str">
        <f>IF([1]UV!C54="","",[1]UV!C54)</f>
        <v>Kartoffel</v>
      </c>
      <c r="C33" s="267"/>
      <c r="D33" s="576">
        <f>IF([1]UV!E54="","",[1]UV!E54)</f>
        <v>766</v>
      </c>
      <c r="E33" s="577">
        <f>IF([1]UV!S54="","",[1]UV!S54)</f>
        <v>0.23</v>
      </c>
      <c r="F33" s="819"/>
      <c r="G33" s="578">
        <f>IF([1]UV!K54="","",[1]UV!K54)</f>
        <v>932</v>
      </c>
      <c r="H33" s="317">
        <f>IF([1]UV!T54="","",[1]UV!T54)</f>
        <v>0.23</v>
      </c>
      <c r="I33" s="820"/>
      <c r="J33" s="820"/>
      <c r="L33" s="739"/>
      <c r="M33" s="813"/>
    </row>
    <row r="34" spans="2:13" ht="14.1" customHeight="1" x14ac:dyDescent="0.2">
      <c r="B34" s="267" t="str">
        <f>IF([1]UV!C56="","",[1]UV!C56)</f>
        <v/>
      </c>
      <c r="C34" s="267"/>
      <c r="D34" s="576" t="str">
        <f>IF([1]UV!E56="","",[1]UV!E56)</f>
        <v/>
      </c>
      <c r="E34" s="577" t="str">
        <f>IF([1]UV!S56="","",[1]UV!S56)</f>
        <v/>
      </c>
      <c r="F34" s="825"/>
      <c r="G34" s="578" t="str">
        <f>IF([1]UV!K56="","",[1]UV!K56)</f>
        <v/>
      </c>
      <c r="H34" s="317" t="str">
        <f>IF([1]UV!T56="","",[1]UV!T56)</f>
        <v/>
      </c>
      <c r="I34" s="826"/>
      <c r="J34" s="826"/>
      <c r="L34" s="739"/>
      <c r="M34" s="813"/>
    </row>
    <row r="35" spans="2:13" ht="14.1" customHeight="1" thickBot="1" x14ac:dyDescent="0.25">
      <c r="B35" s="267" t="str">
        <f>IF([1]UV!C58="","",[1]UV!C58)</f>
        <v/>
      </c>
      <c r="C35" s="267"/>
      <c r="D35" s="576" t="str">
        <f>IF([1]UV!E58="","",[1]UV!E58)</f>
        <v/>
      </c>
      <c r="E35" s="577" t="str">
        <f>IF([1]UV!S58="","",[1]UV!S58)</f>
        <v/>
      </c>
      <c r="F35" s="823"/>
      <c r="G35" s="578" t="str">
        <f>IF([1]UV!K58="","",[1]UV!K58)</f>
        <v/>
      </c>
      <c r="H35" s="317" t="str">
        <f>IF([1]UV!T58="","",[1]UV!T58)</f>
        <v/>
      </c>
      <c r="I35" s="824"/>
      <c r="J35" s="824"/>
      <c r="L35" s="739"/>
      <c r="M35" s="813"/>
    </row>
    <row r="36" spans="2:13" ht="14.1" customHeight="1" thickBot="1" x14ac:dyDescent="0.25">
      <c r="B36" s="579" t="s">
        <v>448</v>
      </c>
      <c r="C36" s="580"/>
      <c r="D36" s="331"/>
      <c r="E36" s="331"/>
      <c r="F36" s="581"/>
      <c r="G36" s="331"/>
      <c r="H36" s="582"/>
      <c r="I36" s="583"/>
      <c r="J36" s="583"/>
      <c r="L36" s="739"/>
      <c r="M36" s="813"/>
    </row>
    <row r="37" spans="2:13" ht="6" customHeight="1" thickBot="1" x14ac:dyDescent="0.25">
      <c r="B37" s="233"/>
      <c r="C37" s="233"/>
      <c r="E37" s="233"/>
      <c r="F37" s="233"/>
      <c r="H37" s="233"/>
      <c r="I37" s="233"/>
      <c r="J37" s="233"/>
      <c r="L37" s="739"/>
      <c r="M37" s="813"/>
    </row>
    <row r="38" spans="2:13" ht="13.5" thickBot="1" x14ac:dyDescent="0.25">
      <c r="B38" s="233"/>
      <c r="C38" s="584"/>
      <c r="D38" s="585" t="s">
        <v>442</v>
      </c>
      <c r="E38" s="233"/>
      <c r="F38" s="586" t="s">
        <v>443</v>
      </c>
      <c r="H38" s="233"/>
      <c r="I38" s="233"/>
      <c r="J38" s="233"/>
      <c r="L38" s="739"/>
      <c r="M38" s="813"/>
    </row>
    <row r="39" spans="2:13" ht="3.95" customHeight="1" thickBot="1" x14ac:dyDescent="0.25">
      <c r="B39" s="233"/>
      <c r="C39" s="233"/>
      <c r="D39" s="585"/>
      <c r="E39" s="233"/>
      <c r="F39" s="233"/>
      <c r="H39" s="233"/>
      <c r="I39" s="233"/>
      <c r="J39" s="233"/>
      <c r="L39" s="739"/>
      <c r="M39" s="813"/>
    </row>
    <row r="40" spans="2:13" ht="13.5" thickBot="1" x14ac:dyDescent="0.25">
      <c r="B40" s="233"/>
      <c r="C40" s="584"/>
      <c r="D40" s="585" t="s">
        <v>444</v>
      </c>
      <c r="E40" s="233"/>
      <c r="F40" s="233"/>
      <c r="H40" s="233"/>
      <c r="I40" s="233"/>
      <c r="J40" s="233"/>
      <c r="L40" s="739"/>
      <c r="M40" s="813"/>
    </row>
    <row r="41" spans="2:13" ht="3.95" customHeight="1" thickBot="1" x14ac:dyDescent="0.25">
      <c r="B41" s="233"/>
      <c r="C41" s="233"/>
      <c r="D41" s="585"/>
      <c r="E41" s="233"/>
      <c r="F41" s="233"/>
      <c r="H41" s="233"/>
      <c r="I41" s="233"/>
      <c r="J41" s="233"/>
      <c r="L41" s="739"/>
      <c r="M41" s="813"/>
    </row>
    <row r="42" spans="2:13" ht="13.5" thickBot="1" x14ac:dyDescent="0.25">
      <c r="B42" s="233"/>
      <c r="C42" s="584"/>
      <c r="D42" s="585" t="s">
        <v>445</v>
      </c>
      <c r="E42" s="233"/>
      <c r="F42" s="233"/>
      <c r="H42" s="233"/>
      <c r="I42" s="233"/>
      <c r="J42" s="233"/>
      <c r="L42" s="739"/>
      <c r="M42" s="813"/>
    </row>
    <row r="43" spans="2:13" ht="6" customHeight="1" x14ac:dyDescent="0.2">
      <c r="B43" s="233"/>
      <c r="C43" s="233"/>
      <c r="E43" s="233"/>
      <c r="F43" s="233"/>
      <c r="H43" s="233"/>
      <c r="I43" s="233"/>
      <c r="J43" s="233"/>
      <c r="L43" s="739"/>
      <c r="M43" s="813"/>
    </row>
    <row r="44" spans="2:13" ht="14.1" customHeight="1" x14ac:dyDescent="0.2">
      <c r="B44" s="288" t="s">
        <v>449</v>
      </c>
      <c r="C44" s="288"/>
      <c r="D44" s="265"/>
      <c r="E44" s="265"/>
      <c r="F44" s="265"/>
      <c r="G44" s="265"/>
      <c r="H44" s="265"/>
      <c r="I44" s="265"/>
      <c r="J44" s="265"/>
      <c r="L44" s="739"/>
      <c r="M44" s="813"/>
    </row>
    <row r="45" spans="2:13" ht="14.1" customHeight="1" x14ac:dyDescent="0.2">
      <c r="B45" s="267" t="str">
        <f>IF([1]UV!C64="","",[1]UV!C64)</f>
        <v>Milchkraftfutter</v>
      </c>
      <c r="C45" s="267"/>
      <c r="D45" s="576">
        <f>IF([1]UV!E64="","",[1]UV!E64)</f>
        <v>630</v>
      </c>
      <c r="E45" s="577">
        <f>IF([1]UV!S64="","",[1]UV!S64)</f>
        <v>0.33</v>
      </c>
      <c r="F45" s="304">
        <f>IF($B45="","",D45*E45)</f>
        <v>207.9</v>
      </c>
      <c r="G45" s="578">
        <f>IF([1]UV!K64="","",[1]UV!K64)</f>
        <v>1450</v>
      </c>
      <c r="H45" s="317">
        <f>IF([1]UV!T64="","",[1]UV!T64)</f>
        <v>0.33</v>
      </c>
      <c r="I45" s="827">
        <f>IF($B45="","",G45*H45)</f>
        <v>478.5</v>
      </c>
      <c r="J45" s="827">
        <f>IF($B45="","",I45-F45)</f>
        <v>270.60000000000002</v>
      </c>
      <c r="L45" s="739"/>
      <c r="M45" s="813"/>
    </row>
    <row r="46" spans="2:13" ht="14.1" customHeight="1" x14ac:dyDescent="0.2">
      <c r="B46" s="267" t="str">
        <f>IF([1]UV!C66="","",[1]UV!C66)</f>
        <v>Mineralstoffmischung</v>
      </c>
      <c r="C46" s="267"/>
      <c r="D46" s="576">
        <f>IF([1]UV!E66="","",[1]UV!E66)</f>
        <v>140</v>
      </c>
      <c r="E46" s="577">
        <f>IF([1]UV!S66="","",[1]UV!S66)</f>
        <v>0.53</v>
      </c>
      <c r="F46" s="304">
        <f>IF($B46="","",D46*E46)</f>
        <v>74.2</v>
      </c>
      <c r="G46" s="578">
        <f>IF([1]UV!K66="","",[1]UV!K66)</f>
        <v>320</v>
      </c>
      <c r="H46" s="317">
        <f>IF([1]UV!T66="","",[1]UV!T66)</f>
        <v>0.53</v>
      </c>
      <c r="I46" s="827">
        <f>IF($B46="","",G46*H46)</f>
        <v>169.60000000000002</v>
      </c>
      <c r="J46" s="827">
        <f>IF($B46="","",I46-F46)</f>
        <v>95.40000000000002</v>
      </c>
      <c r="L46" s="739"/>
      <c r="M46" s="813"/>
    </row>
    <row r="47" spans="2:13" ht="14.1" customHeight="1" x14ac:dyDescent="0.2">
      <c r="B47" s="267" t="str">
        <f>IF([1]UV!C68="","",[1]UV!C68)</f>
        <v>Masthühnerfutter</v>
      </c>
      <c r="C47" s="267"/>
      <c r="D47" s="576">
        <f>IF([1]UV!E68="","",[1]UV!E68)</f>
        <v>261</v>
      </c>
      <c r="E47" s="577">
        <f>IF([1]UV!S68="","",[1]UV!S68)</f>
        <v>0.31</v>
      </c>
      <c r="F47" s="304">
        <f>IF($B47="","",D47*E47)</f>
        <v>80.91</v>
      </c>
      <c r="G47" s="578">
        <f>IF([1]UV!K68="","",[1]UV!K68)</f>
        <v>62</v>
      </c>
      <c r="H47" s="317">
        <f>IF([1]UV!T68="","",[1]UV!T68)</f>
        <v>0.31</v>
      </c>
      <c r="I47" s="827">
        <f>IF($B47="","",G47*H47)</f>
        <v>19.22</v>
      </c>
      <c r="J47" s="827">
        <f>IF($B47="","",I47-F47)</f>
        <v>-61.69</v>
      </c>
      <c r="L47" s="739"/>
      <c r="M47" s="813"/>
    </row>
    <row r="48" spans="2:13" ht="14.1" customHeight="1" x14ac:dyDescent="0.2">
      <c r="B48" s="267" t="str">
        <f>IF([1]UV!C70="","",[1]UV!C70)</f>
        <v/>
      </c>
      <c r="C48" s="267"/>
      <c r="D48" s="576" t="str">
        <f>IF([1]UV!E70="","",[1]UV!E70)</f>
        <v/>
      </c>
      <c r="E48" s="577" t="str">
        <f>IF([1]UV!S70="","",[1]UV!S70)</f>
        <v/>
      </c>
      <c r="F48" s="304"/>
      <c r="G48" s="578" t="str">
        <f>IF([1]UV!K70="","",[1]UV!K70)</f>
        <v/>
      </c>
      <c r="H48" s="317" t="str">
        <f>IF([1]UV!T70="","",[1]UV!T70)</f>
        <v/>
      </c>
      <c r="I48" s="827"/>
      <c r="J48" s="827"/>
      <c r="L48" s="739"/>
      <c r="M48" s="813"/>
    </row>
    <row r="49" spans="2:13" ht="14.1" customHeight="1" x14ac:dyDescent="0.2">
      <c r="B49" s="267" t="str">
        <f>IF([1]UV!C72="","",[1]UV!C72)</f>
        <v/>
      </c>
      <c r="C49" s="267"/>
      <c r="D49" s="576" t="str">
        <f>IF([1]UV!E72="","",[1]UV!E72)</f>
        <v/>
      </c>
      <c r="E49" s="577" t="str">
        <f>IF([1]UV!S72="","",[1]UV!S72)</f>
        <v/>
      </c>
      <c r="F49" s="304"/>
      <c r="G49" s="578" t="str">
        <f>IF([1]UV!K72="","",[1]UV!K72)</f>
        <v/>
      </c>
      <c r="H49" s="317" t="str">
        <f>IF([1]UV!T72="","",[1]UV!T72)</f>
        <v/>
      </c>
      <c r="I49" s="827"/>
      <c r="J49" s="827"/>
      <c r="L49" s="739"/>
      <c r="M49" s="813"/>
    </row>
    <row r="50" spans="2:13" ht="14.1" customHeight="1" x14ac:dyDescent="0.2">
      <c r="B50" s="579" t="s">
        <v>450</v>
      </c>
      <c r="C50" s="580"/>
      <c r="D50" s="331"/>
      <c r="E50" s="331"/>
      <c r="F50" s="821">
        <f>IF(SUM(F45:F47)=0,"",SUM(F45:F47))</f>
        <v>363.01</v>
      </c>
      <c r="G50" s="331"/>
      <c r="H50" s="582"/>
      <c r="I50" s="822">
        <f>IF(SUM(I45:I47)=0,"",SUM(I45:I47))</f>
        <v>667.32</v>
      </c>
      <c r="J50" s="822">
        <f>IF(SUM(J45:J47)=0,"",SUM(J45:J47))</f>
        <v>304.31000000000006</v>
      </c>
      <c r="L50" s="739"/>
      <c r="M50" s="813"/>
    </row>
    <row r="51" spans="2:13" ht="15.95" customHeight="1" x14ac:dyDescent="0.2">
      <c r="D51" s="284"/>
      <c r="E51" s="588"/>
      <c r="F51" s="588"/>
      <c r="G51" s="284"/>
      <c r="H51" s="588"/>
      <c r="I51" s="588"/>
      <c r="J51" s="588"/>
      <c r="L51" s="739"/>
      <c r="M51" s="813"/>
    </row>
    <row r="52" spans="2:13" ht="14.1" customHeight="1" x14ac:dyDescent="0.2">
      <c r="B52" s="288" t="s">
        <v>451</v>
      </c>
      <c r="C52" s="288"/>
      <c r="D52" s="265"/>
      <c r="E52" s="265"/>
      <c r="F52" s="265"/>
      <c r="H52" s="233"/>
      <c r="I52" s="233"/>
      <c r="J52" s="233"/>
      <c r="L52" s="739"/>
      <c r="M52" s="813"/>
    </row>
    <row r="53" spans="2:13" ht="14.1" customHeight="1" x14ac:dyDescent="0.2">
      <c r="B53" s="589" t="str">
        <f>IF([1]UV!C76="","",[1]UV!C76)</f>
        <v>Kassa</v>
      </c>
      <c r="C53" s="589"/>
      <c r="D53" s="589"/>
      <c r="E53" s="589"/>
      <c r="F53" s="304">
        <f>IF([1]UV!S76="","",[1]UV!S76)</f>
        <v>899</v>
      </c>
      <c r="H53" s="233"/>
      <c r="I53" s="233"/>
      <c r="J53" s="233"/>
      <c r="L53" s="739"/>
      <c r="M53" s="813"/>
    </row>
    <row r="54" spans="2:13" ht="14.1" customHeight="1" x14ac:dyDescent="0.2">
      <c r="B54" s="589" t="str">
        <f>IF([1]UV!C78="","",[1]UV!C78)</f>
        <v>Girokonto</v>
      </c>
      <c r="C54" s="589"/>
      <c r="D54" s="589"/>
      <c r="E54" s="589"/>
      <c r="F54" s="304">
        <f>IF([1]UV!S78="","",[1]UV!S78)</f>
        <v>3914</v>
      </c>
      <c r="H54" s="233"/>
      <c r="I54" s="233"/>
      <c r="J54" s="233"/>
      <c r="L54" s="739"/>
      <c r="M54" s="813"/>
    </row>
    <row r="55" spans="2:13" ht="14.1" customHeight="1" x14ac:dyDescent="0.2">
      <c r="B55" s="589" t="str">
        <f>IF([1]UV!C80="","",[1]UV!C80)</f>
        <v>Offene Kundenforderungen</v>
      </c>
      <c r="C55" s="589"/>
      <c r="D55" s="589"/>
      <c r="E55" s="589"/>
      <c r="F55" s="304">
        <f>IF([1]UV!S80="","",[1]UV!S80)</f>
        <v>1395</v>
      </c>
      <c r="H55" s="233"/>
      <c r="I55" s="233"/>
      <c r="J55" s="233"/>
      <c r="L55" s="739"/>
      <c r="M55" s="813"/>
    </row>
    <row r="56" spans="2:13" ht="14.1" customHeight="1" x14ac:dyDescent="0.2">
      <c r="B56" s="589" t="str">
        <f>IF([1]UV!C82="","",[1]UV!C82)</f>
        <v>Verbindlichkeiten Futtermittellieferanten</v>
      </c>
      <c r="C56" s="589"/>
      <c r="D56" s="589"/>
      <c r="E56" s="589"/>
      <c r="F56" s="304">
        <f>IF([1]UV!S82="","",[1]UV!S82)</f>
        <v>557</v>
      </c>
      <c r="H56" s="233"/>
      <c r="I56" s="233"/>
      <c r="J56" s="233"/>
      <c r="L56" s="739"/>
      <c r="M56" s="813"/>
    </row>
    <row r="57" spans="2:13" ht="14.1" customHeight="1" x14ac:dyDescent="0.2">
      <c r="B57" s="589" t="str">
        <f>IF([1]UV!C84="","",[1]UV!C84)</f>
        <v>Darlehen</v>
      </c>
      <c r="C57" s="589"/>
      <c r="D57" s="589"/>
      <c r="E57" s="589"/>
      <c r="F57" s="304">
        <f>IF([1]UV!S84="","",[1]UV!S84)</f>
        <v>14196</v>
      </c>
      <c r="H57" s="233"/>
      <c r="I57" s="233"/>
      <c r="J57" s="233"/>
      <c r="L57" s="739"/>
      <c r="M57" s="813"/>
    </row>
    <row r="58" spans="2:13" ht="14.1" customHeight="1" x14ac:dyDescent="0.2">
      <c r="B58" s="589" t="str">
        <f>IF([1]UV!C86="","",[1]UV!C86)</f>
        <v/>
      </c>
      <c r="C58" s="589"/>
      <c r="D58" s="589"/>
      <c r="E58" s="589"/>
      <c r="F58" s="304" t="str">
        <f>IF([1]UV!S86="","",[1]UV!S86)</f>
        <v/>
      </c>
      <c r="H58" s="233"/>
      <c r="I58" s="233"/>
      <c r="J58" s="233"/>
      <c r="L58" s="739"/>
      <c r="M58" s="813"/>
    </row>
    <row r="59" spans="2:13" ht="14.1" customHeight="1" x14ac:dyDescent="0.2">
      <c r="B59" s="589" t="str">
        <f>IF([1]UV!C88="","",[1]UV!C88)</f>
        <v/>
      </c>
      <c r="C59" s="589"/>
      <c r="D59" s="589"/>
      <c r="E59" s="589"/>
      <c r="F59" s="304" t="str">
        <f>IF([1]UV!S88="","",[1]UV!S88)</f>
        <v/>
      </c>
      <c r="H59" s="233"/>
      <c r="I59" s="233"/>
      <c r="J59" s="233"/>
      <c r="L59" s="739"/>
      <c r="M59" s="813"/>
    </row>
    <row r="60" spans="2:13" ht="12.75" x14ac:dyDescent="0.2">
      <c r="E60" s="233"/>
      <c r="L60" s="739"/>
      <c r="M60" s="813"/>
    </row>
    <row r="61" spans="2:13" ht="12.75" hidden="1" x14ac:dyDescent="0.2"/>
    <row r="62" spans="2:13" ht="12.75" hidden="1" x14ac:dyDescent="0.2"/>
    <row r="63" spans="2:13" ht="12.75" hidden="1" x14ac:dyDescent="0.2"/>
    <row r="64" spans="2:13" ht="15.75" hidden="1" customHeight="1" x14ac:dyDescent="0.2"/>
  </sheetData>
  <sheetProtection algorithmName="SHA-512" hashValue="mCdJ2VMaGWhmCPln3H9OKGSREG3WeC5Ra8PfmdLHeHaHdVcaJN6LvKBE+fo1zNNU+hq/gX/bxVaVjXYVpDPAlA==" saltValue="awnbZuRbHp9cdNXrITS4Ww==" spinCount="100000" sheet="1" objects="1" scenarios="1"/>
  <mergeCells count="4">
    <mergeCell ref="D3:E3"/>
    <mergeCell ref="G3:H3"/>
    <mergeCell ref="J3:J4"/>
    <mergeCell ref="M1:M4"/>
  </mergeCells>
  <phoneticPr fontId="0" type="noConversion"/>
  <conditionalFormatting sqref="C42 C19 C17 C15 C38 C40">
    <cfRule type="cellIs" dxfId="28" priority="1" stopIfTrue="1" operator="equal">
      <formula>0</formula>
    </cfRule>
  </conditionalFormatting>
  <conditionalFormatting sqref="F53:F57 G31:H33 G22:H23 D22:E23 D45:E47 D31:E33 D6:E10 G45:H47 G6:H10">
    <cfRule type="cellIs" dxfId="27" priority="2" stopIfTrue="1" operator="equal">
      <formula>""</formula>
    </cfRule>
  </conditionalFormatting>
  <conditionalFormatting sqref="F45:F47 F22:F23 F31:F33 F6:F10">
    <cfRule type="expression" dxfId="26" priority="3" stopIfTrue="1">
      <formula>AND($B6="",$D6="",$E6="")</formula>
    </cfRule>
  </conditionalFormatting>
  <conditionalFormatting sqref="I45:I47 I22:I23 I31:I33 I6:I10">
    <cfRule type="expression" dxfId="25" priority="4" stopIfTrue="1">
      <formula>AND($B6="",$G6="",$H6="")</formula>
    </cfRule>
  </conditionalFormatting>
  <conditionalFormatting sqref="J45:J47 J22:J23 J31:J33 J6:J10">
    <cfRule type="expression" dxfId="24" priority="5" stopIfTrue="1">
      <formula>AND($B6="",$F6="",$I6="")</formula>
    </cfRule>
  </conditionalFormatting>
  <printOptions horizontalCentered="1"/>
  <pageMargins left="0.39370078740157483" right="0.39370078740157483" top="0.59055118110236227" bottom="0.39370078740157483" header="0" footer="0"/>
  <pageSetup paperSize="9" orientation="portrait" blackAndWhite="1" horizontalDpi="4294967295" verticalDpi="300" r:id="rId1"/>
  <headerFooter alignWithMargins="0">
    <oddHeader>&amp;R&amp;8&amp;U&amp;F - Seite &amp;P/&amp;N</oddHeader>
  </headerFooter>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21">
    <tabColor indexed="10"/>
  </sheetPr>
  <dimension ref="A1:M72"/>
  <sheetViews>
    <sheetView showGridLines="0" zoomScaleNormal="100" workbookViewId="0">
      <pane ySplit="5" topLeftCell="A6" activePane="bottomLeft" state="frozen"/>
      <selection activeCell="F326" sqref="F326"/>
      <selection pane="bottomLeft" activeCell="H9" sqref="H9"/>
    </sheetView>
  </sheetViews>
  <sheetFormatPr baseColWidth="10" defaultColWidth="0" defaultRowHeight="0" customHeight="1" zeroHeight="1" x14ac:dyDescent="0.2"/>
  <cols>
    <col min="1" max="1" width="2.7109375" style="233" customWidth="1"/>
    <col min="2" max="2" width="20.7109375" style="233" customWidth="1"/>
    <col min="3" max="3" width="6.7109375" style="233" customWidth="1"/>
    <col min="4" max="4" width="5.28515625" style="233" customWidth="1"/>
    <col min="5" max="5" width="10.7109375" style="233" customWidth="1"/>
    <col min="6" max="7" width="4.7109375" style="233" customWidth="1"/>
    <col min="8" max="8" width="10.7109375" style="233" customWidth="1"/>
    <col min="9" max="9" width="9.7109375" style="233" customWidth="1"/>
    <col min="10" max="10" width="10.7109375" style="233" customWidth="1"/>
    <col min="11" max="11" width="2.7109375" style="233" customWidth="1"/>
    <col min="12" max="12" width="0.85546875" style="1" customWidth="1"/>
    <col min="13" max="13" width="20.7109375" style="1" customWidth="1"/>
    <col min="14" max="16384" width="11.5703125" style="233" hidden="1"/>
  </cols>
  <sheetData>
    <row r="1" spans="1:13" ht="24.95" customHeight="1" x14ac:dyDescent="0.2">
      <c r="A1" s="180"/>
      <c r="B1" s="181" t="str">
        <f>"Anlagenverzeichnis "&amp;IF([1]AV!A1="","",[1]AV!A1)</f>
        <v>Anlagenverzeichnis 2019</v>
      </c>
      <c r="C1" s="181"/>
      <c r="D1" s="181"/>
      <c r="E1" s="181"/>
      <c r="F1" s="181"/>
      <c r="G1" s="181"/>
      <c r="H1" s="181"/>
      <c r="I1" s="181"/>
      <c r="J1" s="181"/>
      <c r="K1" s="181"/>
      <c r="L1" s="464"/>
      <c r="M1" s="1177" t="s">
        <v>101</v>
      </c>
    </row>
    <row r="2" spans="1:13" ht="30" customHeight="1" x14ac:dyDescent="0.2">
      <c r="L2" s="467"/>
      <c r="M2" s="1177"/>
    </row>
    <row r="3" spans="1:13" s="220" customFormat="1" ht="15.95" customHeight="1" x14ac:dyDescent="0.2">
      <c r="B3" s="1160" t="str">
        <f>"INVENTURLISTE FÜR DAS JAHR "&amp;IF([1]AV!A1="","",[1]AV!A1)</f>
        <v>INVENTURLISTE FÜR DAS JAHR 2019</v>
      </c>
      <c r="C3" s="1160"/>
      <c r="D3" s="1160"/>
      <c r="E3" s="1160"/>
      <c r="F3" s="1160"/>
      <c r="G3" s="1160"/>
      <c r="H3" s="1160"/>
      <c r="I3" s="1194"/>
      <c r="J3" s="1194"/>
      <c r="L3" s="470"/>
      <c r="M3" s="1177"/>
    </row>
    <row r="4" spans="1:13" s="220" customFormat="1" ht="15.95" customHeight="1" x14ac:dyDescent="0.2">
      <c r="B4" s="194"/>
      <c r="C4" s="183" t="s">
        <v>452</v>
      </c>
      <c r="D4" s="183" t="s">
        <v>453</v>
      </c>
      <c r="E4" s="195" t="s">
        <v>454</v>
      </c>
      <c r="F4" s="183" t="s">
        <v>455</v>
      </c>
      <c r="G4" s="183" t="s">
        <v>456</v>
      </c>
      <c r="H4" s="195" t="s">
        <v>457</v>
      </c>
      <c r="I4" s="195" t="s">
        <v>458</v>
      </c>
      <c r="J4" s="195" t="s">
        <v>459</v>
      </c>
      <c r="L4" s="470"/>
      <c r="M4" s="1177"/>
    </row>
    <row r="5" spans="1:13" s="220" customFormat="1" ht="15.95" customHeight="1" x14ac:dyDescent="0.2">
      <c r="B5" s="194"/>
      <c r="C5" s="183" t="s">
        <v>460</v>
      </c>
      <c r="D5" s="183" t="s">
        <v>461</v>
      </c>
      <c r="E5" s="195" t="s">
        <v>462</v>
      </c>
      <c r="F5" s="183" t="s">
        <v>463</v>
      </c>
      <c r="G5" s="183" t="s">
        <v>464</v>
      </c>
      <c r="H5" s="590">
        <f>IF([1]AV!A1="","",[1]AV!A1)</f>
        <v>2019</v>
      </c>
      <c r="I5" s="365" t="s">
        <v>465</v>
      </c>
      <c r="J5" s="590">
        <f>IF([1]AV!A1="","",[1]AV!A1)</f>
        <v>2019</v>
      </c>
      <c r="L5" s="470"/>
      <c r="M5" s="1177"/>
    </row>
    <row r="6" spans="1:13" s="220" customFormat="1" ht="20.100000000000001" customHeight="1" x14ac:dyDescent="0.2">
      <c r="B6" s="194" t="str">
        <f>IF([1]AV!B12="","",[1]AV!B12)</f>
        <v>Grundverbesserungen</v>
      </c>
      <c r="C6" s="183"/>
      <c r="D6" s="183"/>
      <c r="E6" s="183"/>
      <c r="F6" s="183"/>
      <c r="G6" s="183"/>
      <c r="H6" s="183"/>
      <c r="I6" s="183"/>
      <c r="J6" s="183"/>
      <c r="L6" s="470"/>
      <c r="M6" s="1177"/>
    </row>
    <row r="7" spans="1:13" s="220" customFormat="1" ht="15.95" customHeight="1" x14ac:dyDescent="0.2">
      <c r="B7" s="184" t="str">
        <f>IF([1]AV!C15="","",[1]AV!C15)</f>
        <v>Fixe Bewässerungsanlage</v>
      </c>
      <c r="C7" s="591" t="str">
        <f>IF([1]AV!E15="","",[1]AV!E15&amp;" "&amp;[1]AV!F15)</f>
        <v/>
      </c>
      <c r="D7" s="348">
        <f>IF([1]AV!H15="","",[1]AV!H15)</f>
        <v>1993</v>
      </c>
      <c r="E7" s="198">
        <f>IF([1]AV!Q15="","",[1]AV!Q15)</f>
        <v>1320</v>
      </c>
      <c r="F7" s="353">
        <f>IF([1]AV!L15="","",[1]AV!L15)</f>
        <v>25</v>
      </c>
      <c r="G7" s="748">
        <f>$H$5-D7</f>
        <v>26</v>
      </c>
      <c r="H7" s="198">
        <f>IF(G7&lt;F7,E7-((E7/F7)*G7),1)</f>
        <v>1</v>
      </c>
      <c r="I7" s="198">
        <f>IF(G7&gt;=F7,0,E7/F7)</f>
        <v>0</v>
      </c>
      <c r="J7" s="198">
        <f>IF(G7+1&gt;=F7,1,H7-I7)</f>
        <v>1</v>
      </c>
      <c r="L7" s="470"/>
      <c r="M7" s="471"/>
    </row>
    <row r="8" spans="1:13" s="220" customFormat="1" ht="15.95" customHeight="1" thickBot="1" x14ac:dyDescent="0.25">
      <c r="B8" s="184" t="str">
        <f>IF([1]AV!C17="","",[1]AV!C17)</f>
        <v/>
      </c>
      <c r="C8" s="591" t="str">
        <f>IF([1]AV!E17="","",[1]AV!E17&amp;" "&amp;[1]AV!F17)</f>
        <v/>
      </c>
      <c r="D8" s="348" t="str">
        <f>IF([1]AV!H17="","",[1]AV!H17)</f>
        <v/>
      </c>
      <c r="E8" s="198" t="str">
        <f>IF([1]AV!Q17="","",[1]AV!Q17)</f>
        <v/>
      </c>
      <c r="F8" s="353" t="str">
        <f>IF([1]AV!L17="","",[1]AV!L17)</f>
        <v/>
      </c>
      <c r="G8" s="748"/>
      <c r="H8" s="199"/>
      <c r="I8" s="199"/>
      <c r="J8" s="199"/>
      <c r="L8" s="470"/>
      <c r="M8" s="934"/>
    </row>
    <row r="9" spans="1:13" s="220" customFormat="1" ht="15.95" customHeight="1" thickBot="1" x14ac:dyDescent="0.25">
      <c r="B9" s="193" t="str">
        <f>"Summe "&amp;B6</f>
        <v>Summe Grundverbesserungen</v>
      </c>
      <c r="C9" s="592"/>
      <c r="D9" s="592"/>
      <c r="E9" s="592"/>
      <c r="F9" s="592"/>
      <c r="G9" s="592"/>
      <c r="H9" s="593"/>
      <c r="I9" s="593"/>
      <c r="J9" s="593"/>
      <c r="L9" s="470"/>
      <c r="M9" s="934"/>
    </row>
    <row r="10" spans="1:13" s="220" customFormat="1" ht="20.100000000000001" customHeight="1" x14ac:dyDescent="0.2">
      <c r="B10" s="194" t="str">
        <f>IF([1]AV!B19="","",[1]AV!B19)</f>
        <v>Gebäude und bauliche Anlagen</v>
      </c>
      <c r="C10" s="194"/>
      <c r="D10" s="194"/>
      <c r="E10" s="194"/>
      <c r="F10" s="194"/>
      <c r="G10" s="194"/>
      <c r="H10" s="194"/>
      <c r="I10" s="194"/>
      <c r="J10" s="194"/>
      <c r="L10" s="467"/>
      <c r="M10" s="480"/>
    </row>
    <row r="11" spans="1:13" s="220" customFormat="1" ht="15.95" customHeight="1" x14ac:dyDescent="0.2">
      <c r="B11" s="184" t="str">
        <f>IF([1]AV!C22="","",[1]AV!C22)</f>
        <v>Schuppen</v>
      </c>
      <c r="C11" s="591" t="str">
        <f>IF('2NGeb'!X61="","noch leer",'2NGeb'!X61&amp;'2NGeb'!Y61)</f>
        <v>noch leer</v>
      </c>
      <c r="D11" s="353">
        <f>IF('2NGeb'!B6="","noch leer",'2NGeb'!B6)</f>
        <v>1998</v>
      </c>
      <c r="E11" s="846" t="str">
        <f>IF('2NGeb'!T69="","noch leer",'2NGeb'!T69)</f>
        <v>noch leer</v>
      </c>
      <c r="F11" s="828">
        <f>IF('2NGeb'!B7="","",'2NGeb'!B7)</f>
        <v>31</v>
      </c>
      <c r="G11" s="832">
        <f>$H$5-D11</f>
        <v>21</v>
      </c>
      <c r="H11" s="198" t="str">
        <f>'2NGeb'!P113</f>
        <v>noch leer</v>
      </c>
      <c r="I11" s="198" t="str">
        <f>'2NGeb'!P115</f>
        <v>noch leer</v>
      </c>
      <c r="J11" s="198" t="str">
        <f>'2NGeb'!P117</f>
        <v>noch leer</v>
      </c>
      <c r="L11" s="470"/>
      <c r="M11" s="471"/>
    </row>
    <row r="12" spans="1:13" s="220" customFormat="1" ht="15.95" customHeight="1" x14ac:dyDescent="0.2">
      <c r="B12" s="184" t="str">
        <f>IF([1]AV!C24="","",[1]AV!C24)</f>
        <v>Masthühnerstall (Flachstall)</v>
      </c>
      <c r="C12" s="591" t="str">
        <f>IF('2NGeb'!F34="","noch leer",'2NGeb'!F34&amp;" "&amp;'2NGeb'!H34)</f>
        <v>noch leer</v>
      </c>
      <c r="D12" s="353">
        <f>IF('2NGeb'!X5="","noch leer",'2NGeb'!X5)</f>
        <v>2006</v>
      </c>
      <c r="E12" s="846" t="str">
        <f>IF('2NGeb'!F51="","noch leer",'2NGeb'!F51)</f>
        <v>noch leer</v>
      </c>
      <c r="F12" s="828">
        <f>IF('2NGeb'!B7="","",'2NGeb'!B7)</f>
        <v>31</v>
      </c>
      <c r="G12" s="832">
        <f>$H$5-D12</f>
        <v>13</v>
      </c>
      <c r="H12" s="198" t="str">
        <f>'2NGeb'!F113</f>
        <v>noch leer</v>
      </c>
      <c r="I12" s="198" t="str">
        <f>'2NGeb'!F115</f>
        <v>noch leer</v>
      </c>
      <c r="J12" s="198" t="str">
        <f>'2NGeb'!F117</f>
        <v>noch leer</v>
      </c>
      <c r="L12" s="470"/>
      <c r="M12" s="471"/>
    </row>
    <row r="13" spans="1:13" s="220" customFormat="1" ht="15.95" customHeight="1" x14ac:dyDescent="0.2">
      <c r="B13" s="184" t="str">
        <f>IF([1]AV!C26="","",[1]AV!C26)</f>
        <v>Rinderstall mit Bergeraum</v>
      </c>
      <c r="C13" s="591" t="str">
        <f>IF([1]AV!E26="","",[1]AV!E26&amp;" "&amp;[1]AV!F26)</f>
        <v/>
      </c>
      <c r="D13" s="348">
        <f>IF([1]AV!H26="","",[1]AV!H26)</f>
        <v>2013</v>
      </c>
      <c r="E13" s="830">
        <f>IF([1]AV!Q26="","",[1]AV!Q26)</f>
        <v>89726</v>
      </c>
      <c r="F13" s="353">
        <f>IF([1]AV!L26="","",[1]AV!L26)</f>
        <v>40</v>
      </c>
      <c r="G13" s="829">
        <f>$H$5-D13</f>
        <v>6</v>
      </c>
      <c r="H13" s="830">
        <f>IF(G13&lt;F13,E13-((E13/F13)*G13),1)</f>
        <v>76267.100000000006</v>
      </c>
      <c r="I13" s="830">
        <f>IF(G13&gt;=F13,0,E13/F13)</f>
        <v>2243.15</v>
      </c>
      <c r="J13" s="830">
        <f>IF(G13+1&gt;=F13,1,H13-I13)</f>
        <v>74023.950000000012</v>
      </c>
      <c r="L13" s="487"/>
      <c r="M13" s="471"/>
    </row>
    <row r="14" spans="1:13" s="220" customFormat="1" ht="15.95" customHeight="1" x14ac:dyDescent="0.2">
      <c r="B14" s="184" t="str">
        <f>IF([1]AV!C28="","",[1]AV!C28)</f>
        <v>Verarbeitungsraum</v>
      </c>
      <c r="C14" s="591" t="str">
        <f>IF([1]AV!E28="","",[1]AV!E28&amp;" "&amp;[1]AV!F28)</f>
        <v/>
      </c>
      <c r="D14" s="348">
        <f>IF([1]AV!H28="","",[1]AV!H28)</f>
        <v>2013</v>
      </c>
      <c r="E14" s="198">
        <f>IF([1]AV!Q28="","",[1]AV!Q28)</f>
        <v>26299</v>
      </c>
      <c r="F14" s="353">
        <f>IF([1]AV!L28="","",[1]AV!L28)</f>
        <v>25</v>
      </c>
      <c r="G14" s="748">
        <f>$H$5-D14</f>
        <v>6</v>
      </c>
      <c r="H14" s="198">
        <f>IF(G14&lt;F14,E14-((E14/F14)*G14),1)</f>
        <v>19987.239999999998</v>
      </c>
      <c r="I14" s="198">
        <f>IF(G14&gt;=F14,0,E14/F14)</f>
        <v>1051.96</v>
      </c>
      <c r="J14" s="198">
        <f>IF(G14+1&gt;=F14,1,H14-I14)</f>
        <v>18935.28</v>
      </c>
      <c r="L14" s="487"/>
      <c r="M14" s="471"/>
    </row>
    <row r="15" spans="1:13" s="220" customFormat="1" ht="15.95" customHeight="1" x14ac:dyDescent="0.2">
      <c r="B15" s="184" t="str">
        <f>IF([1]AV!C30="","",[1]AV!C30)</f>
        <v>Garage mit Lagerraum</v>
      </c>
      <c r="C15" s="591" t="str">
        <f>IF([1]AV!E30="","",[1]AV!E30&amp;" "&amp;[1]AV!F30)</f>
        <v/>
      </c>
      <c r="D15" s="348">
        <f>IF([1]AV!H30="","",[1]AV!H30)</f>
        <v>1992</v>
      </c>
      <c r="E15" s="198">
        <f>IF([1]AV!Q30="","",[1]AV!Q30)</f>
        <v>11375</v>
      </c>
      <c r="F15" s="353">
        <f>IF([1]AV!L30="","",[1]AV!L30)</f>
        <v>25</v>
      </c>
      <c r="G15" s="748">
        <f>$H$5-D15</f>
        <v>27</v>
      </c>
      <c r="H15" s="198">
        <f>IF(G15&lt;F15,E15-((E15/F15)*G15),1)</f>
        <v>1</v>
      </c>
      <c r="I15" s="198">
        <f>IF(G15&gt;=F15,0,E15/F15)</f>
        <v>0</v>
      </c>
      <c r="J15" s="198">
        <f>IF(G15+1&gt;=F15,1,H15-I15)</f>
        <v>1</v>
      </c>
      <c r="L15" s="487"/>
      <c r="M15" s="471"/>
    </row>
    <row r="16" spans="1:13" s="220" customFormat="1" ht="15.95" customHeight="1" x14ac:dyDescent="0.2">
      <c r="B16" s="184" t="str">
        <f>IF([1]AV!C32="","",[1]AV!C32)</f>
        <v/>
      </c>
      <c r="C16" s="591" t="str">
        <f>IF([1]AV!E32="","",[1]AV!E32&amp;" "&amp;[1]AV!F32)</f>
        <v/>
      </c>
      <c r="D16" s="348" t="str">
        <f>IF([1]AV!H32="","",[1]AV!H32)</f>
        <v/>
      </c>
      <c r="E16" s="198" t="str">
        <f>IF([1]AV!Q32="","",[1]AV!Q32)</f>
        <v/>
      </c>
      <c r="F16" s="353" t="str">
        <f>IF([1]AV!L32="","",[1]AV!L32)</f>
        <v/>
      </c>
      <c r="G16" s="748"/>
      <c r="H16" s="198"/>
      <c r="I16" s="198"/>
      <c r="J16" s="198"/>
      <c r="L16" s="470"/>
      <c r="M16" s="471"/>
    </row>
    <row r="17" spans="2:13" s="220" customFormat="1" ht="15.95" customHeight="1" x14ac:dyDescent="0.2">
      <c r="B17" s="184" t="str">
        <f>IF([1]AV!C34="","",[1]AV!C34)</f>
        <v/>
      </c>
      <c r="C17" s="591" t="str">
        <f>IF([1]AV!E34="","",[1]AV!E34&amp;" "&amp;[1]AV!F34)</f>
        <v/>
      </c>
      <c r="D17" s="348" t="str">
        <f>IF([1]AV!H34="","",[1]AV!H34)</f>
        <v/>
      </c>
      <c r="E17" s="198" t="str">
        <f>IF([1]AV!Q34="","",[1]AV!Q34)</f>
        <v/>
      </c>
      <c r="F17" s="353" t="str">
        <f>IF([1]AV!L34="","",[1]AV!L34)</f>
        <v/>
      </c>
      <c r="G17" s="748"/>
      <c r="H17" s="198"/>
      <c r="I17" s="198"/>
      <c r="J17" s="198"/>
      <c r="L17" s="467"/>
      <c r="M17" s="480"/>
    </row>
    <row r="18" spans="2:13" s="220" customFormat="1" ht="15.95" customHeight="1" thickBot="1" x14ac:dyDescent="0.25">
      <c r="B18" s="184" t="str">
        <f>IF([1]AV!C36="","",[1]AV!C36)</f>
        <v/>
      </c>
      <c r="C18" s="591" t="str">
        <f>IF([1]AV!E36="","",[1]AV!E36&amp;" "&amp;[1]AV!F36)</f>
        <v/>
      </c>
      <c r="D18" s="348" t="str">
        <f>IF([1]AV!H36="","",[1]AV!H36)</f>
        <v/>
      </c>
      <c r="E18" s="198" t="str">
        <f>IF([1]AV!Q36="","",[1]AV!Q36)</f>
        <v/>
      </c>
      <c r="F18" s="353" t="str">
        <f>IF([1]AV!L36="","",[1]AV!L36)</f>
        <v/>
      </c>
      <c r="G18" s="748"/>
      <c r="H18" s="199"/>
      <c r="I18" s="199"/>
      <c r="J18" s="199"/>
      <c r="L18" s="470"/>
      <c r="M18" s="471"/>
    </row>
    <row r="19" spans="2:13" s="220" customFormat="1" ht="15.95" customHeight="1" thickBot="1" x14ac:dyDescent="0.25">
      <c r="B19" s="193" t="str">
        <f>"Summe "&amp;B10</f>
        <v>Summe Gebäude und bauliche Anlagen</v>
      </c>
      <c r="C19" s="592"/>
      <c r="D19" s="592"/>
      <c r="E19" s="592"/>
      <c r="F19" s="592"/>
      <c r="G19" s="592"/>
      <c r="H19" s="593"/>
      <c r="I19" s="593"/>
      <c r="J19" s="593"/>
      <c r="L19" s="739"/>
      <c r="M19" s="813"/>
    </row>
    <row r="20" spans="2:13" s="220" customFormat="1" ht="20.100000000000001" customHeight="1" x14ac:dyDescent="0.2">
      <c r="B20" s="194" t="str">
        <f>IF([1]AV!B38="","",[1]AV!B38)</f>
        <v>Maschinen und Geräte</v>
      </c>
      <c r="C20" s="194"/>
      <c r="D20" s="194"/>
      <c r="E20" s="194"/>
      <c r="F20" s="194"/>
      <c r="G20" s="194"/>
      <c r="H20" s="594"/>
      <c r="I20" s="594"/>
      <c r="J20" s="194"/>
      <c r="L20" s="739"/>
      <c r="M20" s="813"/>
    </row>
    <row r="21" spans="2:13" s="220" customFormat="1" ht="15.95" customHeight="1" x14ac:dyDescent="0.2">
      <c r="B21" s="184" t="str">
        <f>IF([1]AV!C41="","",[1]AV!C41)</f>
        <v>Allradtraktor</v>
      </c>
      <c r="C21" s="591" t="str">
        <f>IF([1]AV!E41="","",[1]AV!E41&amp;" "&amp;[1]AV!F41)</f>
        <v>65 KW</v>
      </c>
      <c r="D21" s="348">
        <f>IF([1]AV!H41="","",[1]AV!H41)</f>
        <v>2014</v>
      </c>
      <c r="E21" s="198">
        <f>IF([1]AV!Q41="","",[1]AV!Q41)</f>
        <v>28570</v>
      </c>
      <c r="F21" s="353">
        <f>IF([1]AV!L41="","",[1]AV!L41)</f>
        <v>15</v>
      </c>
      <c r="G21" s="832">
        <f>$H$5-D21</f>
        <v>5</v>
      </c>
      <c r="H21" s="833" t="str">
        <f>IF('MKK1'!D9="","noch leer",'MKK1'!D9)</f>
        <v>noch leer</v>
      </c>
      <c r="I21" s="833" t="str">
        <f>IF('MKK1'!D12="","noch leer",'MKK1'!D12)</f>
        <v>noch leer</v>
      </c>
      <c r="J21" s="833" t="str">
        <f>IF(OR(H21="noch leer",I21="noch leer"),"noch leer",IF(H21&gt;100,H21-I21,1))</f>
        <v>noch leer</v>
      </c>
      <c r="L21" s="739"/>
      <c r="M21" s="813"/>
    </row>
    <row r="22" spans="2:13" s="220" customFormat="1" ht="15.95" customHeight="1" x14ac:dyDescent="0.2">
      <c r="B22" s="184" t="str">
        <f>IF([1]AV!C43="","",[1]AV!C43)</f>
        <v>Standardtraktor</v>
      </c>
      <c r="C22" s="591" t="str">
        <f>IF([1]AV!E43="","",[1]AV!E43&amp;" "&amp;[1]AV!F43)</f>
        <v>45 KW</v>
      </c>
      <c r="D22" s="348">
        <f>IF([1]AV!H43="","",[1]AV!H43)</f>
        <v>2009</v>
      </c>
      <c r="E22" s="198">
        <f>IF([1]AV!Q43="","",[1]AV!Q43)</f>
        <v>17654</v>
      </c>
      <c r="F22" s="353">
        <f>IF([1]AV!L43="","",[1]AV!L43)</f>
        <v>16</v>
      </c>
      <c r="G22" s="748">
        <f>$H$5-D22</f>
        <v>10</v>
      </c>
      <c r="H22" s="830">
        <f>IF(G22&lt;F22,E22-((E22/F22)*G22),1)</f>
        <v>6620.25</v>
      </c>
      <c r="I22" s="830">
        <f>IF(G22&gt;=F22,0,E22/F22)</f>
        <v>1103.375</v>
      </c>
      <c r="J22" s="830">
        <f>IF(G22+1&gt;=F22,1,H22-I22)</f>
        <v>5516.875</v>
      </c>
      <c r="L22" s="739"/>
      <c r="M22" s="813"/>
    </row>
    <row r="23" spans="2:13" s="220" customFormat="1" ht="15.95" customHeight="1" x14ac:dyDescent="0.2">
      <c r="B23" s="184" t="str">
        <f>IF([1]AV!C45="","",[1]AV!C45)</f>
        <v/>
      </c>
      <c r="C23" s="591" t="str">
        <f>IF([1]AV!E45="","",[1]AV!E45&amp;" "&amp;[1]AV!F45)</f>
        <v/>
      </c>
      <c r="D23" s="348" t="str">
        <f>IF([1]AV!H45="","",[1]AV!H45)</f>
        <v/>
      </c>
      <c r="E23" s="198" t="str">
        <f>IF([1]AV!Q45="","",[1]AV!Q45)</f>
        <v/>
      </c>
      <c r="F23" s="353" t="str">
        <f>IF([1]AV!L45="","",[1]AV!L45)</f>
        <v/>
      </c>
      <c r="G23" s="748"/>
      <c r="H23" s="199"/>
      <c r="I23" s="199"/>
      <c r="J23" s="199"/>
      <c r="L23" s="739"/>
      <c r="M23" s="813"/>
    </row>
    <row r="24" spans="2:13" s="220" customFormat="1" ht="15.95" customHeight="1" x14ac:dyDescent="0.2">
      <c r="B24" s="184" t="str">
        <f>IF([1]AV!C47="","",[1]AV!C47)</f>
        <v>PKW-Anhänger</v>
      </c>
      <c r="C24" s="591" t="str">
        <f>IF([1]AV!E47="","",[1]AV!E47&amp;" "&amp;[1]AV!F47)</f>
        <v>600 kg</v>
      </c>
      <c r="D24" s="348">
        <f>IF([1]AV!H47="","",[1]AV!H47)</f>
        <v>2010</v>
      </c>
      <c r="E24" s="198">
        <f>IF([1]AV!Q47="","",[1]AV!Q47)</f>
        <v>940</v>
      </c>
      <c r="F24" s="353">
        <f>IF([1]AV!L47="","",[1]AV!L47)</f>
        <v>12</v>
      </c>
      <c r="G24" s="832">
        <f>$H$5-D24</f>
        <v>9</v>
      </c>
      <c r="H24" s="833" t="str">
        <f>IF('MKK2'!D9="","noch leer",'MKK2'!D9)</f>
        <v>noch leer</v>
      </c>
      <c r="I24" s="833" t="str">
        <f>IF('MKK2'!D12="","noch leer",'MKK2'!D12)</f>
        <v>noch leer</v>
      </c>
      <c r="J24" s="833" t="str">
        <f>IF(OR(H24="noch leer",I24="noch leer"),"noch leer",IF(H24&gt;100,H24-I24,1))</f>
        <v>noch leer</v>
      </c>
      <c r="L24" s="739"/>
      <c r="M24" s="813"/>
    </row>
    <row r="25" spans="2:13" s="220" customFormat="1" ht="15.95" customHeight="1" x14ac:dyDescent="0.2">
      <c r="B25" s="184" t="str">
        <f>IF([1]AV!C49="","",[1]AV!C49)</f>
        <v>Ladewagen</v>
      </c>
      <c r="C25" s="591" t="str">
        <f>IF([1]AV!E49="","",[1]AV!E49&amp;" "&amp;[1]AV!F49)</f>
        <v>18 m³</v>
      </c>
      <c r="D25" s="348">
        <f>IF([1]AV!H49="","",[1]AV!H49)</f>
        <v>1998</v>
      </c>
      <c r="E25" s="198">
        <f>IF([1]AV!Q49="","",[1]AV!Q49)</f>
        <v>5715</v>
      </c>
      <c r="F25" s="353">
        <f>IF([1]AV!L49="","",[1]AV!L49)</f>
        <v>15</v>
      </c>
      <c r="G25" s="748">
        <f t="shared" ref="G25:G34" si="0">$H$5-D25</f>
        <v>21</v>
      </c>
      <c r="H25" s="830">
        <f>IF(G25&lt;F25,E25-((E25/F25)*G25),1)</f>
        <v>1</v>
      </c>
      <c r="I25" s="830">
        <f>IF(G25&gt;=F25,0,E25/F25)</f>
        <v>0</v>
      </c>
      <c r="J25" s="830">
        <f>IF(G25+1&gt;=F25,1,H25-I25)</f>
        <v>1</v>
      </c>
      <c r="L25" s="739"/>
      <c r="M25" s="813"/>
    </row>
    <row r="26" spans="2:13" s="220" customFormat="1" ht="15.95" customHeight="1" x14ac:dyDescent="0.2">
      <c r="B26" s="184" t="str">
        <f>IF([1]AV!C51="","",[1]AV!C51)</f>
        <v>Kreiselschwader</v>
      </c>
      <c r="C26" s="591" t="str">
        <f>IF([1]AV!E51="","",[1]AV!E51&amp;" "&amp;[1]AV!F51)</f>
        <v>4 m</v>
      </c>
      <c r="D26" s="348">
        <f>IF([1]AV!H51="","",[1]AV!H51)</f>
        <v>2010</v>
      </c>
      <c r="E26" s="198">
        <f>IF([1]AV!Q51="","",[1]AV!Q51)</f>
        <v>1911</v>
      </c>
      <c r="F26" s="353">
        <f>IF([1]AV!L51="","",[1]AV!L51)</f>
        <v>12</v>
      </c>
      <c r="G26" s="748">
        <f>$H$5-D26</f>
        <v>9</v>
      </c>
      <c r="H26" s="198">
        <f>IF(G26&lt;F26,E26-((E26/F26)*G26),1)</f>
        <v>477.75</v>
      </c>
      <c r="I26" s="198">
        <f>IF(G26&gt;=F26,0,E26/F26)</f>
        <v>159.25</v>
      </c>
      <c r="J26" s="198">
        <f>IF(G26+1&gt;=F26,1,H26-I26)</f>
        <v>318.5</v>
      </c>
      <c r="L26" s="739"/>
      <c r="M26" s="813"/>
    </row>
    <row r="27" spans="2:13" s="220" customFormat="1" ht="15.95" customHeight="1" thickBot="1" x14ac:dyDescent="0.25">
      <c r="B27" s="184" t="str">
        <f>IF([1]AV!C53="","",[1]AV!C53)</f>
        <v>Kreiselzetter</v>
      </c>
      <c r="C27" s="591" t="str">
        <f>IF([1]AV!E53="","",[1]AV!E53&amp;" "&amp;[1]AV!F53)</f>
        <v>4 m</v>
      </c>
      <c r="D27" s="348">
        <f>IF([1]AV!H53="","",[1]AV!H53)</f>
        <v>2003</v>
      </c>
      <c r="E27" s="198">
        <f>IF([1]AV!Q53="","",[1]AV!Q53)</f>
        <v>1856</v>
      </c>
      <c r="F27" s="353">
        <f>IF([1]AV!L53="","",[1]AV!L53)</f>
        <v>12</v>
      </c>
      <c r="G27" s="748">
        <f t="shared" si="0"/>
        <v>16</v>
      </c>
      <c r="H27" s="199">
        <f t="shared" ref="H27:H34" si="1">IF(G27&lt;F27,E27-((E27/F27)*G27),1)</f>
        <v>1</v>
      </c>
      <c r="I27" s="199">
        <f t="shared" ref="I27:I34" si="2">IF(G27&gt;=F27,0,E27/F27)</f>
        <v>0</v>
      </c>
      <c r="J27" s="199">
        <f t="shared" ref="J27:J34" si="3">IF(G27+1&gt;=F27,1,H27-I27)</f>
        <v>1</v>
      </c>
      <c r="L27" s="739"/>
      <c r="M27" s="813"/>
    </row>
    <row r="28" spans="2:13" s="220" customFormat="1" ht="15.95" customHeight="1" thickBot="1" x14ac:dyDescent="0.25">
      <c r="B28" s="184" t="str">
        <f>IF([1]AV!C55="","",[1]AV!C55)</f>
        <v>Mähwerk</v>
      </c>
      <c r="C28" s="591" t="str">
        <f>IF([1]AV!E55="","",[1]AV!E55&amp;" "&amp;[1]AV!F55)</f>
        <v>2 m</v>
      </c>
      <c r="D28" s="348">
        <f>IF([1]AV!H55="","",[1]AV!H55)</f>
        <v>2009</v>
      </c>
      <c r="E28" s="198">
        <f>IF([1]AV!Q55="","",[1]AV!Q55)</f>
        <v>2657</v>
      </c>
      <c r="F28" s="353">
        <f>IF([1]AV!L55="","",[1]AV!L55)</f>
        <v>15</v>
      </c>
      <c r="G28" s="832">
        <f t="shared" si="0"/>
        <v>10</v>
      </c>
      <c r="H28" s="931"/>
      <c r="I28" s="931"/>
      <c r="J28" s="931"/>
      <c r="L28" s="739"/>
      <c r="M28" s="813"/>
    </row>
    <row r="29" spans="2:13" s="220" customFormat="1" ht="15.95" customHeight="1" thickBot="1" x14ac:dyDescent="0.25">
      <c r="B29" s="184" t="str">
        <f>IF([1]AV!C57="","",[1]AV!C57)</f>
        <v>Motormäher</v>
      </c>
      <c r="C29" s="591" t="str">
        <f>IF([1]AV!E57="","",[1]AV!E57&amp;" "&amp;[1]AV!F57)</f>
        <v>4,4 KW</v>
      </c>
      <c r="D29" s="348">
        <f>IF([1]AV!H57="","",[1]AV!H57)</f>
        <v>2008</v>
      </c>
      <c r="E29" s="198">
        <f>IF([1]AV!Q57="","",[1]AV!Q57)</f>
        <v>1143</v>
      </c>
      <c r="F29" s="353">
        <f>IF([1]AV!L57="","",[1]AV!L57)</f>
        <v>16</v>
      </c>
      <c r="G29" s="748">
        <f t="shared" si="0"/>
        <v>11</v>
      </c>
      <c r="H29" s="931"/>
      <c r="I29" s="931"/>
      <c r="J29" s="931"/>
      <c r="L29" s="739"/>
      <c r="M29" s="813"/>
    </row>
    <row r="30" spans="2:13" s="220" customFormat="1" ht="15.95" customHeight="1" x14ac:dyDescent="0.2">
      <c r="B30" s="184" t="str">
        <f>IF([1]AV!C59="","",[1]AV!C59)</f>
        <v>Gebläse</v>
      </c>
      <c r="C30" s="591" t="str">
        <f>IF([1]AV!E59="","",[1]AV!E59&amp;" "&amp;[1]AV!F59)</f>
        <v>5,2 KW</v>
      </c>
      <c r="D30" s="348">
        <f>IF([1]AV!H59="","",[1]AV!H59)</f>
        <v>1991</v>
      </c>
      <c r="E30" s="198">
        <f>IF([1]AV!Q59="","",[1]AV!Q59)</f>
        <v>2129</v>
      </c>
      <c r="F30" s="353">
        <f>IF([1]AV!L59="","",[1]AV!L59)</f>
        <v>16</v>
      </c>
      <c r="G30" s="748">
        <f t="shared" si="0"/>
        <v>28</v>
      </c>
      <c r="H30" s="198">
        <f t="shared" si="1"/>
        <v>1</v>
      </c>
      <c r="I30" s="198">
        <f t="shared" si="2"/>
        <v>0</v>
      </c>
      <c r="J30" s="198">
        <f t="shared" si="3"/>
        <v>1</v>
      </c>
      <c r="L30" s="739"/>
      <c r="M30" s="813"/>
    </row>
    <row r="31" spans="2:13" s="220" customFormat="1" ht="15.95" customHeight="1" x14ac:dyDescent="0.2">
      <c r="B31" s="184" t="str">
        <f>IF([1]AV!C61="","",[1]AV!C61)</f>
        <v>Vakuumfass</v>
      </c>
      <c r="C31" s="591" t="str">
        <f>IF([1]AV!E61="","",[1]AV!E61&amp;" "&amp;[1]AV!F61)</f>
        <v>4000 lt</v>
      </c>
      <c r="D31" s="348">
        <f>IF([1]AV!H61="","",[1]AV!H61)</f>
        <v>2006</v>
      </c>
      <c r="E31" s="198">
        <f>IF([1]AV!Q61="","",[1]AV!Q61)</f>
        <v>1624</v>
      </c>
      <c r="F31" s="353">
        <f>IF([1]AV!L61="","",[1]AV!L61)</f>
        <v>15</v>
      </c>
      <c r="G31" s="748">
        <f t="shared" si="0"/>
        <v>13</v>
      </c>
      <c r="H31" s="198">
        <f t="shared" si="1"/>
        <v>216.5333333333333</v>
      </c>
      <c r="I31" s="198">
        <f t="shared" si="2"/>
        <v>108.26666666666667</v>
      </c>
      <c r="J31" s="198">
        <f t="shared" si="3"/>
        <v>108.26666666666664</v>
      </c>
      <c r="L31" s="739"/>
      <c r="M31" s="813"/>
    </row>
    <row r="32" spans="2:13" s="220" customFormat="1" ht="15.95" customHeight="1" x14ac:dyDescent="0.2">
      <c r="B32" s="184" t="str">
        <f>IF([1]AV!C63="","",[1]AV!C63)</f>
        <v>Miststreuer</v>
      </c>
      <c r="C32" s="591" t="str">
        <f>IF([1]AV!E63="","",[1]AV!E63&amp;" "&amp;[1]AV!F63)</f>
        <v>3,5 t</v>
      </c>
      <c r="D32" s="348">
        <f>IF([1]AV!H63="","",[1]AV!H63)</f>
        <v>2006</v>
      </c>
      <c r="E32" s="198">
        <f>IF([1]AV!Q63="","",[1]AV!Q63)</f>
        <v>3185</v>
      </c>
      <c r="F32" s="353">
        <f>IF([1]AV!L63="","",[1]AV!L63)</f>
        <v>14</v>
      </c>
      <c r="G32" s="748">
        <f t="shared" si="0"/>
        <v>13</v>
      </c>
      <c r="H32" s="198">
        <f t="shared" si="1"/>
        <v>227.5</v>
      </c>
      <c r="I32" s="198">
        <f t="shared" si="2"/>
        <v>227.5</v>
      </c>
      <c r="J32" s="198">
        <f t="shared" si="3"/>
        <v>1</v>
      </c>
      <c r="L32" s="739"/>
      <c r="M32" s="813"/>
    </row>
    <row r="33" spans="2:13" s="220" customFormat="1" ht="15.95" customHeight="1" x14ac:dyDescent="0.2">
      <c r="B33" s="184" t="str">
        <f>IF([1]AV!C65="","",[1]AV!C65)</f>
        <v>Butterfass</v>
      </c>
      <c r="C33" s="591" t="str">
        <f>IF([1]AV!E65="","",[1]AV!E65&amp;" "&amp;[1]AV!F65)</f>
        <v>5 lt</v>
      </c>
      <c r="D33" s="348">
        <f>IF([1]AV!H65="","",[1]AV!H65)</f>
        <v>2005</v>
      </c>
      <c r="E33" s="198">
        <f>IF([1]AV!Q65="","",[1]AV!Q65)</f>
        <v>828</v>
      </c>
      <c r="F33" s="353">
        <f>IF([1]AV!L65="","",[1]AV!L65)</f>
        <v>20</v>
      </c>
      <c r="G33" s="748">
        <f t="shared" si="0"/>
        <v>14</v>
      </c>
      <c r="H33" s="198">
        <f t="shared" si="1"/>
        <v>248.39999999999998</v>
      </c>
      <c r="I33" s="198">
        <f t="shared" si="2"/>
        <v>41.4</v>
      </c>
      <c r="J33" s="198">
        <f t="shared" si="3"/>
        <v>206.99999999999997</v>
      </c>
      <c r="L33" s="739"/>
      <c r="M33" s="813"/>
    </row>
    <row r="34" spans="2:13" s="220" customFormat="1" ht="15.95" customHeight="1" x14ac:dyDescent="0.2">
      <c r="B34" s="184" t="str">
        <f>IF([1]AV!C67="","",[1]AV!C67)</f>
        <v>Zentrifuge</v>
      </c>
      <c r="C34" s="591" t="str">
        <f>IF([1]AV!E67="","",[1]AV!E67&amp;" "&amp;[1]AV!F67)</f>
        <v>15 lt</v>
      </c>
      <c r="D34" s="348">
        <f>IF([1]AV!H67="","",[1]AV!H67)</f>
        <v>1993</v>
      </c>
      <c r="E34" s="198">
        <f>IF([1]AV!Q67="","",[1]AV!Q67)</f>
        <v>687</v>
      </c>
      <c r="F34" s="353">
        <f>IF([1]AV!L67="","",[1]AV!L67)</f>
        <v>20</v>
      </c>
      <c r="G34" s="748">
        <f t="shared" si="0"/>
        <v>26</v>
      </c>
      <c r="H34" s="198">
        <f t="shared" si="1"/>
        <v>1</v>
      </c>
      <c r="I34" s="198">
        <f t="shared" si="2"/>
        <v>0</v>
      </c>
      <c r="J34" s="198">
        <f t="shared" si="3"/>
        <v>1</v>
      </c>
      <c r="L34" s="739"/>
      <c r="M34" s="813"/>
    </row>
    <row r="35" spans="2:13" s="220" customFormat="1" ht="15.95" customHeight="1" thickBot="1" x14ac:dyDescent="0.25">
      <c r="B35" s="184" t="str">
        <f>IF([1]AV!C69="","",[1]AV!C69)</f>
        <v>Pasteur</v>
      </c>
      <c r="C35" s="591" t="str">
        <f>IF([1]AV!E69="","",[1]AV!E69&amp;" "&amp;[1]AV!F69)</f>
        <v>40 lt</v>
      </c>
      <c r="D35" s="348">
        <f>IF([1]AV!H69="","",[1]AV!H69)</f>
        <v>1996</v>
      </c>
      <c r="E35" s="198">
        <f>IF([1]AV!Q69="","",[1]AV!Q69)</f>
        <v>792</v>
      </c>
      <c r="F35" s="353">
        <f>IF([1]AV!L69="","",[1]AV!L69)</f>
        <v>20</v>
      </c>
      <c r="G35" s="748">
        <f>$H$5-D35</f>
        <v>23</v>
      </c>
      <c r="H35" s="198">
        <f>IF(G35&lt;F35,E35-((E35/F35)*G35),1)</f>
        <v>1</v>
      </c>
      <c r="I35" s="198">
        <f>IF(G35&gt;=F35,0,E35/F35)</f>
        <v>0</v>
      </c>
      <c r="J35" s="198">
        <f>IF(G35+1&gt;=F35,1,H35-I35)</f>
        <v>1</v>
      </c>
      <c r="L35" s="739"/>
      <c r="M35" s="813"/>
    </row>
    <row r="36" spans="2:13" s="220" customFormat="1" ht="15.95" customHeight="1" thickBot="1" x14ac:dyDescent="0.25">
      <c r="B36" s="184" t="str">
        <f>IF([1]AV!C71="","",[1]AV!C71)</f>
        <v>Motorsäge</v>
      </c>
      <c r="C36" s="591" t="str">
        <f>IF([1]AV!E71="","",[1]AV!E71&amp;" "&amp;[1]AV!F71)</f>
        <v>4 KW</v>
      </c>
      <c r="D36" s="348">
        <f>IF([1]AV!H71="","",[1]AV!H71)</f>
        <v>2003</v>
      </c>
      <c r="E36" s="198">
        <f>IF([1]AV!Q71="","",[1]AV!Q71)</f>
        <v>619</v>
      </c>
      <c r="F36" s="353">
        <f>IF([1]AV!L71="","",[1]AV!L71)</f>
        <v>15</v>
      </c>
      <c r="G36" s="748">
        <f>$H$5-D36</f>
        <v>16</v>
      </c>
      <c r="H36" s="931"/>
      <c r="I36" s="931"/>
      <c r="J36" s="931"/>
      <c r="L36" s="739"/>
      <c r="M36" s="813"/>
    </row>
    <row r="37" spans="2:13" s="220" customFormat="1" ht="15.95" customHeight="1" x14ac:dyDescent="0.2">
      <c r="B37" s="184" t="str">
        <f>IF([1]AV!C73="","",[1]AV!C73)</f>
        <v>Pflug</v>
      </c>
      <c r="C37" s="591" t="str">
        <f>IF([1]AV!E73="","",[1]AV!E73&amp;" "&amp;[1]AV!F73)</f>
        <v>2 - scharig</v>
      </c>
      <c r="D37" s="348">
        <f>IF([1]AV!H73="","",[1]AV!H73)</f>
        <v>1993</v>
      </c>
      <c r="E37" s="198">
        <f>IF([1]AV!Q73="","",[1]AV!Q73)</f>
        <v>1729</v>
      </c>
      <c r="F37" s="353">
        <f>IF([1]AV!L73="","",[1]AV!L73)</f>
        <v>14</v>
      </c>
      <c r="G37" s="748">
        <f>$H$5-D37</f>
        <v>26</v>
      </c>
      <c r="H37" s="198">
        <f>IF(G37&lt;F37,E37-((E37/F37)*G37),1)</f>
        <v>1</v>
      </c>
      <c r="I37" s="198">
        <f>IF(G37&gt;=F37,0,E37/F37)</f>
        <v>0</v>
      </c>
      <c r="J37" s="198">
        <f>IF(G37+1&gt;=F37,1,H37-I37)</f>
        <v>1</v>
      </c>
      <c r="L37" s="739"/>
      <c r="M37" s="813"/>
    </row>
    <row r="38" spans="2:13" s="220" customFormat="1" ht="15.95" customHeight="1" x14ac:dyDescent="0.2">
      <c r="B38" s="184" t="str">
        <f>IF([1]AV!C75="","",[1]AV!C75)</f>
        <v>Ackerschleppe</v>
      </c>
      <c r="C38" s="591" t="str">
        <f>IF([1]AV!E75="","",[1]AV!E75&amp;" "&amp;[1]AV!F75)</f>
        <v>4 m</v>
      </c>
      <c r="D38" s="348">
        <f>IF([1]AV!H75="","",[1]AV!H75)</f>
        <v>2003</v>
      </c>
      <c r="E38" s="198">
        <f>IF([1]AV!Q75="","",[1]AV!Q75)</f>
        <v>573</v>
      </c>
      <c r="F38" s="353">
        <f>IF([1]AV!L75="","",[1]AV!L75)</f>
        <v>16</v>
      </c>
      <c r="G38" s="748">
        <f>$H$5-D38</f>
        <v>16</v>
      </c>
      <c r="H38" s="198">
        <f>IF(G38&lt;F38,E38-((E38/F38)*G38),1)</f>
        <v>1</v>
      </c>
      <c r="I38" s="198">
        <f>IF(G38&gt;=F38,0,E38/F38)</f>
        <v>0</v>
      </c>
      <c r="J38" s="198">
        <f>IF(G38+1&gt;=F38,1,H38-I38)</f>
        <v>1</v>
      </c>
      <c r="L38" s="739"/>
      <c r="M38" s="813"/>
    </row>
    <row r="39" spans="2:13" s="220" customFormat="1" ht="15.95" customHeight="1" x14ac:dyDescent="0.2">
      <c r="B39" s="184" t="str">
        <f>IF([1]AV!C77="","",[1]AV!C77)</f>
        <v>Frontlader</v>
      </c>
      <c r="C39" s="591" t="str">
        <f>IF([1]AV!E77="","",[1]AV!E77&amp;" "&amp;[1]AV!F77)</f>
        <v>1,4 m</v>
      </c>
      <c r="D39" s="348">
        <f>IF([1]AV!H77="","",[1]AV!H77)</f>
        <v>1989</v>
      </c>
      <c r="E39" s="198">
        <f>IF([1]AV!Q77="","",[1]AV!Q77)</f>
        <v>1065</v>
      </c>
      <c r="F39" s="353">
        <f>IF([1]AV!L77="","",[1]AV!L77)</f>
        <v>18</v>
      </c>
      <c r="G39" s="748">
        <f>$H$5-D39</f>
        <v>30</v>
      </c>
      <c r="H39" s="198">
        <f>IF(G39&lt;F39,E39-((E39/F39)*G39),1)</f>
        <v>1</v>
      </c>
      <c r="I39" s="198">
        <f>IF(G39&gt;=F39,0,E39/F39)</f>
        <v>0</v>
      </c>
      <c r="J39" s="198">
        <f>IF(G39+1&gt;=F39,1,H39-I39)</f>
        <v>1</v>
      </c>
      <c r="L39" s="739"/>
      <c r="M39" s="813"/>
    </row>
    <row r="40" spans="2:13" s="220" customFormat="1" ht="15.95" customHeight="1" thickBot="1" x14ac:dyDescent="0.25">
      <c r="B40" s="184" t="str">
        <f>IF([1]AV!C79="","",[1]AV!C79)</f>
        <v/>
      </c>
      <c r="C40" s="591" t="str">
        <f>IF([1]AV!E79="","",[1]AV!E79&amp;" "&amp;[1]AV!F79)</f>
        <v/>
      </c>
      <c r="D40" s="348" t="str">
        <f>IF([1]AV!H79="","",[1]AV!H79)</f>
        <v/>
      </c>
      <c r="E40" s="198" t="str">
        <f>IF([1]AV!Q79="","",[1]AV!Q79)</f>
        <v/>
      </c>
      <c r="F40" s="353" t="str">
        <f>IF([1]AV!L79="","",[1]AV!L79)</f>
        <v/>
      </c>
      <c r="G40" s="748"/>
      <c r="H40" s="199"/>
      <c r="I40" s="199"/>
      <c r="J40" s="199"/>
      <c r="L40" s="739"/>
      <c r="M40" s="813"/>
    </row>
    <row r="41" spans="2:13" s="220" customFormat="1" ht="15.95" customHeight="1" thickBot="1" x14ac:dyDescent="0.25">
      <c r="B41" s="193" t="str">
        <f>"Summe "&amp;B20</f>
        <v>Summe Maschinen und Geräte</v>
      </c>
      <c r="C41" s="592"/>
      <c r="D41" s="592"/>
      <c r="E41" s="592"/>
      <c r="F41" s="592"/>
      <c r="G41" s="592"/>
      <c r="H41" s="593"/>
      <c r="I41" s="593"/>
      <c r="J41" s="593"/>
      <c r="L41" s="739"/>
      <c r="M41" s="813"/>
    </row>
    <row r="42" spans="2:13" s="220" customFormat="1" ht="15.95" customHeight="1" x14ac:dyDescent="0.2">
      <c r="L42" s="739"/>
      <c r="M42" s="813"/>
    </row>
    <row r="43" spans="2:13" ht="17.100000000000001" hidden="1" customHeight="1" x14ac:dyDescent="0.2"/>
    <row r="44" spans="2:13" ht="17.100000000000001" hidden="1" customHeight="1" x14ac:dyDescent="0.2"/>
    <row r="45" spans="2:13" ht="17.100000000000001" hidden="1" customHeight="1" x14ac:dyDescent="0.2"/>
    <row r="46" spans="2:13" ht="17.100000000000001" hidden="1" customHeight="1" x14ac:dyDescent="0.2"/>
    <row r="47" spans="2:13" ht="17.100000000000001" hidden="1" customHeight="1" x14ac:dyDescent="0.2"/>
    <row r="48" spans="2:13" ht="17.100000000000001" hidden="1" customHeight="1" x14ac:dyDescent="0.2"/>
    <row r="49" ht="17.100000000000001" hidden="1" customHeight="1" x14ac:dyDescent="0.2"/>
    <row r="50" ht="17.100000000000001" hidden="1" customHeight="1" x14ac:dyDescent="0.2"/>
    <row r="51" ht="17.100000000000001" hidden="1" customHeight="1" x14ac:dyDescent="0.2"/>
    <row r="52" ht="17.100000000000001" hidden="1" customHeight="1" x14ac:dyDescent="0.2"/>
    <row r="53" ht="17.100000000000001" hidden="1" customHeight="1" x14ac:dyDescent="0.2"/>
    <row r="54" ht="17.100000000000001" hidden="1" customHeight="1" x14ac:dyDescent="0.2"/>
    <row r="55" ht="17.100000000000001" hidden="1" customHeight="1" x14ac:dyDescent="0.2"/>
    <row r="56" ht="17.100000000000001" hidden="1" customHeight="1" x14ac:dyDescent="0.2"/>
    <row r="57" ht="17.100000000000001" hidden="1" customHeight="1" x14ac:dyDescent="0.2"/>
    <row r="58" ht="17.100000000000001" hidden="1" customHeight="1" x14ac:dyDescent="0.2"/>
    <row r="59" ht="17.100000000000001" hidden="1" customHeight="1" x14ac:dyDescent="0.2"/>
    <row r="60" ht="17.100000000000001" hidden="1" customHeight="1" x14ac:dyDescent="0.2"/>
    <row r="61" ht="17.100000000000001" hidden="1" customHeight="1" x14ac:dyDescent="0.2"/>
    <row r="62" ht="17.100000000000001" hidden="1" customHeight="1" x14ac:dyDescent="0.2"/>
    <row r="63" ht="17.100000000000001" hidden="1" customHeight="1" x14ac:dyDescent="0.2"/>
    <row r="64" ht="17.100000000000001" hidden="1" customHeight="1" x14ac:dyDescent="0.2"/>
    <row r="65" ht="17.100000000000001" hidden="1" customHeight="1" x14ac:dyDescent="0.2"/>
    <row r="66" ht="17.100000000000001" hidden="1" customHeight="1" x14ac:dyDescent="0.2"/>
    <row r="67" ht="17.100000000000001" hidden="1" customHeight="1" x14ac:dyDescent="0.2"/>
    <row r="68" ht="17.100000000000001" hidden="1" customHeight="1" x14ac:dyDescent="0.2"/>
    <row r="69" ht="17.100000000000001" hidden="1" customHeight="1" x14ac:dyDescent="0.2"/>
    <row r="70" ht="17.100000000000001" hidden="1" customHeight="1" x14ac:dyDescent="0.2"/>
    <row r="71" ht="17.100000000000001" hidden="1" customHeight="1" x14ac:dyDescent="0.2"/>
    <row r="72" ht="17.100000000000001" hidden="1" customHeight="1" x14ac:dyDescent="0.2"/>
  </sheetData>
  <sheetProtection algorithmName="SHA-512" hashValue="hLEAyDXt9aW2A9uad7B10XfGb/VQbIhsCwTXAlUdy/DmSdYWGz1Cc4FQemUpZu6UsCPX6dF9Sqa4oznRpWDxVA==" saltValue="s7tvELhUDChpiH6k+iVRiQ==" spinCount="100000" sheet="1" objects="1" scenarios="1"/>
  <mergeCells count="3">
    <mergeCell ref="B3:H3"/>
    <mergeCell ref="I3:J3"/>
    <mergeCell ref="M1:M6"/>
  </mergeCells>
  <phoneticPr fontId="4" type="noConversion"/>
  <conditionalFormatting sqref="C21:F22 F11:F12 D11:D12 C24:F39">
    <cfRule type="cellIs" dxfId="23" priority="1" stopIfTrue="1" operator="equal">
      <formula>""</formula>
    </cfRule>
  </conditionalFormatting>
  <conditionalFormatting sqref="G11:J12 G21:J22 G24:J39">
    <cfRule type="expression" dxfId="22" priority="2" stopIfTrue="1">
      <formula>AND($B11="",$C11="",$D11="",$E11="",$F11="")</formula>
    </cfRule>
    <cfRule type="cellIs" dxfId="21" priority="3" stopIfTrue="1" operator="equal">
      <formula>"noch leer"</formula>
    </cfRule>
  </conditionalFormatting>
  <conditionalFormatting sqref="E11:E12 C11:C12">
    <cfRule type="cellIs" dxfId="20" priority="4" stopIfTrue="1" operator="equal">
      <formula>""</formula>
    </cfRule>
    <cfRule type="cellIs" dxfId="19" priority="5" stopIfTrue="1" operator="equal">
      <formula>"noch leer"</formula>
    </cfRule>
  </conditionalFormatting>
  <printOptions horizontalCentered="1"/>
  <pageMargins left="0.39370078740157483" right="0.39370078740157483" top="0.59055118110236227" bottom="0.39370078740157483" header="0" footer="0"/>
  <pageSetup paperSize="9" orientation="portrait" blackAndWhite="1" horizontalDpi="4294967295" r:id="rId1"/>
  <headerFooter alignWithMargins="0">
    <oddHeader>&amp;R&amp;8&amp;U&amp;F - Seite &amp;P/&amp;N</oddHeader>
  </headerFooter>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6">
    <tabColor indexed="10"/>
  </sheetPr>
  <dimension ref="A1:I91"/>
  <sheetViews>
    <sheetView showGridLines="0" workbookViewId="0">
      <pane ySplit="9" topLeftCell="A10" activePane="bottomLeft" state="frozen"/>
      <selection activeCell="F326" sqref="F326"/>
      <selection pane="bottomLeft" activeCell="D8" sqref="D8"/>
    </sheetView>
  </sheetViews>
  <sheetFormatPr baseColWidth="10" defaultColWidth="0" defaultRowHeight="15" zeroHeight="1" x14ac:dyDescent="0.2"/>
  <cols>
    <col min="1" max="1" width="2.7109375" style="65" customWidth="1"/>
    <col min="2" max="2" width="26.7109375" style="65" customWidth="1"/>
    <col min="3" max="3" width="7.42578125" style="65" customWidth="1"/>
    <col min="4" max="4" width="13.7109375" style="65" customWidth="1"/>
    <col min="5" max="5" width="6" style="65" customWidth="1"/>
    <col min="6" max="6" width="14.7109375" style="65" customWidth="1"/>
    <col min="7" max="7" width="2.7109375" style="65" customWidth="1"/>
    <col min="8" max="8" width="0.85546875" style="65" customWidth="1"/>
    <col min="9" max="9" width="20.7109375" style="65" customWidth="1"/>
    <col min="10" max="16384" width="14.85546875" style="65" hidden="1"/>
  </cols>
  <sheetData>
    <row r="1" spans="1:9" ht="24.95" customHeight="1" x14ac:dyDescent="0.2">
      <c r="A1" s="460"/>
      <c r="B1" s="461"/>
      <c r="C1" s="461" t="s">
        <v>390</v>
      </c>
      <c r="D1" s="462" t="str">
        <f>CONCATENATE([1]MKK1!C12," - ",[1]MKK1!C15," ",[1]MKK1!D15)</f>
        <v>Allradtraktor - 65 KW</v>
      </c>
      <c r="E1" s="463"/>
      <c r="F1" s="460"/>
      <c r="G1" s="460"/>
      <c r="H1" s="464"/>
      <c r="I1" s="1177" t="s">
        <v>101</v>
      </c>
    </row>
    <row r="2" spans="1:9" ht="20.100000000000001" customHeight="1" x14ac:dyDescent="0.2">
      <c r="A2" s="465"/>
      <c r="B2" s="465"/>
      <c r="C2" s="465"/>
      <c r="D2" s="466"/>
      <c r="E2" s="465"/>
      <c r="F2" s="465"/>
      <c r="G2" s="465"/>
      <c r="H2" s="467"/>
      <c r="I2" s="1177"/>
    </row>
    <row r="3" spans="1:9" x14ac:dyDescent="0.2">
      <c r="A3" s="468"/>
      <c r="B3" s="469" t="s">
        <v>391</v>
      </c>
      <c r="C3" s="469"/>
      <c r="D3" s="469"/>
      <c r="E3" s="469"/>
      <c r="F3" s="469"/>
      <c r="G3" s="468"/>
      <c r="H3" s="470"/>
      <c r="I3" s="471"/>
    </row>
    <row r="4" spans="1:9" x14ac:dyDescent="0.2">
      <c r="A4" s="468"/>
      <c r="B4" s="472" t="s">
        <v>392</v>
      </c>
      <c r="C4" s="472"/>
      <c r="D4" s="473">
        <f>IF([1]MKK1!J17="","",[1]MKK1!J17)</f>
        <v>28570</v>
      </c>
      <c r="E4" s="1197"/>
      <c r="F4" s="1198"/>
      <c r="G4" s="468"/>
      <c r="H4" s="470"/>
      <c r="I4" s="471"/>
    </row>
    <row r="5" spans="1:9" x14ac:dyDescent="0.2">
      <c r="A5" s="468"/>
      <c r="B5" s="472" t="s">
        <v>393</v>
      </c>
      <c r="C5" s="472"/>
      <c r="D5" s="474">
        <f>IF([1]MKK1!J19="","",[1]MKK1!J19)</f>
        <v>2014</v>
      </c>
      <c r="E5" s="1199"/>
      <c r="F5" s="1200"/>
      <c r="G5" s="468"/>
      <c r="H5" s="470"/>
      <c r="I5" s="471"/>
    </row>
    <row r="6" spans="1:9" x14ac:dyDescent="0.2">
      <c r="A6" s="468"/>
      <c r="B6" s="472" t="s">
        <v>394</v>
      </c>
      <c r="C6" s="472"/>
      <c r="D6" s="475">
        <f>IF([1]MKK1!J21="","",[1]MKK1!J21)</f>
        <v>15</v>
      </c>
      <c r="E6" s="1199"/>
      <c r="F6" s="1200"/>
      <c r="G6" s="468"/>
      <c r="H6" s="470"/>
      <c r="I6" s="471"/>
    </row>
    <row r="7" spans="1:9" ht="15.75" thickBot="1" x14ac:dyDescent="0.25">
      <c r="A7" s="468"/>
      <c r="B7" s="472" t="s">
        <v>395</v>
      </c>
      <c r="C7" s="472"/>
      <c r="D7" s="476">
        <f>IF([1]MKK1!K19="","",[1]MKK1!K19)</f>
        <v>191</v>
      </c>
      <c r="E7" s="1199"/>
      <c r="F7" s="1200"/>
      <c r="G7" s="468"/>
      <c r="H7" s="470"/>
      <c r="I7" s="471"/>
    </row>
    <row r="8" spans="1:9" ht="15.75" thickBot="1" x14ac:dyDescent="0.25">
      <c r="A8" s="468"/>
      <c r="B8" s="472" t="s">
        <v>514</v>
      </c>
      <c r="C8" s="472"/>
      <c r="D8" s="477"/>
      <c r="E8" s="1201"/>
      <c r="F8" s="1200"/>
      <c r="G8" s="468"/>
      <c r="H8" s="470"/>
      <c r="I8" s="471"/>
    </row>
    <row r="9" spans="1:9" ht="15.75" thickBot="1" x14ac:dyDescent="0.25">
      <c r="A9" s="468"/>
      <c r="B9" s="472" t="s">
        <v>396</v>
      </c>
      <c r="C9" s="478">
        <f>IF([1]MKK1!G21="","",[1]MKK1!G21)</f>
        <v>2019</v>
      </c>
      <c r="D9" s="479"/>
      <c r="E9" s="1202"/>
      <c r="F9" s="1203"/>
      <c r="G9" s="468"/>
      <c r="H9" s="470"/>
      <c r="I9" s="471"/>
    </row>
    <row r="10" spans="1:9" ht="9.9499999999999993" customHeight="1" x14ac:dyDescent="0.2">
      <c r="A10" s="465"/>
      <c r="B10" s="465"/>
      <c r="C10" s="465"/>
      <c r="D10" s="465"/>
      <c r="E10" s="465"/>
      <c r="F10" s="465"/>
      <c r="G10" s="465"/>
      <c r="H10" s="467"/>
      <c r="I10" s="480"/>
    </row>
    <row r="11" spans="1:9" ht="15.75" thickBot="1" x14ac:dyDescent="0.25">
      <c r="A11" s="468"/>
      <c r="B11" s="469" t="s">
        <v>64</v>
      </c>
      <c r="C11" s="481" t="s">
        <v>397</v>
      </c>
      <c r="D11" s="481" t="s">
        <v>398</v>
      </c>
      <c r="E11" s="482"/>
      <c r="F11" s="481" t="s">
        <v>399</v>
      </c>
      <c r="G11" s="468"/>
      <c r="H11" s="470"/>
      <c r="I11" s="471"/>
    </row>
    <row r="12" spans="1:9" ht="15.75" thickBot="1" x14ac:dyDescent="0.25">
      <c r="A12" s="814" t="s">
        <v>465</v>
      </c>
      <c r="B12" s="472" t="s">
        <v>400</v>
      </c>
      <c r="C12" s="483" t="str">
        <f>IF(D12="","",100/D6)</f>
        <v/>
      </c>
      <c r="D12" s="479"/>
      <c r="E12" s="1195" t="s">
        <v>401</v>
      </c>
      <c r="F12" s="484" t="str">
        <f>IF(D12="","Afa fehlt!",D12)</f>
        <v>Afa fehlt!</v>
      </c>
      <c r="G12" s="468"/>
      <c r="H12" s="470"/>
      <c r="I12" s="471"/>
    </row>
    <row r="13" spans="1:9" ht="15.75" thickBot="1" x14ac:dyDescent="0.25">
      <c r="A13" s="814" t="s">
        <v>523</v>
      </c>
      <c r="B13" s="472" t="str">
        <f>IF([1]MKK1!C26&lt;&gt;"","Unterbringung (U) = "&amp;DOLLAR([1]MKK1!C26,2),"Unterbringung (U)")</f>
        <v>Unterbringung (U)</v>
      </c>
      <c r="C13" s="485">
        <f>IF(OR([1]MKK1!J24="",[1]MKK1!J26&lt;&gt;""),"",[1]MKK1!J24)</f>
        <v>0.01</v>
      </c>
      <c r="D13" s="479"/>
      <c r="E13" s="1196"/>
      <c r="F13" s="484" t="str">
        <f>IF(D13="","U in € fehlt!",D13)</f>
        <v>U in € fehlt!</v>
      </c>
      <c r="G13" s="486"/>
      <c r="H13" s="487"/>
      <c r="I13" s="471"/>
    </row>
    <row r="14" spans="1:9" ht="15.75" thickBot="1" x14ac:dyDescent="0.25">
      <c r="A14" s="814" t="s">
        <v>524</v>
      </c>
      <c r="B14" s="472" t="str">
        <f>IF([1]MKK1!C32&lt;&gt;"","Versicherung (V) = "&amp;DOLLAR([1]MKK1!C32,2),"Versicherung (V)")</f>
        <v>Versicherung (V)</v>
      </c>
      <c r="C14" s="485">
        <f>IF(OR([1]MKK1!J30="",[1]MKK1!J32&lt;&gt;""),"",[1]MKK1!J30)</f>
        <v>0.01</v>
      </c>
      <c r="D14" s="479"/>
      <c r="E14" s="1196"/>
      <c r="F14" s="484" t="str">
        <f>IF(D14="","V in € fehlt!",D14)</f>
        <v>V in € fehlt!</v>
      </c>
      <c r="G14" s="486"/>
      <c r="H14" s="487"/>
      <c r="I14" s="471"/>
    </row>
    <row r="15" spans="1:9" ht="15.75" thickBot="1" x14ac:dyDescent="0.25">
      <c r="A15" s="814" t="s">
        <v>525</v>
      </c>
      <c r="B15" s="472" t="s">
        <v>402</v>
      </c>
      <c r="C15" s="485">
        <f>IF([1]MKK1!K24="","",[1]MKK1!K24)</f>
        <v>0.03</v>
      </c>
      <c r="D15" s="479"/>
      <c r="E15" s="1196"/>
      <c r="F15" s="488" t="str">
        <f>IF(D15="","Z in € fehlt!",D15)</f>
        <v>Z in € fehlt!</v>
      </c>
      <c r="G15" s="486"/>
      <c r="H15" s="487"/>
      <c r="I15" s="471"/>
    </row>
    <row r="16" spans="1:9" ht="15.75" thickBot="1" x14ac:dyDescent="0.25">
      <c r="A16" s="814"/>
      <c r="B16" s="489"/>
      <c r="C16" s="489"/>
      <c r="D16" s="489"/>
      <c r="E16" s="490" t="s">
        <v>69</v>
      </c>
      <c r="F16" s="491"/>
      <c r="G16" s="468"/>
      <c r="H16" s="470"/>
      <c r="I16" s="471"/>
    </row>
    <row r="17" spans="1:9" ht="9.9499999999999993" customHeight="1" x14ac:dyDescent="0.2">
      <c r="A17" s="815"/>
      <c r="B17" s="465"/>
      <c r="C17" s="465"/>
      <c r="D17" s="465"/>
      <c r="E17" s="465"/>
      <c r="F17" s="465"/>
      <c r="G17" s="465"/>
      <c r="H17" s="467"/>
      <c r="I17" s="480"/>
    </row>
    <row r="18" spans="1:9" ht="15.75" thickBot="1" x14ac:dyDescent="0.25">
      <c r="A18" s="814"/>
      <c r="B18" s="469" t="s">
        <v>60</v>
      </c>
      <c r="C18" s="481" t="s">
        <v>397</v>
      </c>
      <c r="D18" s="481" t="s">
        <v>403</v>
      </c>
      <c r="E18" s="482"/>
      <c r="F18" s="481" t="s">
        <v>399</v>
      </c>
      <c r="G18" s="468"/>
      <c r="H18" s="470"/>
      <c r="I18" s="471"/>
    </row>
    <row r="19" spans="1:9" ht="15.75" customHeight="1" thickBot="1" x14ac:dyDescent="0.25">
      <c r="A19" s="814" t="s">
        <v>526</v>
      </c>
      <c r="B19" s="472" t="s">
        <v>404</v>
      </c>
      <c r="C19" s="472"/>
      <c r="D19" s="492">
        <f>IF([1]MKK1!K26="","",[1]MKK1!K26)</f>
        <v>8.39</v>
      </c>
      <c r="E19" s="1195" t="s">
        <v>405</v>
      </c>
      <c r="F19" s="493"/>
      <c r="G19" s="468"/>
      <c r="H19" s="470"/>
      <c r="I19" s="471"/>
    </row>
    <row r="20" spans="1:9" ht="15.75" thickBot="1" x14ac:dyDescent="0.25">
      <c r="A20" s="814" t="s">
        <v>527</v>
      </c>
      <c r="B20" s="494">
        <v>100</v>
      </c>
      <c r="C20" s="485">
        <f>IF([1]MKK1!G28="","",[1]MKK1!G28)</f>
        <v>8.0000000000000002E-3</v>
      </c>
      <c r="D20" s="495"/>
      <c r="E20" s="1196"/>
      <c r="F20" s="493"/>
      <c r="G20" s="468"/>
      <c r="H20" s="470"/>
      <c r="I20" s="471"/>
    </row>
    <row r="21" spans="1:9" ht="15.75" thickBot="1" x14ac:dyDescent="0.25">
      <c r="A21" s="468"/>
      <c r="B21" s="496"/>
      <c r="C21" s="496"/>
      <c r="D21" s="496"/>
      <c r="E21" s="490" t="s">
        <v>73</v>
      </c>
      <c r="F21" s="491"/>
      <c r="G21" s="468"/>
      <c r="H21" s="470"/>
      <c r="I21" s="471"/>
    </row>
    <row r="22" spans="1:9" x14ac:dyDescent="0.2">
      <c r="A22" s="465"/>
      <c r="B22" s="465"/>
      <c r="C22" s="465"/>
      <c r="D22" s="465"/>
      <c r="E22" s="465"/>
      <c r="F22" s="465"/>
      <c r="G22" s="465"/>
      <c r="H22" s="467"/>
      <c r="I22" s="480"/>
    </row>
    <row r="23" spans="1:9" ht="15.75" thickBot="1" x14ac:dyDescent="0.25">
      <c r="A23" s="468"/>
      <c r="B23" s="469" t="s">
        <v>385</v>
      </c>
      <c r="C23" s="469"/>
      <c r="D23" s="469"/>
      <c r="E23" s="469"/>
      <c r="F23" s="481" t="s">
        <v>406</v>
      </c>
      <c r="G23" s="468"/>
      <c r="H23" s="470"/>
      <c r="I23" s="471"/>
    </row>
    <row r="24" spans="1:9" ht="15.75" thickBot="1" x14ac:dyDescent="0.25">
      <c r="A24" s="468"/>
      <c r="B24" s="497" t="s">
        <v>407</v>
      </c>
      <c r="C24" s="497"/>
      <c r="D24" s="497"/>
      <c r="E24" s="497"/>
      <c r="F24" s="479"/>
      <c r="G24" s="468"/>
      <c r="H24" s="470"/>
      <c r="I24" s="471"/>
    </row>
    <row r="25" spans="1:9" ht="15.75" thickBot="1" x14ac:dyDescent="0.25">
      <c r="A25" s="468"/>
      <c r="B25" s="497" t="s">
        <v>408</v>
      </c>
      <c r="C25" s="497"/>
      <c r="D25" s="497"/>
      <c r="E25" s="497"/>
      <c r="F25" s="479"/>
      <c r="G25" s="468"/>
      <c r="H25" s="470"/>
      <c r="I25" s="471"/>
    </row>
    <row r="26" spans="1:9" ht="15.75" thickBot="1" x14ac:dyDescent="0.25">
      <c r="A26" s="468"/>
      <c r="B26" s="498" t="s">
        <v>409</v>
      </c>
      <c r="C26" s="498"/>
      <c r="D26" s="498"/>
      <c r="E26" s="498"/>
      <c r="F26" s="499"/>
      <c r="G26" s="468"/>
      <c r="H26" s="470"/>
      <c r="I26" s="500"/>
    </row>
    <row r="27" spans="1:9" x14ac:dyDescent="0.2">
      <c r="A27" s="501"/>
      <c r="B27" s="501"/>
      <c r="C27" s="501"/>
      <c r="D27" s="501"/>
      <c r="E27" s="501"/>
      <c r="F27" s="501"/>
      <c r="G27" s="501"/>
      <c r="H27" s="502"/>
      <c r="I27" s="500"/>
    </row>
    <row r="28" spans="1:9" hidden="1" x14ac:dyDescent="0.2"/>
    <row r="29" spans="1:9" hidden="1" x14ac:dyDescent="0.2"/>
    <row r="30" spans="1:9" hidden="1" x14ac:dyDescent="0.2"/>
    <row r="31" spans="1:9" hidden="1" x14ac:dyDescent="0.2"/>
    <row r="32" spans="1:9"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sheetData>
  <sheetProtection algorithmName="SHA-512" hashValue="CnzPFGJUk/cpfJPy/e3YBPxNnDuRJhogrt6L/gujesm67aLgLymKyR5P7eDThRRxFGrQCFocXGMwuC1r8Qggsg==" saltValue="Eppk/FwqtEPX44qbmBHn8w==" spinCount="100000" sheet="1" objects="1" scenarios="1"/>
  <mergeCells count="4">
    <mergeCell ref="E19:E20"/>
    <mergeCell ref="E4:F9"/>
    <mergeCell ref="E12:E15"/>
    <mergeCell ref="I1:I2"/>
  </mergeCells>
  <phoneticPr fontId="4" type="noConversion"/>
  <conditionalFormatting sqref="F13">
    <cfRule type="cellIs" dxfId="18" priority="1" stopIfTrue="1" operator="equal">
      <formula>"U in € fehlt!"</formula>
    </cfRule>
  </conditionalFormatting>
  <conditionalFormatting sqref="F14">
    <cfRule type="cellIs" dxfId="17" priority="2" stopIfTrue="1" operator="equal">
      <formula>"V in € fehlt!"</formula>
    </cfRule>
  </conditionalFormatting>
  <conditionalFormatting sqref="F15">
    <cfRule type="cellIs" dxfId="16" priority="3" stopIfTrue="1" operator="equal">
      <formula>"Z in € fehlt!"</formula>
    </cfRule>
  </conditionalFormatting>
  <conditionalFormatting sqref="F12 D9">
    <cfRule type="cellIs" dxfId="15" priority="4" stopIfTrue="1" operator="equal">
      <formula>"Afa fehlt!"</formula>
    </cfRule>
  </conditionalFormatting>
  <conditionalFormatting sqref="C12">
    <cfRule type="expression" dxfId="14" priority="5" stopIfTrue="1">
      <formula>$D$12=0</formula>
    </cfRule>
  </conditionalFormatting>
  <conditionalFormatting sqref="C13:C14">
    <cfRule type="cellIs" dxfId="13" priority="6" stopIfTrue="1" operator="equal">
      <formula>""</formula>
    </cfRule>
  </conditionalFormatting>
  <conditionalFormatting sqref="F19">
    <cfRule type="expression" dxfId="12" priority="7" stopIfTrue="1">
      <formula>OR($D$19=0,$D$19="",$D$19="-")</formula>
    </cfRule>
  </conditionalFormatting>
  <conditionalFormatting sqref="D19">
    <cfRule type="cellIs" dxfId="11" priority="8" stopIfTrue="1" operator="equal">
      <formula>0</formula>
    </cfRule>
    <cfRule type="cellIs" dxfId="10" priority="9" stopIfTrue="1" operator="equal">
      <formula>""</formula>
    </cfRule>
    <cfRule type="cellIs" dxfId="9" priority="10" stopIfTrue="1" operator="equal">
      <formula>"-"</formula>
    </cfRule>
  </conditionalFormatting>
  <printOptions horizontalCentered="1"/>
  <pageMargins left="0.39370078740157483" right="0.39370078740157483" top="0.59055118110236227" bottom="0.39370078740157483" header="0" footer="0"/>
  <pageSetup paperSize="9" orientation="portrait" blackAndWhite="1" horizontalDpi="4294967295" r:id="rId1"/>
  <headerFooter alignWithMargins="0">
    <oddHeader>&amp;R&amp;8&amp;U&amp;F - Seite &amp;P/&amp;N</oddHeader>
  </headerFooter>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9">
    <tabColor indexed="10"/>
  </sheetPr>
  <dimension ref="A1:I91"/>
  <sheetViews>
    <sheetView showGridLines="0" workbookViewId="0">
      <pane ySplit="9" topLeftCell="A10" activePane="bottomLeft" state="frozen"/>
      <selection activeCell="F326" sqref="F326"/>
      <selection pane="bottomLeft" activeCell="D8" sqref="D8"/>
    </sheetView>
  </sheetViews>
  <sheetFormatPr baseColWidth="10" defaultColWidth="0" defaultRowHeight="15" customHeight="1" zeroHeight="1" x14ac:dyDescent="0.2"/>
  <cols>
    <col min="1" max="1" width="2.7109375" style="65" customWidth="1"/>
    <col min="2" max="2" width="26.7109375" style="65" customWidth="1"/>
    <col min="3" max="3" width="7.42578125" style="65" customWidth="1"/>
    <col min="4" max="4" width="13.7109375" style="65" customWidth="1"/>
    <col min="5" max="5" width="6" style="65" customWidth="1"/>
    <col min="6" max="6" width="14.7109375" style="65" customWidth="1"/>
    <col min="7" max="7" width="2.7109375" style="65" customWidth="1"/>
    <col min="8" max="8" width="0.85546875" style="65" customWidth="1"/>
    <col min="9" max="9" width="20.7109375" style="65" customWidth="1"/>
    <col min="10" max="16384" width="14.85546875" style="65" hidden="1"/>
  </cols>
  <sheetData>
    <row r="1" spans="1:9" ht="24.95" customHeight="1" x14ac:dyDescent="0.2">
      <c r="A1" s="460"/>
      <c r="B1" s="461"/>
      <c r="C1" s="461" t="s">
        <v>390</v>
      </c>
      <c r="D1" s="462" t="str">
        <f>CONCATENATE([1]MKK2!C12," - ",[1]MKK2!C15," ",[1]MKK2!D15)</f>
        <v>PKW-Anhänger - 600 kg</v>
      </c>
      <c r="E1" s="463"/>
      <c r="F1" s="460"/>
      <c r="G1" s="460"/>
      <c r="H1" s="464"/>
      <c r="I1" s="1177" t="s">
        <v>101</v>
      </c>
    </row>
    <row r="2" spans="1:9" ht="20.100000000000001" customHeight="1" x14ac:dyDescent="0.2">
      <c r="A2" s="465"/>
      <c r="B2" s="465"/>
      <c r="C2" s="465"/>
      <c r="D2" s="466"/>
      <c r="E2" s="465"/>
      <c r="F2" s="465"/>
      <c r="G2" s="465"/>
      <c r="H2" s="467"/>
      <c r="I2" s="1177"/>
    </row>
    <row r="3" spans="1:9" x14ac:dyDescent="0.2">
      <c r="A3" s="468"/>
      <c r="B3" s="469" t="s">
        <v>391</v>
      </c>
      <c r="C3" s="469"/>
      <c r="D3" s="469"/>
      <c r="E3" s="469"/>
      <c r="F3" s="469"/>
      <c r="G3" s="468"/>
      <c r="H3" s="470"/>
      <c r="I3" s="471"/>
    </row>
    <row r="4" spans="1:9" x14ac:dyDescent="0.2">
      <c r="A4" s="468"/>
      <c r="B4" s="472" t="s">
        <v>392</v>
      </c>
      <c r="C4" s="472"/>
      <c r="D4" s="473">
        <f>IF([1]MKK2!J17="","",[1]MKK2!J17)</f>
        <v>940</v>
      </c>
      <c r="E4" s="1197"/>
      <c r="F4" s="1198"/>
      <c r="G4" s="468"/>
      <c r="H4" s="470"/>
      <c r="I4" s="471"/>
    </row>
    <row r="5" spans="1:9" x14ac:dyDescent="0.2">
      <c r="A5" s="468"/>
      <c r="B5" s="472" t="s">
        <v>393</v>
      </c>
      <c r="C5" s="472"/>
      <c r="D5" s="474">
        <f>IF([1]MKK2!J19="","",[1]MKK2!J19)</f>
        <v>2010</v>
      </c>
      <c r="E5" s="1199"/>
      <c r="F5" s="1200"/>
      <c r="G5" s="468"/>
      <c r="H5" s="470"/>
      <c r="I5" s="471"/>
    </row>
    <row r="6" spans="1:9" x14ac:dyDescent="0.2">
      <c r="A6" s="468"/>
      <c r="B6" s="472" t="s">
        <v>394</v>
      </c>
      <c r="C6" s="472"/>
      <c r="D6" s="475">
        <f>IF([1]MKK2!J21="","",[1]MKK2!J21)</f>
        <v>12</v>
      </c>
      <c r="E6" s="1199"/>
      <c r="F6" s="1200"/>
      <c r="G6" s="468"/>
      <c r="H6" s="470"/>
      <c r="I6" s="471"/>
    </row>
    <row r="7" spans="1:9" ht="15.75" thickBot="1" x14ac:dyDescent="0.25">
      <c r="A7" s="468"/>
      <c r="B7" s="472" t="s">
        <v>395</v>
      </c>
      <c r="C7" s="472"/>
      <c r="D7" s="476">
        <f>IF([1]MKK2!K19="","",[1]MKK2!K19)</f>
        <v>68</v>
      </c>
      <c r="E7" s="1199"/>
      <c r="F7" s="1200"/>
      <c r="G7" s="468"/>
      <c r="H7" s="470"/>
      <c r="I7" s="471"/>
    </row>
    <row r="8" spans="1:9" ht="15.75" thickBot="1" x14ac:dyDescent="0.25">
      <c r="A8" s="468"/>
      <c r="B8" s="472" t="s">
        <v>514</v>
      </c>
      <c r="C8" s="472"/>
      <c r="D8" s="477"/>
      <c r="E8" s="1201"/>
      <c r="F8" s="1200"/>
      <c r="G8" s="468"/>
      <c r="H8" s="470"/>
      <c r="I8" s="471"/>
    </row>
    <row r="9" spans="1:9" ht="15.75" thickBot="1" x14ac:dyDescent="0.25">
      <c r="A9" s="468"/>
      <c r="B9" s="472" t="s">
        <v>396</v>
      </c>
      <c r="C9" s="478">
        <f>IF([1]MKK2!G21="","",[1]MKK2!G21)</f>
        <v>2019</v>
      </c>
      <c r="D9" s="479"/>
      <c r="E9" s="1202"/>
      <c r="F9" s="1203"/>
      <c r="G9" s="468"/>
      <c r="H9" s="470"/>
      <c r="I9" s="471"/>
    </row>
    <row r="10" spans="1:9" ht="9.9499999999999993" customHeight="1" x14ac:dyDescent="0.2">
      <c r="A10" s="465"/>
      <c r="B10" s="465"/>
      <c r="C10" s="465"/>
      <c r="D10" s="465"/>
      <c r="E10" s="465"/>
      <c r="F10" s="465"/>
      <c r="G10" s="465"/>
      <c r="H10" s="467"/>
      <c r="I10" s="480"/>
    </row>
    <row r="11" spans="1:9" ht="15.75" thickBot="1" x14ac:dyDescent="0.25">
      <c r="A11" s="468"/>
      <c r="B11" s="469" t="s">
        <v>64</v>
      </c>
      <c r="C11" s="481" t="s">
        <v>397</v>
      </c>
      <c r="D11" s="481" t="s">
        <v>398</v>
      </c>
      <c r="E11" s="482"/>
      <c r="F11" s="481" t="s">
        <v>399</v>
      </c>
      <c r="G11" s="468"/>
      <c r="H11" s="470"/>
      <c r="I11" s="471"/>
    </row>
    <row r="12" spans="1:9" ht="15.75" thickBot="1" x14ac:dyDescent="0.25">
      <c r="A12" s="814" t="s">
        <v>465</v>
      </c>
      <c r="B12" s="472" t="s">
        <v>400</v>
      </c>
      <c r="C12" s="939" t="str">
        <f>IF(D12="","",100/D6)</f>
        <v/>
      </c>
      <c r="D12" s="479"/>
      <c r="E12" s="1195" t="s">
        <v>401</v>
      </c>
      <c r="F12" s="484" t="str">
        <f>IF(D12="","Afa fehlt!",D12)</f>
        <v>Afa fehlt!</v>
      </c>
      <c r="G12" s="468"/>
      <c r="H12" s="470"/>
      <c r="I12" s="471"/>
    </row>
    <row r="13" spans="1:9" ht="15.75" thickBot="1" x14ac:dyDescent="0.25">
      <c r="A13" s="814" t="s">
        <v>523</v>
      </c>
      <c r="B13" s="472" t="str">
        <f>IF([1]MKK2!C26&lt;&gt;"","Unterbringung (U) = "&amp;DOLLAR([1]MKK2!C26,2),"Unterbringung (U)")</f>
        <v>Unterbringung (U)</v>
      </c>
      <c r="C13" s="940">
        <f>IF(OR([1]MKK2!J24="",[1]MKK2!J26&lt;&gt;""),"",[1]MKK2!J24)</f>
        <v>0.01</v>
      </c>
      <c r="D13" s="479"/>
      <c r="E13" s="1196"/>
      <c r="F13" s="484" t="str">
        <f>IF(D13="","U in € fehlt!",D13)</f>
        <v>U in € fehlt!</v>
      </c>
      <c r="G13" s="486"/>
      <c r="H13" s="487"/>
      <c r="I13" s="471"/>
    </row>
    <row r="14" spans="1:9" ht="15.75" thickBot="1" x14ac:dyDescent="0.25">
      <c r="A14" s="814" t="s">
        <v>524</v>
      </c>
      <c r="B14" s="472" t="str">
        <f>IF([1]MKK2!C32&lt;&gt;"","Versicherung (V) = "&amp;DOLLAR([1]MKK2!C32,2),"Versicherung (V)")</f>
        <v>Versicherung (V) = € 10,20</v>
      </c>
      <c r="C14" s="938" t="str">
        <f>IF(OR([1]MKK2!J30="",[1]MKK2!J32&lt;&gt;""),"",[1]MKK2!J30)</f>
        <v/>
      </c>
      <c r="D14" s="479"/>
      <c r="E14" s="1196"/>
      <c r="F14" s="484" t="str">
        <f>IF(D14="","V in € fehlt!",D14)</f>
        <v>V in € fehlt!</v>
      </c>
      <c r="G14" s="486"/>
      <c r="H14" s="487"/>
      <c r="I14" s="471"/>
    </row>
    <row r="15" spans="1:9" ht="15.75" thickBot="1" x14ac:dyDescent="0.25">
      <c r="A15" s="814" t="s">
        <v>525</v>
      </c>
      <c r="B15" s="472" t="s">
        <v>402</v>
      </c>
      <c r="C15" s="940">
        <f>IF([1]MKK2!K24="","",[1]MKK2!K24)</f>
        <v>0.03</v>
      </c>
      <c r="D15" s="479"/>
      <c r="E15" s="1196"/>
      <c r="F15" s="488" t="str">
        <f>IF(D15="","Z in € fehlt!",D15)</f>
        <v>Z in € fehlt!</v>
      </c>
      <c r="G15" s="486"/>
      <c r="H15" s="487"/>
      <c r="I15" s="471"/>
    </row>
    <row r="16" spans="1:9" ht="15.75" thickBot="1" x14ac:dyDescent="0.25">
      <c r="A16" s="814"/>
      <c r="B16" s="489"/>
      <c r="C16" s="489"/>
      <c r="D16" s="489"/>
      <c r="E16" s="490" t="s">
        <v>69</v>
      </c>
      <c r="F16" s="491"/>
      <c r="G16" s="468"/>
      <c r="H16" s="470"/>
      <c r="I16" s="471"/>
    </row>
    <row r="17" spans="1:9" ht="9.9499999999999993" customHeight="1" x14ac:dyDescent="0.2">
      <c r="A17" s="815"/>
      <c r="B17" s="465"/>
      <c r="C17" s="465"/>
      <c r="D17" s="465"/>
      <c r="E17" s="465"/>
      <c r="F17" s="465"/>
      <c r="G17" s="465"/>
      <c r="H17" s="467"/>
      <c r="I17" s="480"/>
    </row>
    <row r="18" spans="1:9" x14ac:dyDescent="0.2">
      <c r="A18" s="814"/>
      <c r="B18" s="469" t="s">
        <v>60</v>
      </c>
      <c r="C18" s="481" t="s">
        <v>397</v>
      </c>
      <c r="D18" s="481" t="s">
        <v>403</v>
      </c>
      <c r="E18" s="482"/>
      <c r="F18" s="481" t="s">
        <v>399</v>
      </c>
      <c r="G18" s="468"/>
      <c r="H18" s="470"/>
      <c r="I18" s="471"/>
    </row>
    <row r="19" spans="1:9" ht="15.75" customHeight="1" thickBot="1" x14ac:dyDescent="0.25">
      <c r="A19" s="814" t="s">
        <v>526</v>
      </c>
      <c r="B19" s="935" t="s">
        <v>404</v>
      </c>
      <c r="C19" s="472"/>
      <c r="D19" s="936" t="str">
        <f>IF([1]MKK2!K26="","",[1]MKK2!K26)</f>
        <v/>
      </c>
      <c r="E19" s="1195" t="s">
        <v>405</v>
      </c>
      <c r="F19" s="937"/>
      <c r="G19" s="468"/>
      <c r="H19" s="470"/>
      <c r="I19" s="471"/>
    </row>
    <row r="20" spans="1:9" ht="15.75" thickBot="1" x14ac:dyDescent="0.25">
      <c r="A20" s="814" t="s">
        <v>527</v>
      </c>
      <c r="B20" s="494">
        <v>100</v>
      </c>
      <c r="C20" s="485">
        <f>IF([1]MKK2!G28="","",[1]MKK2!G28)</f>
        <v>0.03</v>
      </c>
      <c r="D20" s="495"/>
      <c r="E20" s="1196"/>
      <c r="F20" s="493"/>
      <c r="G20" s="468"/>
      <c r="H20" s="470"/>
      <c r="I20" s="471"/>
    </row>
    <row r="21" spans="1:9" ht="15.75" thickBot="1" x14ac:dyDescent="0.25">
      <c r="A21" s="468"/>
      <c r="B21" s="496"/>
      <c r="C21" s="496"/>
      <c r="D21" s="496"/>
      <c r="E21" s="490" t="s">
        <v>73</v>
      </c>
      <c r="F21" s="491"/>
      <c r="G21" s="468"/>
      <c r="H21" s="470"/>
      <c r="I21" s="471"/>
    </row>
    <row r="22" spans="1:9" x14ac:dyDescent="0.2">
      <c r="A22" s="465"/>
      <c r="B22" s="465"/>
      <c r="C22" s="465"/>
      <c r="D22" s="465"/>
      <c r="E22" s="465"/>
      <c r="F22" s="465"/>
      <c r="G22" s="465"/>
      <c r="H22" s="467"/>
      <c r="I22" s="480"/>
    </row>
    <row r="23" spans="1:9" ht="15.75" thickBot="1" x14ac:dyDescent="0.25">
      <c r="A23" s="468"/>
      <c r="B23" s="469" t="s">
        <v>385</v>
      </c>
      <c r="C23" s="469"/>
      <c r="D23" s="469"/>
      <c r="E23" s="469"/>
      <c r="F23" s="481" t="s">
        <v>406</v>
      </c>
      <c r="G23" s="468"/>
      <c r="H23" s="470"/>
      <c r="I23" s="471"/>
    </row>
    <row r="24" spans="1:9" ht="15.75" thickBot="1" x14ac:dyDescent="0.25">
      <c r="A24" s="468"/>
      <c r="B24" s="497" t="s">
        <v>407</v>
      </c>
      <c r="C24" s="497"/>
      <c r="D24" s="497"/>
      <c r="E24" s="497"/>
      <c r="F24" s="479"/>
      <c r="G24" s="468"/>
      <c r="H24" s="470"/>
      <c r="I24" s="471"/>
    </row>
    <row r="25" spans="1:9" ht="15.75" thickBot="1" x14ac:dyDescent="0.25">
      <c r="A25" s="468"/>
      <c r="B25" s="497" t="s">
        <v>408</v>
      </c>
      <c r="C25" s="497"/>
      <c r="D25" s="497"/>
      <c r="E25" s="497"/>
      <c r="F25" s="479"/>
      <c r="G25" s="468"/>
      <c r="H25" s="470"/>
      <c r="I25" s="471"/>
    </row>
    <row r="26" spans="1:9" ht="15.75" thickBot="1" x14ac:dyDescent="0.25">
      <c r="A26" s="468"/>
      <c r="B26" s="498" t="s">
        <v>409</v>
      </c>
      <c r="C26" s="498"/>
      <c r="D26" s="498"/>
      <c r="E26" s="498"/>
      <c r="F26" s="499"/>
      <c r="G26" s="468"/>
      <c r="H26" s="470"/>
      <c r="I26" s="500"/>
    </row>
    <row r="27" spans="1:9" x14ac:dyDescent="0.2">
      <c r="A27" s="501"/>
      <c r="B27" s="501"/>
      <c r="C27" s="501"/>
      <c r="D27" s="501"/>
      <c r="E27" s="501"/>
      <c r="F27" s="501"/>
      <c r="G27" s="501"/>
      <c r="H27" s="502"/>
      <c r="I27" s="500"/>
    </row>
    <row r="28" spans="1:9" hidden="1" x14ac:dyDescent="0.2"/>
    <row r="29" spans="1:9" hidden="1" x14ac:dyDescent="0.2"/>
    <row r="30" spans="1:9" hidden="1" x14ac:dyDescent="0.2"/>
    <row r="31" spans="1:9" hidden="1" x14ac:dyDescent="0.2"/>
    <row r="32" spans="1:9"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sheetData>
  <sheetProtection algorithmName="SHA-512" hashValue="SmcMUOadeskNTmnVzvmccZQhp3cdYN3tpzmS/irXyecbzMT2QqrrxxXrFvpZBIJX158kcCfyDOCZI6+I3Ihv9g==" saltValue="9CaZhqq70a3Q7Gi/xdDBeA==" spinCount="100000" sheet="1" objects="1" scenarios="1"/>
  <mergeCells count="4">
    <mergeCell ref="E19:E20"/>
    <mergeCell ref="E4:F9"/>
    <mergeCell ref="E12:E15"/>
    <mergeCell ref="I1:I2"/>
  </mergeCells>
  <phoneticPr fontId="4" type="noConversion"/>
  <conditionalFormatting sqref="F13">
    <cfRule type="cellIs" dxfId="8" priority="1" stopIfTrue="1" operator="equal">
      <formula>"U in € fehlt!"</formula>
    </cfRule>
  </conditionalFormatting>
  <conditionalFormatting sqref="F14">
    <cfRule type="cellIs" dxfId="7" priority="2" stopIfTrue="1" operator="equal">
      <formula>"V in € fehlt!"</formula>
    </cfRule>
  </conditionalFormatting>
  <conditionalFormatting sqref="F15">
    <cfRule type="cellIs" dxfId="6" priority="3" stopIfTrue="1" operator="equal">
      <formula>"Z in € fehlt!"</formula>
    </cfRule>
  </conditionalFormatting>
  <conditionalFormatting sqref="F12 D9">
    <cfRule type="cellIs" dxfId="5" priority="4" stopIfTrue="1" operator="equal">
      <formula>"Afa fehlt!"</formula>
    </cfRule>
  </conditionalFormatting>
  <conditionalFormatting sqref="C12">
    <cfRule type="expression" dxfId="4" priority="5" stopIfTrue="1">
      <formula>$D$12=0</formula>
    </cfRule>
  </conditionalFormatting>
  <conditionalFormatting sqref="C13">
    <cfRule type="cellIs" dxfId="3" priority="6" stopIfTrue="1" operator="equal">
      <formula>""</formula>
    </cfRule>
  </conditionalFormatting>
  <printOptions horizontalCentered="1"/>
  <pageMargins left="0.39370078740157483" right="0.39370078740157483" top="0.59055118110236227" bottom="0.39370078740157483" header="0" footer="0"/>
  <pageSetup paperSize="9" orientation="portrait" blackAndWhite="1" horizontalDpi="4294967295" r:id="rId1"/>
  <headerFooter alignWithMargins="0">
    <oddHeader>&amp;R&amp;8&amp;U&amp;F - Seite &amp;P/&amp;N</oddHeader>
  </headerFooter>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22">
    <tabColor indexed="10"/>
  </sheetPr>
  <dimension ref="A1:IV236"/>
  <sheetViews>
    <sheetView showGridLines="0" tabSelected="1" workbookViewId="0">
      <pane ySplit="10" topLeftCell="A11" activePane="bottomLeft" state="frozen"/>
      <selection activeCell="F326" sqref="F326"/>
      <selection pane="bottomLeft" activeCell="F14" sqref="F14"/>
    </sheetView>
  </sheetViews>
  <sheetFormatPr baseColWidth="10" defaultColWidth="0" defaultRowHeight="12.75" customHeight="1" zeroHeight="1" x14ac:dyDescent="0.2"/>
  <cols>
    <col min="1" max="1" width="11.7109375" style="719" customWidth="1"/>
    <col min="2" max="2" width="7.7109375" style="719" customWidth="1"/>
    <col min="3" max="4" width="2.7109375" style="719" customWidth="1"/>
    <col min="5" max="5" width="1" style="719" customWidth="1"/>
    <col min="6" max="6" width="9.7109375" style="720" customWidth="1"/>
    <col min="7" max="7" width="1" style="720" customWidth="1"/>
    <col min="8" max="8" width="2.7109375" style="720" customWidth="1"/>
    <col min="9" max="9" width="1" style="720" customWidth="1"/>
    <col min="10" max="10" width="7.7109375" style="720" customWidth="1"/>
    <col min="11" max="11" width="1" style="720" customWidth="1"/>
    <col min="12" max="12" width="2.7109375" style="714" customWidth="1"/>
    <col min="13" max="13" width="1" style="714" customWidth="1"/>
    <col min="14" max="14" width="7.7109375" style="714" customWidth="1"/>
    <col min="15" max="15" width="1" style="714" customWidth="1"/>
    <col min="16" max="16" width="7.7109375" style="714" customWidth="1"/>
    <col min="17" max="19" width="2.7109375" style="714" customWidth="1"/>
    <col min="20" max="20" width="9.7109375" style="714" customWidth="1"/>
    <col min="21" max="21" width="2.7109375" style="714" customWidth="1"/>
    <col min="22" max="22" width="7.7109375" style="714" customWidth="1"/>
    <col min="23" max="23" width="2.7109375" style="714" customWidth="1"/>
    <col min="24" max="24" width="7.7109375" style="714" customWidth="1"/>
    <col min="25" max="26" width="2.7109375" style="714" customWidth="1"/>
    <col min="27" max="27" width="0.85546875" customWidth="1"/>
    <col min="28" max="28" width="20.7109375" customWidth="1"/>
    <col min="29" max="16384" width="11.7109375" style="714" hidden="1"/>
  </cols>
  <sheetData>
    <row r="1" spans="1:28" s="3" customFormat="1" ht="24.95" customHeight="1" x14ac:dyDescent="0.45">
      <c r="A1" s="595" t="str">
        <f>"Gebäudebewertung: "&amp;IF('[1]2NGeb'!L13="","",'[1]2NGeb'!L13)&amp;" "&amp;IF([1]Allg!E10="","",[1]Allg!E10)</f>
        <v xml:space="preserve">Gebäudebewertung:  </v>
      </c>
      <c r="B1" s="596"/>
      <c r="C1" s="596"/>
      <c r="D1" s="596"/>
      <c r="E1" s="596"/>
      <c r="F1" s="595"/>
      <c r="G1" s="595"/>
      <c r="H1" s="597"/>
      <c r="I1" s="597"/>
      <c r="J1" s="597"/>
      <c r="K1" s="597"/>
      <c r="L1" s="598"/>
      <c r="M1" s="598"/>
      <c r="N1" s="598"/>
      <c r="O1" s="598"/>
      <c r="P1" s="598"/>
      <c r="Q1" s="598"/>
      <c r="R1" s="598"/>
      <c r="S1" s="598"/>
      <c r="T1" s="598"/>
      <c r="U1" s="598"/>
      <c r="V1" s="598"/>
      <c r="W1" s="598"/>
      <c r="X1" s="598"/>
      <c r="Y1" s="598"/>
      <c r="Z1" s="598"/>
      <c r="AA1" s="464"/>
      <c r="AB1" s="1177" t="s">
        <v>101</v>
      </c>
    </row>
    <row r="2" spans="1:28" s="3" customFormat="1" ht="12.6" customHeight="1" x14ac:dyDescent="0.2">
      <c r="A2" s="599" t="s">
        <v>466</v>
      </c>
      <c r="B2" s="600"/>
      <c r="C2" s="600"/>
      <c r="D2" s="600"/>
      <c r="E2" s="600"/>
      <c r="F2" s="599"/>
      <c r="G2" s="599"/>
      <c r="H2" s="599"/>
      <c r="I2" s="599"/>
      <c r="J2" s="599"/>
      <c r="K2" s="599"/>
      <c r="L2" s="601"/>
      <c r="M2" s="601"/>
      <c r="N2" s="601"/>
      <c r="O2" s="601"/>
      <c r="P2" s="601"/>
      <c r="Q2" s="601"/>
      <c r="R2" s="601"/>
      <c r="S2" s="601"/>
      <c r="T2" s="601"/>
      <c r="U2" s="601"/>
      <c r="V2" s="601"/>
      <c r="W2" s="601"/>
      <c r="X2" s="601"/>
      <c r="Y2" s="601"/>
      <c r="Z2" s="601"/>
      <c r="AA2" s="467"/>
      <c r="AB2" s="1177"/>
    </row>
    <row r="3" spans="1:28" s="4" customFormat="1" ht="12.75" customHeight="1" x14ac:dyDescent="0.2">
      <c r="A3" s="602"/>
      <c r="B3" s="603"/>
      <c r="C3" s="603"/>
      <c r="D3" s="603"/>
      <c r="E3" s="603"/>
      <c r="F3" s="604"/>
      <c r="G3" s="604"/>
      <c r="H3" s="604"/>
      <c r="I3" s="604"/>
      <c r="J3" s="604"/>
      <c r="K3" s="604"/>
      <c r="AA3" s="470"/>
      <c r="AB3" s="1177"/>
    </row>
    <row r="4" spans="1:28" s="4" customFormat="1" ht="12.75" customHeight="1" x14ac:dyDescent="0.2">
      <c r="A4" s="605" t="str">
        <f>"Gesamte(r) "&amp;'[1]2NGeb'!C15</f>
        <v>Gesamte(r) Schuppen</v>
      </c>
      <c r="U4" s="605" t="str">
        <f>"Eingebaute(r) "&amp;'[1]2NGeb'!C17</f>
        <v>Eingebaute(r) Masthühnerstall (Flachstall)</v>
      </c>
      <c r="AA4" s="470"/>
      <c r="AB4" s="1177"/>
    </row>
    <row r="5" spans="1:28" s="4" customFormat="1" ht="12.75" customHeight="1" x14ac:dyDescent="0.2">
      <c r="A5" s="603" t="s">
        <v>467</v>
      </c>
      <c r="B5" s="607">
        <f>IF([1]Allg!E12="","",[1]Allg!E12)</f>
        <v>2019</v>
      </c>
      <c r="C5" s="608"/>
      <c r="D5" s="608"/>
      <c r="E5" s="608"/>
      <c r="T5" s="606"/>
      <c r="U5" s="603" t="s">
        <v>468</v>
      </c>
      <c r="X5" s="607">
        <f>IF('[1]2NGeb'!M28="","",'[1]2NGeb'!M28)</f>
        <v>2006</v>
      </c>
      <c r="AA5" s="470"/>
      <c r="AB5" s="1177"/>
    </row>
    <row r="6" spans="1:28" s="4" customFormat="1" ht="12.75" customHeight="1" x14ac:dyDescent="0.2">
      <c r="A6" s="603" t="s">
        <v>469</v>
      </c>
      <c r="B6" s="607">
        <f>IF('[1]2NGeb'!L21="","",'[1]2NGeb'!L21)</f>
        <v>1998</v>
      </c>
      <c r="C6" s="608"/>
      <c r="D6" s="608"/>
      <c r="E6" s="608"/>
      <c r="F6" s="604"/>
      <c r="G6" s="604"/>
      <c r="H6" s="604"/>
      <c r="I6" s="604"/>
      <c r="J6" s="603" t="s">
        <v>470</v>
      </c>
      <c r="M6" s="602"/>
      <c r="N6" s="609">
        <f>IF('[1]2NGeb'!L28="","",'[1]2NGeb'!L28)</f>
        <v>17</v>
      </c>
      <c r="O6" s="610"/>
      <c r="P6" s="4" t="s">
        <v>471</v>
      </c>
      <c r="U6" s="603" t="s">
        <v>470</v>
      </c>
      <c r="X6" s="609">
        <f>IF('[1]2NGeb'!M30="","",'[1]2NGeb'!M30)</f>
        <v>17</v>
      </c>
      <c r="Y6" s="4" t="s">
        <v>472</v>
      </c>
      <c r="AA6" s="470"/>
      <c r="AB6" s="1177"/>
    </row>
    <row r="7" spans="1:28" s="4" customFormat="1" ht="12.75" customHeight="1" x14ac:dyDescent="0.2">
      <c r="A7" s="603" t="s">
        <v>473</v>
      </c>
      <c r="B7" s="607">
        <f>IF('[1]2NGeb'!L23="","",'[1]2NGeb'!L23)</f>
        <v>31</v>
      </c>
      <c r="C7" s="611" t="s">
        <v>474</v>
      </c>
      <c r="D7" s="608"/>
      <c r="E7" s="608"/>
      <c r="G7" s="611"/>
      <c r="H7" s="604"/>
      <c r="I7" s="604"/>
      <c r="J7" s="603" t="s">
        <v>475</v>
      </c>
      <c r="M7" s="602"/>
      <c r="N7" s="609">
        <f>IF('[1]2NGeb'!L30="","",'[1]2NGeb'!L30)</f>
        <v>15</v>
      </c>
      <c r="O7" s="610"/>
      <c r="P7" s="4" t="s">
        <v>471</v>
      </c>
      <c r="U7" s="603" t="s">
        <v>475</v>
      </c>
      <c r="X7" s="609">
        <f>IF('[1]2NGeb'!M32="","",'[1]2NGeb'!M32)</f>
        <v>7</v>
      </c>
      <c r="Y7" s="4" t="s">
        <v>472</v>
      </c>
      <c r="AA7" s="470"/>
      <c r="AB7" s="1177"/>
    </row>
    <row r="8" spans="1:28" s="4" customFormat="1" ht="12.75" customHeight="1" x14ac:dyDescent="0.2">
      <c r="H8" s="604"/>
      <c r="I8" s="604"/>
      <c r="J8" s="603" t="s">
        <v>476</v>
      </c>
      <c r="M8" s="602"/>
      <c r="N8" s="609">
        <f>IF('[1]2NGeb'!L32="","",'[1]2NGeb'!L32)</f>
        <v>6</v>
      </c>
      <c r="O8" s="610"/>
      <c r="P8" s="4" t="s">
        <v>515</v>
      </c>
      <c r="U8" s="603" t="s">
        <v>476</v>
      </c>
      <c r="X8" s="609">
        <f>IF('[1]2NGeb'!M34="","",'[1]2NGeb'!M34)</f>
        <v>3</v>
      </c>
      <c r="Y8" s="4" t="s">
        <v>472</v>
      </c>
      <c r="AA8" s="470"/>
      <c r="AB8" s="1177"/>
    </row>
    <row r="9" spans="1:28" s="4" customFormat="1" ht="12.75" customHeight="1" x14ac:dyDescent="0.2">
      <c r="F9" s="611"/>
      <c r="G9" s="611"/>
      <c r="H9" s="604"/>
      <c r="I9" s="604"/>
      <c r="J9" s="603" t="s">
        <v>477</v>
      </c>
      <c r="M9" s="602"/>
      <c r="N9" s="612">
        <f>IF('[1]2NGeb'!L36="","",'[1]2NGeb'!L36)</f>
        <v>34</v>
      </c>
      <c r="O9" s="613"/>
      <c r="P9" s="4" t="s">
        <v>478</v>
      </c>
      <c r="U9" s="603" t="s">
        <v>477</v>
      </c>
      <c r="X9" s="612">
        <f>IF('[1]2NGeb'!M36="","",'[1]2NGeb'!M36)</f>
        <v>93</v>
      </c>
      <c r="Y9" s="4" t="s">
        <v>479</v>
      </c>
      <c r="AA9" s="470"/>
      <c r="AB9" s="1177"/>
    </row>
    <row r="10" spans="1:28" s="4" customFormat="1" ht="12" customHeight="1" x14ac:dyDescent="0.2">
      <c r="A10" s="604"/>
      <c r="B10" s="604"/>
      <c r="C10" s="604"/>
      <c r="D10" s="604"/>
      <c r="E10" s="604"/>
      <c r="F10" s="604"/>
      <c r="G10" s="604"/>
      <c r="H10" s="604"/>
      <c r="I10" s="604"/>
      <c r="J10" s="602"/>
      <c r="K10" s="602"/>
      <c r="L10" s="613"/>
      <c r="M10" s="613"/>
      <c r="Q10" s="602"/>
      <c r="R10" s="602"/>
      <c r="S10" s="602"/>
      <c r="T10" s="602"/>
      <c r="U10" s="613"/>
      <c r="AA10" s="467"/>
      <c r="AB10" s="1177"/>
    </row>
    <row r="11" spans="1:28" s="616" customFormat="1" ht="15" customHeight="1" x14ac:dyDescent="0.2">
      <c r="A11" s="614" t="str">
        <f>A4</f>
        <v>Gesamte(r) Schuppen</v>
      </c>
      <c r="B11" s="615"/>
      <c r="C11" s="615"/>
      <c r="D11" s="615"/>
      <c r="E11" s="615"/>
      <c r="F11" s="350"/>
      <c r="G11" s="350"/>
      <c r="H11" s="350"/>
      <c r="I11" s="350"/>
      <c r="J11" s="350"/>
      <c r="K11" s="350"/>
      <c r="L11" s="248"/>
      <c r="M11" s="248"/>
      <c r="N11" s="248"/>
      <c r="O11" s="248"/>
      <c r="P11" s="248"/>
      <c r="Q11" s="248"/>
      <c r="R11" s="248"/>
      <c r="S11" s="248"/>
      <c r="T11" s="248"/>
      <c r="U11" s="248"/>
      <c r="V11" s="248"/>
      <c r="W11" s="248"/>
      <c r="X11" s="248"/>
      <c r="Y11" s="248"/>
      <c r="Z11" s="248"/>
      <c r="AA11" s="470"/>
      <c r="AB11" s="471"/>
    </row>
    <row r="12" spans="1:28" s="618" customFormat="1" ht="3" customHeight="1" thickBot="1" x14ac:dyDescent="0.25">
      <c r="A12" s="617"/>
      <c r="B12" s="617"/>
      <c r="C12" s="617"/>
      <c r="D12" s="617"/>
      <c r="E12" s="617"/>
      <c r="F12" s="617"/>
      <c r="G12" s="617"/>
      <c r="H12" s="617"/>
      <c r="I12" s="617"/>
      <c r="J12" s="617"/>
      <c r="K12" s="617"/>
      <c r="L12" s="617"/>
      <c r="M12" s="617"/>
      <c r="N12" s="617"/>
      <c r="O12" s="617"/>
      <c r="P12" s="617"/>
      <c r="Q12" s="617"/>
      <c r="R12" s="617"/>
      <c r="S12" s="617"/>
      <c r="T12" s="617"/>
      <c r="U12" s="617"/>
      <c r="V12" s="617"/>
      <c r="W12" s="617"/>
      <c r="X12" s="617"/>
      <c r="Y12" s="617"/>
      <c r="Z12" s="617"/>
      <c r="AA12" s="470"/>
      <c r="AB12" s="471"/>
    </row>
    <row r="13" spans="1:28" s="618" customFormat="1" ht="3.95" customHeight="1" x14ac:dyDescent="0.2">
      <c r="A13" s="617"/>
      <c r="B13" s="619"/>
      <c r="C13" s="620"/>
      <c r="D13" s="620"/>
      <c r="E13" s="620"/>
      <c r="F13" s="620"/>
      <c r="G13" s="621"/>
      <c r="H13" s="620"/>
      <c r="I13" s="620"/>
      <c r="J13" s="620"/>
      <c r="K13" s="620"/>
      <c r="L13" s="620"/>
      <c r="M13" s="620"/>
      <c r="N13" s="620"/>
      <c r="O13" s="622"/>
      <c r="P13" s="617"/>
      <c r="Q13" s="617"/>
      <c r="R13" s="617"/>
      <c r="S13" s="617"/>
      <c r="T13" s="617"/>
      <c r="U13" s="617"/>
      <c r="V13" s="617"/>
      <c r="W13" s="617"/>
      <c r="X13" s="617"/>
      <c r="Y13" s="617"/>
      <c r="Z13" s="617"/>
      <c r="AA13" s="487"/>
      <c r="AB13" s="471"/>
    </row>
    <row r="14" spans="1:28" s="616" customFormat="1" ht="15" customHeight="1" x14ac:dyDescent="0.15">
      <c r="A14" s="617"/>
      <c r="B14" s="623" t="s">
        <v>480</v>
      </c>
      <c r="C14" s="624" t="str">
        <f>MID('[1]2NGeb'!$C$15,1,2)</f>
        <v>Sc</v>
      </c>
      <c r="D14" s="625" t="s">
        <v>481</v>
      </c>
      <c r="E14" s="625"/>
      <c r="F14" s="626"/>
      <c r="G14" s="627"/>
      <c r="H14" s="626"/>
      <c r="I14" s="627"/>
      <c r="J14" s="626"/>
      <c r="K14" s="627"/>
      <c r="L14" s="626"/>
      <c r="M14" s="627"/>
      <c r="N14" s="626"/>
      <c r="O14" s="628"/>
      <c r="P14" s="629" t="s">
        <v>482</v>
      </c>
      <c r="Q14" s="629"/>
      <c r="R14" s="629"/>
      <c r="S14" s="629"/>
      <c r="T14" s="629"/>
      <c r="U14" s="629"/>
      <c r="V14" s="629"/>
      <c r="W14" s="629"/>
      <c r="X14" s="629"/>
      <c r="Y14" s="629"/>
      <c r="Z14" s="629"/>
      <c r="AA14" s="487"/>
      <c r="AB14" s="471"/>
    </row>
    <row r="15" spans="1:28" s="616" customFormat="1" ht="3.95" customHeight="1" thickBot="1" x14ac:dyDescent="0.25">
      <c r="A15" s="617"/>
      <c r="B15" s="630"/>
      <c r="C15" s="631"/>
      <c r="D15" s="631"/>
      <c r="E15" s="631"/>
      <c r="F15" s="632"/>
      <c r="G15" s="632"/>
      <c r="H15" s="632"/>
      <c r="I15" s="632"/>
      <c r="J15" s="632"/>
      <c r="K15" s="632"/>
      <c r="L15" s="633"/>
      <c r="M15" s="633"/>
      <c r="N15" s="632"/>
      <c r="O15" s="634"/>
      <c r="P15" s="635"/>
      <c r="Q15" s="635"/>
      <c r="R15" s="635"/>
      <c r="S15" s="635"/>
      <c r="T15" s="635"/>
      <c r="U15" s="635"/>
      <c r="V15" s="635"/>
      <c r="W15" s="635"/>
      <c r="X15" s="635"/>
      <c r="Y15" s="635"/>
      <c r="Z15" s="635"/>
      <c r="AA15" s="487"/>
      <c r="AB15" s="471"/>
    </row>
    <row r="16" spans="1:28" s="616" customFormat="1" ht="3.95" customHeight="1" thickBot="1" x14ac:dyDescent="0.25">
      <c r="A16" s="617"/>
      <c r="B16" s="400"/>
      <c r="C16" s="617"/>
      <c r="D16" s="617"/>
      <c r="E16" s="617"/>
      <c r="F16" s="636"/>
      <c r="G16" s="636"/>
      <c r="H16" s="636"/>
      <c r="I16" s="636"/>
      <c r="J16" s="636"/>
      <c r="K16" s="636"/>
      <c r="L16" s="635"/>
      <c r="M16" s="635"/>
      <c r="N16" s="636"/>
      <c r="O16" s="636"/>
      <c r="P16" s="635"/>
      <c r="Q16" s="635"/>
      <c r="R16" s="635"/>
      <c r="S16" s="635"/>
      <c r="T16" s="635"/>
      <c r="U16" s="635"/>
      <c r="V16" s="635"/>
      <c r="W16" s="635"/>
      <c r="X16" s="635"/>
      <c r="Y16" s="635"/>
      <c r="Z16" s="635"/>
      <c r="AA16" s="470"/>
      <c r="AB16" s="471"/>
    </row>
    <row r="17" spans="1:28" s="616" customFormat="1" ht="15" customHeight="1" thickBot="1" x14ac:dyDescent="0.2">
      <c r="A17" s="617"/>
      <c r="B17" s="400" t="s">
        <v>480</v>
      </c>
      <c r="C17" s="637" t="str">
        <f>MID('[1]2NGeb'!$C$15,1,2)</f>
        <v>Sc</v>
      </c>
      <c r="D17" s="636" t="s">
        <v>481</v>
      </c>
      <c r="E17" s="636"/>
      <c r="F17" s="457"/>
      <c r="G17" s="636"/>
      <c r="H17" s="197" t="s">
        <v>460</v>
      </c>
      <c r="I17" s="197"/>
      <c r="J17" s="636"/>
      <c r="K17" s="636"/>
      <c r="L17" s="635"/>
      <c r="M17" s="635"/>
      <c r="N17" s="635"/>
      <c r="O17" s="635"/>
      <c r="P17" s="638" t="s">
        <v>4</v>
      </c>
      <c r="Q17" s="638"/>
      <c r="R17" s="638"/>
      <c r="S17" s="638"/>
      <c r="T17" s="638"/>
      <c r="U17" s="638"/>
      <c r="V17" s="638"/>
      <c r="W17" s="638"/>
      <c r="X17" s="638"/>
      <c r="Y17" s="638"/>
      <c r="Z17" s="638"/>
      <c r="AA17" s="467"/>
      <c r="AB17" s="480"/>
    </row>
    <row r="18" spans="1:28" s="616" customFormat="1" ht="3" customHeight="1" x14ac:dyDescent="0.2">
      <c r="A18" s="617"/>
      <c r="B18" s="400"/>
      <c r="C18" s="400"/>
      <c r="D18" s="400"/>
      <c r="E18" s="400"/>
      <c r="F18" s="400"/>
      <c r="G18" s="636"/>
      <c r="H18" s="197"/>
      <c r="I18" s="197"/>
      <c r="J18" s="636"/>
      <c r="K18" s="636"/>
      <c r="L18" s="635"/>
      <c r="M18" s="635"/>
      <c r="N18" s="635"/>
      <c r="O18" s="635"/>
      <c r="P18" s="635"/>
      <c r="Q18" s="635"/>
      <c r="R18" s="635"/>
      <c r="S18" s="635"/>
      <c r="T18" s="635"/>
      <c r="U18" s="635"/>
      <c r="V18" s="635"/>
      <c r="W18" s="635"/>
      <c r="X18" s="635"/>
      <c r="Y18" s="635"/>
      <c r="Z18" s="635"/>
      <c r="AA18" s="470"/>
      <c r="AB18" s="471"/>
    </row>
    <row r="19" spans="1:28" s="616" customFormat="1" ht="8.1" customHeight="1" thickBot="1" x14ac:dyDescent="0.25">
      <c r="A19" s="639"/>
      <c r="B19" s="640"/>
      <c r="C19" s="639"/>
      <c r="D19" s="639"/>
      <c r="E19" s="639"/>
      <c r="F19" s="641"/>
      <c r="G19" s="641"/>
      <c r="H19" s="641"/>
      <c r="I19" s="641"/>
      <c r="J19" s="641"/>
      <c r="K19" s="641"/>
      <c r="Q19" s="642"/>
      <c r="R19" s="642"/>
      <c r="S19" s="642"/>
      <c r="T19" s="642"/>
      <c r="U19" s="642"/>
      <c r="V19" s="642"/>
      <c r="W19" s="642"/>
      <c r="X19" s="642"/>
      <c r="Y19" s="642"/>
      <c r="Z19" s="642"/>
      <c r="AA19" s="264"/>
      <c r="AB19" s="813"/>
    </row>
    <row r="20" spans="1:28" s="616" customFormat="1" ht="3.95" customHeight="1" x14ac:dyDescent="0.2">
      <c r="A20" s="639"/>
      <c r="B20" s="643"/>
      <c r="C20" s="620"/>
      <c r="D20" s="620"/>
      <c r="E20" s="620"/>
      <c r="F20" s="621"/>
      <c r="G20" s="621"/>
      <c r="H20" s="621"/>
      <c r="I20" s="621"/>
      <c r="J20" s="621"/>
      <c r="K20" s="644"/>
      <c r="Q20" s="642"/>
      <c r="R20" s="642"/>
      <c r="S20" s="642"/>
      <c r="T20" s="642"/>
      <c r="U20" s="642"/>
      <c r="V20" s="642"/>
      <c r="W20" s="642"/>
      <c r="X20" s="642"/>
      <c r="Y20" s="642"/>
      <c r="Z20" s="642"/>
      <c r="AA20" s="264"/>
      <c r="AB20" s="813"/>
    </row>
    <row r="21" spans="1:28" s="616" customFormat="1" ht="15" customHeight="1" x14ac:dyDescent="0.2">
      <c r="A21" s="645"/>
      <c r="B21" s="623" t="s">
        <v>464</v>
      </c>
      <c r="C21" s="624" t="str">
        <f>MID('[1]2NGeb'!$C$15,1,2)</f>
        <v>Sc</v>
      </c>
      <c r="D21" s="625" t="s">
        <v>481</v>
      </c>
      <c r="E21" s="625"/>
      <c r="F21" s="626"/>
      <c r="G21" s="625"/>
      <c r="H21" s="626"/>
      <c r="I21" s="625"/>
      <c r="J21" s="626"/>
      <c r="K21" s="628"/>
      <c r="L21" s="646"/>
      <c r="M21" s="646"/>
      <c r="Q21" s="642"/>
      <c r="R21" s="642"/>
      <c r="S21" s="642"/>
      <c r="T21" s="642"/>
      <c r="U21" s="642"/>
      <c r="V21" s="642"/>
      <c r="W21" s="642"/>
      <c r="X21" s="642"/>
      <c r="Y21" s="642"/>
      <c r="Z21" s="642"/>
      <c r="AA21" s="264"/>
      <c r="AB21" s="813"/>
    </row>
    <row r="22" spans="1:28" s="616" customFormat="1" ht="3.95" customHeight="1" thickBot="1" x14ac:dyDescent="0.25">
      <c r="A22" s="639"/>
      <c r="B22" s="630"/>
      <c r="C22" s="631"/>
      <c r="D22" s="631"/>
      <c r="E22" s="631"/>
      <c r="F22" s="632"/>
      <c r="G22" s="632"/>
      <c r="H22" s="632"/>
      <c r="I22" s="632"/>
      <c r="J22" s="632"/>
      <c r="K22" s="634"/>
      <c r="L22" s="642"/>
      <c r="M22" s="642"/>
      <c r="Q22" s="642"/>
      <c r="R22" s="642"/>
      <c r="S22" s="642"/>
      <c r="T22" s="642"/>
      <c r="U22" s="642"/>
      <c r="V22" s="642"/>
      <c r="W22" s="642"/>
      <c r="X22" s="642"/>
      <c r="Y22" s="642"/>
      <c r="Z22" s="642"/>
      <c r="AA22" s="264"/>
      <c r="AB22" s="813"/>
    </row>
    <row r="23" spans="1:28" s="616" customFormat="1" ht="3.95" customHeight="1" thickBot="1" x14ac:dyDescent="0.25">
      <c r="A23" s="639"/>
      <c r="B23" s="640"/>
      <c r="C23" s="639"/>
      <c r="D23" s="639"/>
      <c r="E23" s="639"/>
      <c r="F23" s="641"/>
      <c r="G23" s="641"/>
      <c r="H23" s="641"/>
      <c r="I23" s="641"/>
      <c r="J23" s="641"/>
      <c r="K23" s="641"/>
      <c r="L23" s="642"/>
      <c r="M23" s="642"/>
      <c r="Q23" s="642"/>
      <c r="R23" s="642"/>
      <c r="S23" s="642"/>
      <c r="T23" s="642"/>
      <c r="U23" s="642"/>
      <c r="V23" s="642"/>
      <c r="W23" s="642"/>
      <c r="X23" s="642"/>
      <c r="Y23" s="642"/>
      <c r="Z23" s="642"/>
      <c r="AA23" s="264"/>
      <c r="AB23" s="813"/>
    </row>
    <row r="24" spans="1:28" s="616" customFormat="1" ht="15" customHeight="1" thickBot="1" x14ac:dyDescent="0.25">
      <c r="A24" s="639"/>
      <c r="B24" s="640" t="s">
        <v>464</v>
      </c>
      <c r="C24" s="647" t="str">
        <f>MID('[1]2NGeb'!$C$15,1,2)</f>
        <v>Sc</v>
      </c>
      <c r="D24" s="608" t="s">
        <v>481</v>
      </c>
      <c r="F24" s="457"/>
      <c r="G24" s="641"/>
      <c r="H24" s="645" t="s">
        <v>463</v>
      </c>
      <c r="I24" s="645"/>
      <c r="J24" s="648"/>
      <c r="K24" s="648"/>
      <c r="L24" s="649"/>
      <c r="M24" s="458"/>
      <c r="N24" s="179" t="s">
        <v>483</v>
      </c>
      <c r="O24" s="650"/>
      <c r="P24" s="650"/>
      <c r="Q24" s="651"/>
      <c r="R24" s="651"/>
      <c r="S24" s="651"/>
      <c r="T24" s="652"/>
      <c r="U24" s="642"/>
      <c r="V24" s="642"/>
      <c r="W24" s="642"/>
      <c r="X24" s="642"/>
      <c r="Y24" s="642"/>
      <c r="Z24" s="642"/>
      <c r="AA24" s="264"/>
      <c r="AB24" s="813"/>
    </row>
    <row r="25" spans="1:28" s="616" customFormat="1" ht="3" customHeight="1" thickBot="1" x14ac:dyDescent="0.25">
      <c r="A25" s="639"/>
      <c r="B25" s="640"/>
      <c r="C25" s="653"/>
      <c r="D25" s="608"/>
      <c r="E25" s="608"/>
      <c r="F25" s="608"/>
      <c r="G25" s="641"/>
      <c r="H25" s="645"/>
      <c r="I25" s="645"/>
      <c r="J25" s="648"/>
      <c r="K25" s="648"/>
      <c r="M25" s="458"/>
      <c r="O25" s="650"/>
      <c r="P25" s="650"/>
      <c r="Q25" s="651"/>
      <c r="R25" s="651"/>
      <c r="S25" s="651"/>
      <c r="T25" s="652"/>
      <c r="U25" s="642"/>
      <c r="V25" s="642"/>
      <c r="W25" s="642"/>
      <c r="X25" s="642"/>
      <c r="Y25" s="642"/>
      <c r="Z25" s="642"/>
      <c r="AA25" s="264"/>
      <c r="AB25" s="813"/>
    </row>
    <row r="26" spans="1:28" s="616" customFormat="1" ht="15" customHeight="1" thickBot="1" x14ac:dyDescent="0.25">
      <c r="A26" s="639"/>
      <c r="B26" s="640"/>
      <c r="C26" s="653"/>
      <c r="D26" s="608"/>
      <c r="E26" s="608"/>
      <c r="F26" s="608"/>
      <c r="G26" s="641"/>
      <c r="H26" s="645"/>
      <c r="I26" s="645"/>
      <c r="J26" s="648"/>
      <c r="K26" s="648"/>
      <c r="L26" s="649"/>
      <c r="M26" s="458"/>
      <c r="N26" s="616" t="s">
        <v>484</v>
      </c>
      <c r="O26" s="650"/>
      <c r="P26" s="650"/>
      <c r="Q26" s="651"/>
      <c r="R26" s="651"/>
      <c r="S26" s="651"/>
      <c r="T26" s="652"/>
      <c r="U26" s="642"/>
      <c r="V26" s="642"/>
      <c r="W26" s="642"/>
      <c r="X26" s="642"/>
      <c r="Y26" s="642"/>
      <c r="Z26" s="642"/>
      <c r="AA26" s="264"/>
      <c r="AB26" s="813"/>
    </row>
    <row r="27" spans="1:28" s="616" customFormat="1" ht="3" customHeight="1" thickBot="1" x14ac:dyDescent="0.25">
      <c r="A27" s="639"/>
      <c r="B27" s="640"/>
      <c r="C27" s="653"/>
      <c r="D27" s="608"/>
      <c r="E27" s="608"/>
      <c r="F27" s="608"/>
      <c r="G27" s="641"/>
      <c r="H27" s="645"/>
      <c r="I27" s="645"/>
      <c r="J27" s="648"/>
      <c r="K27" s="648"/>
      <c r="M27" s="458"/>
      <c r="O27" s="650"/>
      <c r="P27" s="650"/>
      <c r="Q27" s="651"/>
      <c r="R27" s="651"/>
      <c r="S27" s="651"/>
      <c r="T27" s="652"/>
      <c r="U27" s="642"/>
      <c r="V27" s="642"/>
      <c r="W27" s="642"/>
      <c r="X27" s="642"/>
      <c r="Y27" s="642"/>
      <c r="Z27" s="642"/>
      <c r="AA27" s="264"/>
      <c r="AB27" s="813"/>
    </row>
    <row r="28" spans="1:28" s="616" customFormat="1" ht="15" customHeight="1" thickBot="1" x14ac:dyDescent="0.25">
      <c r="A28" s="639"/>
      <c r="B28" s="640"/>
      <c r="C28" s="653"/>
      <c r="D28" s="608"/>
      <c r="E28" s="608"/>
      <c r="F28" s="608"/>
      <c r="G28" s="641"/>
      <c r="H28" s="645"/>
      <c r="I28" s="645"/>
      <c r="J28" s="648"/>
      <c r="K28" s="648"/>
      <c r="L28" s="649"/>
      <c r="M28" s="458"/>
      <c r="N28" s="616" t="s">
        <v>485</v>
      </c>
      <c r="O28" s="650"/>
      <c r="P28" s="650"/>
      <c r="Q28" s="651"/>
      <c r="R28" s="651"/>
      <c r="S28" s="651"/>
      <c r="T28" s="652"/>
      <c r="U28" s="642"/>
      <c r="V28" s="642"/>
      <c r="W28" s="642"/>
      <c r="X28" s="642"/>
      <c r="Y28" s="642"/>
      <c r="Z28" s="642"/>
      <c r="AA28" s="264"/>
      <c r="AB28" s="813"/>
    </row>
    <row r="29" spans="1:28" s="616" customFormat="1" ht="3.95" customHeight="1" x14ac:dyDescent="0.2">
      <c r="A29" s="639"/>
      <c r="B29" s="640"/>
      <c r="C29" s="653"/>
      <c r="D29" s="608"/>
      <c r="E29" s="608"/>
      <c r="F29" s="608"/>
      <c r="G29" s="641"/>
      <c r="H29" s="645"/>
      <c r="I29" s="645"/>
      <c r="J29" s="648"/>
      <c r="K29" s="648"/>
      <c r="M29" s="458"/>
      <c r="O29" s="650"/>
      <c r="P29" s="650"/>
      <c r="Q29" s="651"/>
      <c r="R29" s="651"/>
      <c r="S29" s="651"/>
      <c r="T29" s="652"/>
      <c r="U29" s="642"/>
      <c r="V29" s="642"/>
      <c r="W29" s="642"/>
      <c r="X29" s="642"/>
      <c r="Y29" s="642"/>
      <c r="Z29" s="642"/>
      <c r="AA29" s="264"/>
      <c r="AB29" s="813"/>
    </row>
    <row r="30" spans="1:28" s="616" customFormat="1" ht="3.95" customHeight="1" x14ac:dyDescent="0.2">
      <c r="A30" s="617"/>
      <c r="B30" s="400"/>
      <c r="C30" s="654"/>
      <c r="D30" s="636"/>
      <c r="E30" s="636"/>
      <c r="F30" s="636"/>
      <c r="G30" s="636"/>
      <c r="H30" s="197"/>
      <c r="I30" s="197"/>
      <c r="J30" s="655"/>
      <c r="K30" s="655"/>
      <c r="L30" s="635"/>
      <c r="M30" s="656"/>
      <c r="N30" s="635"/>
      <c r="O30" s="657"/>
      <c r="P30" s="657"/>
      <c r="Q30" s="197"/>
      <c r="R30" s="197"/>
      <c r="S30" s="197"/>
      <c r="T30" s="435"/>
      <c r="U30" s="635"/>
      <c r="V30" s="635"/>
      <c r="W30" s="635"/>
      <c r="X30" s="635"/>
      <c r="Y30" s="635"/>
      <c r="Z30" s="635"/>
      <c r="AA30" s="264"/>
      <c r="AB30" s="813"/>
    </row>
    <row r="31" spans="1:28" s="616" customFormat="1" ht="15" customHeight="1" x14ac:dyDescent="0.2">
      <c r="A31" s="639"/>
      <c r="B31" s="639"/>
      <c r="C31" s="639"/>
      <c r="D31" s="639"/>
      <c r="E31" s="639"/>
      <c r="F31" s="641"/>
      <c r="G31" s="641"/>
      <c r="H31" s="641"/>
      <c r="I31" s="641"/>
      <c r="J31" s="641"/>
      <c r="K31" s="641"/>
      <c r="AA31" s="264"/>
      <c r="AB31" s="813"/>
    </row>
    <row r="32" spans="1:28" s="616" customFormat="1" ht="15" customHeight="1" x14ac:dyDescent="0.2">
      <c r="A32" s="614" t="str">
        <f>U4</f>
        <v>Eingebaute(r) Masthühnerstall (Flachstall)</v>
      </c>
      <c r="B32" s="615"/>
      <c r="C32" s="615"/>
      <c r="D32" s="615"/>
      <c r="E32" s="615"/>
      <c r="F32" s="350"/>
      <c r="G32" s="350"/>
      <c r="H32" s="350"/>
      <c r="I32" s="350"/>
      <c r="J32" s="350"/>
      <c r="K32" s="350"/>
      <c r="L32" s="248"/>
      <c r="M32" s="248"/>
      <c r="N32" s="248"/>
      <c r="O32" s="248"/>
      <c r="P32" s="248"/>
      <c r="Q32" s="220"/>
      <c r="R32" s="220"/>
      <c r="S32" s="220"/>
      <c r="T32" s="220"/>
      <c r="U32" s="220"/>
      <c r="V32" s="220"/>
      <c r="W32" s="220"/>
      <c r="X32" s="220"/>
      <c r="Y32" s="220"/>
      <c r="Z32" s="220"/>
      <c r="AA32" s="264"/>
      <c r="AB32" s="813"/>
    </row>
    <row r="33" spans="1:28" s="616" customFormat="1" ht="3" customHeight="1" thickBot="1" x14ac:dyDescent="0.25">
      <c r="A33" s="658"/>
      <c r="B33" s="258"/>
      <c r="C33" s="258"/>
      <c r="D33" s="258"/>
      <c r="E33" s="258"/>
      <c r="F33" s="214"/>
      <c r="G33" s="214"/>
      <c r="H33" s="214"/>
      <c r="I33" s="214"/>
      <c r="J33" s="214"/>
      <c r="K33" s="214"/>
      <c r="L33" s="184"/>
      <c r="M33" s="184"/>
      <c r="N33" s="184"/>
      <c r="O33" s="184"/>
      <c r="P33" s="184"/>
      <c r="Q33" s="220"/>
      <c r="R33" s="220"/>
      <c r="S33" s="220"/>
      <c r="T33" s="220"/>
      <c r="U33" s="220"/>
      <c r="V33" s="220"/>
      <c r="W33" s="220"/>
      <c r="X33" s="220"/>
      <c r="Y33" s="220"/>
      <c r="Z33" s="220"/>
      <c r="AA33" s="264"/>
      <c r="AB33" s="813"/>
    </row>
    <row r="34" spans="1:28" s="616" customFormat="1" ht="15" customHeight="1" thickBot="1" x14ac:dyDescent="0.25">
      <c r="A34" s="617"/>
      <c r="B34" s="400" t="s">
        <v>480</v>
      </c>
      <c r="C34" s="637" t="str">
        <f>MID('[1]2NGeb'!$C$17,1,2)</f>
        <v>Ma</v>
      </c>
      <c r="D34" s="636" t="s">
        <v>481</v>
      </c>
      <c r="E34" s="636"/>
      <c r="F34" s="457"/>
      <c r="G34" s="636"/>
      <c r="H34" s="197" t="s">
        <v>460</v>
      </c>
      <c r="I34" s="197"/>
      <c r="J34" s="636"/>
      <c r="K34" s="636"/>
      <c r="L34" s="635"/>
      <c r="M34" s="635"/>
      <c r="N34" s="635"/>
      <c r="O34" s="635"/>
      <c r="P34" s="635"/>
      <c r="Q34" s="642"/>
      <c r="R34" s="642"/>
      <c r="S34" s="642"/>
      <c r="T34" s="642"/>
      <c r="U34" s="642"/>
      <c r="V34" s="642"/>
      <c r="W34" s="642"/>
      <c r="X34" s="642"/>
      <c r="Y34" s="642"/>
      <c r="Z34" s="642"/>
      <c r="AA34" s="264"/>
      <c r="AB34" s="813"/>
    </row>
    <row r="35" spans="1:28" s="616" customFormat="1" ht="3" customHeight="1" x14ac:dyDescent="0.2">
      <c r="A35" s="617"/>
      <c r="B35" s="400"/>
      <c r="C35" s="400"/>
      <c r="D35" s="400"/>
      <c r="E35" s="400"/>
      <c r="F35" s="400"/>
      <c r="G35" s="400"/>
      <c r="H35" s="197"/>
      <c r="I35" s="197"/>
      <c r="J35" s="636"/>
      <c r="K35" s="636"/>
      <c r="L35" s="635"/>
      <c r="M35" s="635"/>
      <c r="N35" s="635"/>
      <c r="O35" s="635"/>
      <c r="P35" s="635"/>
      <c r="Q35" s="642"/>
      <c r="R35" s="642"/>
      <c r="S35" s="642"/>
      <c r="T35" s="642"/>
      <c r="U35" s="642"/>
      <c r="V35" s="642"/>
      <c r="W35" s="642"/>
      <c r="X35" s="642"/>
      <c r="Y35" s="642"/>
      <c r="Z35" s="642"/>
      <c r="AA35" s="264"/>
      <c r="AB35" s="813"/>
    </row>
    <row r="36" spans="1:28" s="616" customFormat="1" ht="8.1" customHeight="1" thickBot="1" x14ac:dyDescent="0.25">
      <c r="B36" s="645"/>
      <c r="Q36" s="642"/>
      <c r="R36" s="642"/>
      <c r="S36" s="642"/>
      <c r="T36" s="642"/>
      <c r="U36" s="642"/>
      <c r="V36" s="642"/>
      <c r="W36" s="642"/>
      <c r="X36" s="642"/>
      <c r="Y36" s="642"/>
      <c r="Z36" s="642"/>
      <c r="AA36" s="264"/>
      <c r="AB36" s="813"/>
    </row>
    <row r="37" spans="1:28" s="616" customFormat="1" ht="15" customHeight="1" thickBot="1" x14ac:dyDescent="0.25">
      <c r="A37" s="639"/>
      <c r="B37" s="640" t="s">
        <v>464</v>
      </c>
      <c r="C37" s="647" t="str">
        <f>MID('[1]2NGeb'!$C$17,1,2)</f>
        <v>Ma</v>
      </c>
      <c r="D37" s="608" t="s">
        <v>481</v>
      </c>
      <c r="F37" s="457"/>
      <c r="G37" s="641"/>
      <c r="H37" s="645" t="s">
        <v>463</v>
      </c>
      <c r="I37" s="645"/>
      <c r="L37" s="649"/>
      <c r="M37" s="458"/>
      <c r="N37" s="179" t="s">
        <v>483</v>
      </c>
      <c r="AA37" s="264"/>
      <c r="AB37" s="813"/>
    </row>
    <row r="38" spans="1:28" s="616" customFormat="1" ht="3" customHeight="1" thickBot="1" x14ac:dyDescent="0.25">
      <c r="A38" s="639"/>
      <c r="B38" s="640"/>
      <c r="C38" s="640"/>
      <c r="D38" s="640"/>
      <c r="E38" s="640"/>
      <c r="F38" s="645"/>
      <c r="G38" s="645"/>
      <c r="H38" s="645"/>
      <c r="I38" s="645"/>
      <c r="M38" s="458"/>
      <c r="AA38" s="264"/>
      <c r="AB38" s="813"/>
    </row>
    <row r="39" spans="1:28" s="616" customFormat="1" ht="15" customHeight="1" thickBot="1" x14ac:dyDescent="0.25">
      <c r="A39" s="639"/>
      <c r="B39" s="640"/>
      <c r="C39" s="640"/>
      <c r="D39" s="640"/>
      <c r="E39" s="640"/>
      <c r="F39" s="645"/>
      <c r="G39" s="645"/>
      <c r="H39" s="645"/>
      <c r="I39" s="645"/>
      <c r="L39" s="649"/>
      <c r="M39" s="458"/>
      <c r="N39" s="616" t="s">
        <v>484</v>
      </c>
      <c r="AA39" s="264"/>
      <c r="AB39" s="813"/>
    </row>
    <row r="40" spans="1:28" s="616" customFormat="1" ht="3" customHeight="1" thickBot="1" x14ac:dyDescent="0.25">
      <c r="A40" s="639"/>
      <c r="B40" s="640"/>
      <c r="C40" s="640"/>
      <c r="D40" s="640"/>
      <c r="E40" s="640"/>
      <c r="F40" s="645"/>
      <c r="G40" s="645"/>
      <c r="H40" s="645"/>
      <c r="I40" s="645"/>
      <c r="M40" s="458"/>
      <c r="AA40" s="264"/>
      <c r="AB40" s="813"/>
    </row>
    <row r="41" spans="1:28" s="616" customFormat="1" ht="15" customHeight="1" thickBot="1" x14ac:dyDescent="0.25">
      <c r="A41" s="639"/>
      <c r="B41" s="640"/>
      <c r="C41" s="640"/>
      <c r="D41" s="640"/>
      <c r="E41" s="640"/>
      <c r="F41" s="645"/>
      <c r="G41" s="645"/>
      <c r="H41" s="645"/>
      <c r="I41" s="645"/>
      <c r="L41" s="649"/>
      <c r="M41" s="458"/>
      <c r="N41" s="616" t="s">
        <v>485</v>
      </c>
      <c r="AA41" s="264"/>
      <c r="AB41" s="813"/>
    </row>
    <row r="42" spans="1:28" s="616" customFormat="1" ht="15" customHeight="1" x14ac:dyDescent="0.2">
      <c r="Q42" s="642"/>
      <c r="R42" s="642"/>
      <c r="S42" s="642"/>
      <c r="T42" s="642"/>
      <c r="U42" s="642"/>
      <c r="V42" s="642"/>
      <c r="W42" s="642"/>
      <c r="X42" s="642"/>
      <c r="Y42" s="642"/>
      <c r="Z42" s="642"/>
      <c r="AA42" s="264"/>
      <c r="AB42" s="813"/>
    </row>
    <row r="43" spans="1:28" s="616" customFormat="1" ht="3" customHeight="1" x14ac:dyDescent="0.2">
      <c r="A43" s="635"/>
      <c r="B43" s="635"/>
      <c r="C43" s="635"/>
      <c r="D43" s="635"/>
      <c r="E43" s="635"/>
      <c r="F43" s="635"/>
      <c r="G43" s="635"/>
      <c r="H43" s="635"/>
      <c r="I43" s="635"/>
      <c r="J43" s="635"/>
      <c r="K43" s="635"/>
      <c r="L43" s="635"/>
      <c r="M43" s="635"/>
      <c r="N43" s="635"/>
      <c r="O43" s="635"/>
      <c r="P43" s="635"/>
      <c r="Q43" s="642"/>
      <c r="R43" s="642"/>
      <c r="S43" s="642"/>
      <c r="T43" s="642"/>
      <c r="U43" s="642"/>
      <c r="V43" s="642"/>
      <c r="W43" s="642"/>
      <c r="X43" s="642"/>
      <c r="Y43" s="642"/>
      <c r="Z43" s="642"/>
      <c r="AA43" s="264"/>
      <c r="AB43" s="813"/>
    </row>
    <row r="44" spans="1:28" s="616" customFormat="1" ht="15" customHeight="1" thickBot="1" x14ac:dyDescent="0.25">
      <c r="A44" s="617"/>
      <c r="B44" s="400" t="s">
        <v>486</v>
      </c>
      <c r="C44" s="637" t="str">
        <f>MID('[1]2NGeb'!$C$17,1,2)</f>
        <v>Ma</v>
      </c>
      <c r="D44" s="636" t="s">
        <v>481</v>
      </c>
      <c r="E44" s="636"/>
      <c r="F44" s="659">
        <f>IF(X9="","",X9)</f>
        <v>93</v>
      </c>
      <c r="G44" s="659"/>
      <c r="H44" s="636"/>
      <c r="I44" s="636"/>
      <c r="J44" s="636" t="s">
        <v>487</v>
      </c>
      <c r="K44" s="636"/>
      <c r="L44" s="635"/>
      <c r="M44" s="635"/>
      <c r="N44" s="660">
        <v>1</v>
      </c>
      <c r="O44" s="660"/>
      <c r="P44" s="660"/>
      <c r="Q44" s="642"/>
      <c r="R44" s="642"/>
      <c r="S44" s="642"/>
      <c r="T44" s="642"/>
      <c r="U44" s="642"/>
      <c r="V44" s="642"/>
      <c r="W44" s="642"/>
      <c r="X44" s="642"/>
      <c r="Y44" s="642"/>
      <c r="Z44" s="642"/>
      <c r="AA44" s="264"/>
      <c r="AB44" s="813"/>
    </row>
    <row r="45" spans="1:28" s="616" customFormat="1" ht="15" customHeight="1" thickBot="1" x14ac:dyDescent="0.25">
      <c r="A45" s="617"/>
      <c r="B45" s="400" t="s">
        <v>488</v>
      </c>
      <c r="C45" s="637" t="str">
        <f>MID('[1]2NGeb'!$C$17,1,2)</f>
        <v>Ma</v>
      </c>
      <c r="D45" s="636" t="s">
        <v>481</v>
      </c>
      <c r="E45" s="636"/>
      <c r="F45" s="661" t="str">
        <f>IF(OR(F44="",N45=""),"noch leer",F44*N45)</f>
        <v>noch leer</v>
      </c>
      <c r="G45" s="661"/>
      <c r="H45" s="636"/>
      <c r="I45" s="636"/>
      <c r="J45" s="636" t="s">
        <v>487</v>
      </c>
      <c r="K45" s="636"/>
      <c r="L45" s="635"/>
      <c r="M45" s="635"/>
      <c r="N45" s="662"/>
      <c r="O45" s="660"/>
      <c r="P45" s="660"/>
      <c r="Q45" s="642"/>
      <c r="R45" s="642"/>
      <c r="S45" s="642"/>
      <c r="T45" s="642"/>
      <c r="U45" s="642"/>
      <c r="V45" s="642"/>
      <c r="W45" s="642"/>
      <c r="X45" s="642"/>
      <c r="Y45" s="642"/>
      <c r="Z45" s="642"/>
      <c r="AA45" s="264"/>
      <c r="AB45" s="813"/>
    </row>
    <row r="46" spans="1:28" s="616" customFormat="1" ht="15" customHeight="1" thickBot="1" x14ac:dyDescent="0.25">
      <c r="A46" s="617"/>
      <c r="B46" s="400"/>
      <c r="C46" s="654"/>
      <c r="D46" s="395"/>
      <c r="E46" s="395"/>
      <c r="F46" s="400"/>
      <c r="G46" s="400"/>
      <c r="H46" s="197"/>
      <c r="I46" s="197"/>
      <c r="J46" s="660"/>
      <c r="K46" s="660"/>
      <c r="L46" s="635"/>
      <c r="M46" s="635"/>
      <c r="N46" s="400"/>
      <c r="O46" s="400"/>
      <c r="P46" s="400"/>
      <c r="Q46" s="663"/>
      <c r="R46" s="663"/>
      <c r="S46" s="663"/>
      <c r="T46" s="254"/>
      <c r="U46" s="642"/>
      <c r="V46" s="642"/>
      <c r="W46" s="642"/>
      <c r="X46" s="642"/>
      <c r="Y46" s="642"/>
      <c r="Z46" s="642"/>
      <c r="AA46" s="264"/>
      <c r="AB46" s="813"/>
    </row>
    <row r="47" spans="1:28" s="616" customFormat="1" ht="3.95" customHeight="1" x14ac:dyDescent="0.2">
      <c r="A47" s="617"/>
      <c r="B47" s="643"/>
      <c r="C47" s="664"/>
      <c r="D47" s="665"/>
      <c r="E47" s="665"/>
      <c r="F47" s="666"/>
      <c r="G47" s="666"/>
      <c r="H47" s="667"/>
      <c r="I47" s="667"/>
      <c r="J47" s="668"/>
      <c r="K47" s="669"/>
      <c r="L47" s="635"/>
      <c r="M47" s="635"/>
      <c r="N47" s="400"/>
      <c r="O47" s="400"/>
      <c r="P47" s="400"/>
      <c r="Q47" s="663"/>
      <c r="R47" s="663"/>
      <c r="S47" s="663"/>
      <c r="T47" s="254"/>
      <c r="U47" s="642"/>
      <c r="V47" s="642"/>
      <c r="W47" s="642"/>
      <c r="X47" s="642"/>
      <c r="Y47" s="642"/>
      <c r="Z47" s="642"/>
      <c r="AA47" s="264"/>
      <c r="AB47" s="813"/>
    </row>
    <row r="48" spans="1:28" s="616" customFormat="1" ht="15" customHeight="1" x14ac:dyDescent="0.2">
      <c r="A48" s="617"/>
      <c r="B48" s="623" t="s">
        <v>489</v>
      </c>
      <c r="C48" s="624" t="str">
        <f>MID('[1]2NGeb'!$C$17,1,2)</f>
        <v>Ma</v>
      </c>
      <c r="D48" s="625" t="s">
        <v>481</v>
      </c>
      <c r="E48" s="625"/>
      <c r="F48" s="626"/>
      <c r="G48" s="627"/>
      <c r="H48" s="626"/>
      <c r="I48" s="627"/>
      <c r="J48" s="670"/>
      <c r="K48" s="671"/>
      <c r="L48" s="635"/>
      <c r="M48" s="635"/>
      <c r="N48" s="400"/>
      <c r="O48" s="400"/>
      <c r="P48" s="400"/>
      <c r="Q48" s="663"/>
      <c r="R48" s="663"/>
      <c r="S48" s="663"/>
      <c r="T48" s="254"/>
      <c r="U48" s="642"/>
      <c r="V48" s="642"/>
      <c r="W48" s="642"/>
      <c r="X48" s="642"/>
      <c r="Y48" s="642"/>
      <c r="Z48" s="642"/>
      <c r="AA48" s="264"/>
      <c r="AB48" s="813"/>
    </row>
    <row r="49" spans="1:28" s="616" customFormat="1" ht="3.95" customHeight="1" thickBot="1" x14ac:dyDescent="0.25">
      <c r="A49" s="617"/>
      <c r="B49" s="630"/>
      <c r="C49" s="672"/>
      <c r="D49" s="632"/>
      <c r="E49" s="632"/>
      <c r="F49" s="633"/>
      <c r="G49" s="633"/>
      <c r="H49" s="633"/>
      <c r="I49" s="633"/>
      <c r="J49" s="633"/>
      <c r="K49" s="673"/>
      <c r="L49" s="635"/>
      <c r="M49" s="635"/>
      <c r="N49" s="400"/>
      <c r="O49" s="400"/>
      <c r="P49" s="400"/>
      <c r="Q49" s="663"/>
      <c r="R49" s="663"/>
      <c r="S49" s="663"/>
      <c r="T49" s="254"/>
      <c r="U49" s="642"/>
      <c r="V49" s="642"/>
      <c r="W49" s="642"/>
      <c r="X49" s="642"/>
      <c r="Y49" s="642"/>
      <c r="Z49" s="642"/>
      <c r="AA49" s="264"/>
      <c r="AB49" s="813"/>
    </row>
    <row r="50" spans="1:28" s="616" customFormat="1" ht="3" customHeight="1" thickBot="1" x14ac:dyDescent="0.25">
      <c r="A50" s="617"/>
      <c r="B50" s="400"/>
      <c r="C50" s="654"/>
      <c r="D50" s="636"/>
      <c r="E50" s="636"/>
      <c r="F50" s="635"/>
      <c r="G50" s="635"/>
      <c r="H50" s="635"/>
      <c r="I50" s="635"/>
      <c r="J50" s="635"/>
      <c r="K50" s="635"/>
      <c r="L50" s="635"/>
      <c r="M50" s="635"/>
      <c r="N50" s="400"/>
      <c r="O50" s="400"/>
      <c r="P50" s="400"/>
      <c r="Q50" s="663"/>
      <c r="R50" s="663"/>
      <c r="S50" s="663"/>
      <c r="T50" s="254"/>
      <c r="U50" s="642"/>
      <c r="V50" s="642"/>
      <c r="W50" s="642"/>
      <c r="X50" s="642"/>
      <c r="Y50" s="642"/>
      <c r="Z50" s="642"/>
      <c r="AA50" s="264"/>
      <c r="AB50" s="813"/>
    </row>
    <row r="51" spans="1:28" s="616" customFormat="1" ht="15" customHeight="1" thickBot="1" x14ac:dyDescent="0.25">
      <c r="A51" s="617"/>
      <c r="B51" s="400" t="s">
        <v>489</v>
      </c>
      <c r="C51" s="637" t="str">
        <f>MID('[1]2NGeb'!$C$17,1,2)</f>
        <v>Ma</v>
      </c>
      <c r="D51" s="395" t="s">
        <v>481</v>
      </c>
      <c r="E51" s="395"/>
      <c r="F51" s="434"/>
      <c r="G51" s="636"/>
      <c r="H51" s="197" t="s">
        <v>478</v>
      </c>
      <c r="I51" s="197"/>
      <c r="J51" s="635"/>
      <c r="K51" s="635"/>
      <c r="L51" s="635"/>
      <c r="M51" s="635"/>
      <c r="N51" s="400"/>
      <c r="O51" s="400"/>
      <c r="P51" s="400"/>
      <c r="Q51" s="663"/>
      <c r="R51" s="663"/>
      <c r="S51" s="663"/>
      <c r="T51" s="254"/>
      <c r="U51" s="642"/>
      <c r="V51" s="642"/>
      <c r="W51" s="642"/>
      <c r="X51" s="642"/>
      <c r="Y51" s="642"/>
      <c r="Z51" s="642"/>
      <c r="AA51" s="264"/>
      <c r="AB51" s="813"/>
    </row>
    <row r="52" spans="1:28" s="616" customFormat="1" ht="3" customHeight="1" x14ac:dyDescent="0.2">
      <c r="A52" s="617"/>
      <c r="B52" s="400"/>
      <c r="C52" s="400"/>
      <c r="D52" s="400"/>
      <c r="E52" s="400"/>
      <c r="F52" s="400"/>
      <c r="G52" s="400"/>
      <c r="H52" s="197"/>
      <c r="I52" s="197"/>
      <c r="J52" s="660"/>
      <c r="K52" s="660"/>
      <c r="L52" s="635"/>
      <c r="M52" s="635"/>
      <c r="N52" s="400"/>
      <c r="O52" s="400"/>
      <c r="P52" s="400"/>
      <c r="Q52" s="663"/>
      <c r="R52" s="663"/>
      <c r="S52" s="663"/>
      <c r="T52" s="254"/>
      <c r="U52" s="642"/>
      <c r="V52" s="642"/>
      <c r="W52" s="642"/>
      <c r="X52" s="642"/>
      <c r="Y52" s="642"/>
      <c r="Z52" s="642"/>
      <c r="AA52" s="264"/>
      <c r="AB52" s="813"/>
    </row>
    <row r="53" spans="1:28" s="616" customFormat="1" ht="20.100000000000001" customHeight="1" x14ac:dyDescent="0.2">
      <c r="A53" s="674"/>
      <c r="B53" s="675"/>
      <c r="C53" s="675"/>
      <c r="D53" s="675"/>
      <c r="E53" s="675"/>
      <c r="F53" s="663"/>
      <c r="G53" s="663"/>
      <c r="H53" s="254"/>
      <c r="I53" s="254"/>
      <c r="J53" s="676"/>
      <c r="K53" s="676"/>
      <c r="L53" s="642"/>
      <c r="M53" s="642"/>
      <c r="N53" s="675"/>
      <c r="O53" s="675"/>
      <c r="P53" s="675"/>
      <c r="Q53" s="663"/>
      <c r="R53" s="663"/>
      <c r="S53" s="663"/>
      <c r="T53" s="254"/>
      <c r="U53" s="642"/>
      <c r="V53" s="642"/>
      <c r="W53" s="642"/>
      <c r="X53" s="642"/>
      <c r="Y53" s="642"/>
      <c r="Z53" s="642"/>
      <c r="AA53" s="264"/>
      <c r="AB53" s="813"/>
    </row>
    <row r="54" spans="1:28" s="616" customFormat="1" ht="15" customHeight="1" x14ac:dyDescent="0.2">
      <c r="A54" s="642"/>
      <c r="B54" s="677"/>
      <c r="C54" s="677"/>
      <c r="D54" s="677"/>
      <c r="E54" s="677"/>
      <c r="F54" s="678"/>
      <c r="G54" s="678"/>
      <c r="H54" s="678"/>
      <c r="I54" s="678"/>
      <c r="J54" s="678"/>
      <c r="K54" s="678"/>
      <c r="L54" s="220"/>
      <c r="M54" s="220"/>
      <c r="N54" s="614" t="str">
        <f>'[1]2NGeb'!C19</f>
        <v>Bergeraum (erdlastig)</v>
      </c>
      <c r="O54" s="614"/>
      <c r="P54" s="614"/>
      <c r="Q54" s="248"/>
      <c r="R54" s="248"/>
      <c r="S54" s="248"/>
      <c r="T54" s="248"/>
      <c r="U54" s="248"/>
      <c r="V54" s="248"/>
      <c r="W54" s="248"/>
      <c r="X54" s="248"/>
      <c r="Y54" s="248"/>
      <c r="Z54" s="248"/>
      <c r="AA54" s="264"/>
      <c r="AB54" s="813"/>
    </row>
    <row r="55" spans="1:28" s="616" customFormat="1" ht="3" customHeight="1" x14ac:dyDescent="0.2">
      <c r="A55" s="679"/>
      <c r="B55" s="674"/>
      <c r="C55" s="674"/>
      <c r="D55" s="674"/>
      <c r="E55" s="674"/>
      <c r="F55" s="674"/>
      <c r="G55" s="674"/>
      <c r="H55" s="674"/>
      <c r="I55" s="674"/>
      <c r="J55" s="674"/>
      <c r="K55" s="674"/>
      <c r="L55" s="674"/>
      <c r="M55" s="674"/>
      <c r="N55" s="617"/>
      <c r="O55" s="617"/>
      <c r="P55" s="617"/>
      <c r="Q55" s="617"/>
      <c r="R55" s="617"/>
      <c r="S55" s="617"/>
      <c r="T55" s="617"/>
      <c r="U55" s="617"/>
      <c r="V55" s="617"/>
      <c r="W55" s="617"/>
      <c r="X55" s="617"/>
      <c r="Y55" s="617"/>
      <c r="Z55" s="617"/>
      <c r="AA55" s="264"/>
      <c r="AB55" s="813"/>
    </row>
    <row r="56" spans="1:28" s="616" customFormat="1" ht="15" customHeight="1" x14ac:dyDescent="0.2">
      <c r="A56" s="674"/>
      <c r="B56" s="674"/>
      <c r="C56" s="674"/>
      <c r="D56" s="674"/>
      <c r="E56" s="674"/>
      <c r="F56" s="674"/>
      <c r="G56" s="674"/>
      <c r="H56" s="674"/>
      <c r="I56" s="674"/>
      <c r="J56" s="674"/>
      <c r="K56" s="674"/>
      <c r="L56" s="674"/>
      <c r="M56" s="674"/>
      <c r="N56" s="617"/>
      <c r="O56" s="617"/>
      <c r="P56" s="617"/>
      <c r="Q56" s="617"/>
      <c r="R56" s="635" t="str">
        <f>A11</f>
        <v>Gesamte(r) Schuppen</v>
      </c>
      <c r="S56" s="635"/>
      <c r="T56" s="635"/>
      <c r="U56" s="617"/>
      <c r="V56" s="617"/>
      <c r="W56" s="617"/>
      <c r="X56" s="617" t="str">
        <f>IF(F17="","noch leer",F17)</f>
        <v>noch leer</v>
      </c>
      <c r="Y56" s="635" t="s">
        <v>490</v>
      </c>
      <c r="Z56" s="617"/>
      <c r="AA56" s="264"/>
      <c r="AB56" s="813"/>
    </row>
    <row r="57" spans="1:28" s="616" customFormat="1" ht="3.95" customHeight="1" thickBot="1" x14ac:dyDescent="0.25">
      <c r="A57" s="674"/>
      <c r="B57" s="674"/>
      <c r="C57" s="674"/>
      <c r="D57" s="674"/>
      <c r="E57" s="674"/>
      <c r="F57" s="674"/>
      <c r="G57" s="674"/>
      <c r="H57" s="674"/>
      <c r="I57" s="674"/>
      <c r="J57" s="674"/>
      <c r="K57" s="674"/>
      <c r="L57" s="674"/>
      <c r="M57" s="674"/>
      <c r="N57" s="617"/>
      <c r="O57" s="617"/>
      <c r="P57" s="617"/>
      <c r="Q57" s="617"/>
      <c r="R57" s="617"/>
      <c r="S57" s="617"/>
      <c r="T57" s="617"/>
      <c r="U57" s="617"/>
      <c r="V57" s="617"/>
      <c r="W57" s="617"/>
      <c r="X57" s="617"/>
      <c r="Y57" s="635"/>
      <c r="Z57" s="617"/>
      <c r="AA57" s="264"/>
      <c r="AB57" s="813"/>
    </row>
    <row r="58" spans="1:28" s="616" customFormat="1" ht="15" customHeight="1" thickBot="1" x14ac:dyDescent="0.25">
      <c r="A58" s="674"/>
      <c r="B58" s="674"/>
      <c r="C58" s="674"/>
      <c r="D58" s="674"/>
      <c r="E58" s="674"/>
      <c r="F58" s="674"/>
      <c r="G58" s="674"/>
      <c r="H58" s="674"/>
      <c r="I58" s="674"/>
      <c r="J58" s="674"/>
      <c r="K58" s="674"/>
      <c r="L58" s="674"/>
      <c r="M58" s="674"/>
      <c r="N58" s="617"/>
      <c r="O58" s="617"/>
      <c r="P58" s="617"/>
      <c r="Q58" s="649"/>
      <c r="R58" s="635" t="str">
        <f>A32</f>
        <v>Eingebaute(r) Masthühnerstall (Flachstall)</v>
      </c>
      <c r="S58" s="635"/>
      <c r="T58" s="635"/>
      <c r="U58" s="617"/>
      <c r="V58" s="617"/>
      <c r="W58" s="617"/>
      <c r="X58" s="617" t="str">
        <f>IF(F34="","noch leer",F34)</f>
        <v>noch leer</v>
      </c>
      <c r="Y58" s="635" t="s">
        <v>490</v>
      </c>
      <c r="Z58" s="617"/>
      <c r="AA58" s="264"/>
      <c r="AB58" s="813"/>
    </row>
    <row r="59" spans="1:28" s="616" customFormat="1" ht="3" customHeight="1" x14ac:dyDescent="0.2">
      <c r="A59" s="674"/>
      <c r="B59" s="674"/>
      <c r="C59" s="674"/>
      <c r="D59" s="674"/>
      <c r="E59" s="674"/>
      <c r="F59" s="674"/>
      <c r="G59" s="674"/>
      <c r="H59" s="674"/>
      <c r="I59" s="674"/>
      <c r="J59" s="674"/>
      <c r="K59" s="674"/>
      <c r="L59" s="674"/>
      <c r="M59" s="674"/>
      <c r="N59" s="617"/>
      <c r="O59" s="617"/>
      <c r="P59" s="617"/>
      <c r="Q59" s="680"/>
      <c r="R59" s="681"/>
      <c r="S59" s="681"/>
      <c r="T59" s="681"/>
      <c r="U59" s="680"/>
      <c r="V59" s="680"/>
      <c r="W59" s="680"/>
      <c r="X59" s="680"/>
      <c r="Y59" s="682"/>
      <c r="Z59" s="617"/>
      <c r="AA59" s="264"/>
      <c r="AB59" s="813"/>
    </row>
    <row r="60" spans="1:28" s="616" customFormat="1" ht="3" customHeight="1" x14ac:dyDescent="0.2">
      <c r="A60" s="674"/>
      <c r="B60" s="674"/>
      <c r="C60" s="674"/>
      <c r="D60" s="674"/>
      <c r="E60" s="674"/>
      <c r="F60" s="674"/>
      <c r="G60" s="674"/>
      <c r="H60" s="674"/>
      <c r="I60" s="674"/>
      <c r="J60" s="674"/>
      <c r="K60" s="674"/>
      <c r="L60" s="674"/>
      <c r="M60" s="674"/>
      <c r="N60" s="617"/>
      <c r="O60" s="617"/>
      <c r="P60" s="617"/>
      <c r="Q60" s="617"/>
      <c r="R60" s="683"/>
      <c r="S60" s="683"/>
      <c r="T60" s="683"/>
      <c r="U60" s="617"/>
      <c r="V60" s="617"/>
      <c r="W60" s="617"/>
      <c r="X60" s="617"/>
      <c r="Y60" s="635"/>
      <c r="Z60" s="617"/>
      <c r="AA60" s="264"/>
      <c r="AB60" s="813"/>
    </row>
    <row r="61" spans="1:28" s="616" customFormat="1" ht="15" customHeight="1" x14ac:dyDescent="0.2">
      <c r="A61" s="674"/>
      <c r="B61" s="674"/>
      <c r="C61" s="674"/>
      <c r="D61" s="674"/>
      <c r="E61" s="674"/>
      <c r="F61" s="674"/>
      <c r="G61" s="674"/>
      <c r="H61" s="674"/>
      <c r="I61" s="674"/>
      <c r="J61" s="674"/>
      <c r="K61" s="674"/>
      <c r="L61" s="674"/>
      <c r="M61" s="674"/>
      <c r="N61" s="617"/>
      <c r="O61" s="617"/>
      <c r="P61" s="617"/>
      <c r="Q61" s="395" t="s">
        <v>481</v>
      </c>
      <c r="R61" s="684" t="str">
        <f>'[1]2NGeb'!C19</f>
        <v>Bergeraum (erdlastig)</v>
      </c>
      <c r="S61" s="684"/>
      <c r="T61" s="684"/>
      <c r="U61" s="395"/>
      <c r="V61" s="395"/>
      <c r="W61" s="617"/>
      <c r="X61" s="400" t="str">
        <f>IF(Q58="+",X56+X58,IF(Q58="-",X56-X58,IF(Q58="x",X56*X58,IF(Q58=":",X56/X58,""))))</f>
        <v/>
      </c>
      <c r="Y61" s="197" t="s">
        <v>490</v>
      </c>
      <c r="Z61" s="617"/>
      <c r="AA61" s="264"/>
      <c r="AB61" s="813"/>
    </row>
    <row r="62" spans="1:28" s="616" customFormat="1" ht="3" customHeight="1" x14ac:dyDescent="0.2">
      <c r="A62" s="674"/>
      <c r="B62" s="674"/>
      <c r="C62" s="674"/>
      <c r="D62" s="674"/>
      <c r="E62" s="674"/>
      <c r="F62" s="674"/>
      <c r="G62" s="674"/>
      <c r="H62" s="674"/>
      <c r="I62" s="674"/>
      <c r="J62" s="674"/>
      <c r="K62" s="674"/>
      <c r="L62" s="674"/>
      <c r="M62" s="674"/>
      <c r="N62" s="617"/>
      <c r="O62" s="617"/>
      <c r="P62" s="617"/>
      <c r="Q62" s="617"/>
      <c r="R62" s="617"/>
      <c r="S62" s="617"/>
      <c r="T62" s="617"/>
      <c r="U62" s="617"/>
      <c r="V62" s="617"/>
      <c r="W62" s="617"/>
      <c r="X62" s="617"/>
      <c r="Y62" s="617"/>
      <c r="Z62" s="617"/>
      <c r="AA62" s="264"/>
      <c r="AB62" s="813"/>
    </row>
    <row r="63" spans="1:28" s="616" customFormat="1" ht="15" customHeight="1" x14ac:dyDescent="0.2">
      <c r="A63" s="674"/>
      <c r="B63" s="674"/>
      <c r="C63" s="674"/>
      <c r="D63" s="674"/>
      <c r="E63" s="674"/>
      <c r="F63" s="674"/>
      <c r="G63" s="674"/>
      <c r="H63" s="674"/>
      <c r="I63" s="674"/>
      <c r="J63" s="674"/>
      <c r="K63" s="674"/>
      <c r="L63" s="674"/>
      <c r="M63" s="674"/>
      <c r="N63" s="674"/>
      <c r="O63" s="674"/>
      <c r="P63" s="674"/>
      <c r="Q63" s="674"/>
      <c r="R63" s="674"/>
      <c r="S63" s="674"/>
      <c r="T63" s="674"/>
      <c r="U63" s="674"/>
      <c r="V63" s="674"/>
      <c r="W63" s="674"/>
      <c r="X63" s="674"/>
      <c r="Y63" s="674"/>
      <c r="Z63" s="674"/>
      <c r="AA63" s="264"/>
      <c r="AB63" s="813"/>
    </row>
    <row r="64" spans="1:28" s="616" customFormat="1" ht="3" customHeight="1" x14ac:dyDescent="0.2">
      <c r="A64" s="674"/>
      <c r="B64" s="674"/>
      <c r="C64" s="674"/>
      <c r="D64" s="674"/>
      <c r="E64" s="674"/>
      <c r="F64" s="674"/>
      <c r="G64" s="674"/>
      <c r="H64" s="674"/>
      <c r="I64" s="674"/>
      <c r="J64" s="674"/>
      <c r="K64" s="674"/>
      <c r="L64" s="674"/>
      <c r="M64" s="674"/>
      <c r="N64" s="617"/>
      <c r="O64" s="617"/>
      <c r="P64" s="617"/>
      <c r="Q64" s="617"/>
      <c r="R64" s="617"/>
      <c r="S64" s="617"/>
      <c r="T64" s="617"/>
      <c r="U64" s="617"/>
      <c r="V64" s="617"/>
      <c r="W64" s="617"/>
      <c r="X64" s="617"/>
      <c r="Y64" s="617"/>
      <c r="Z64" s="617"/>
      <c r="AA64" s="264"/>
      <c r="AB64" s="813"/>
    </row>
    <row r="65" spans="1:28" s="616" customFormat="1" ht="15" customHeight="1" x14ac:dyDescent="0.2">
      <c r="A65" s="674"/>
      <c r="B65" s="642"/>
      <c r="C65" s="642"/>
      <c r="D65" s="642"/>
      <c r="E65" s="642"/>
      <c r="F65" s="642"/>
      <c r="G65" s="642"/>
      <c r="H65" s="642"/>
      <c r="I65" s="642"/>
      <c r="J65" s="642"/>
      <c r="K65" s="642"/>
      <c r="L65" s="642"/>
      <c r="M65" s="642"/>
      <c r="N65" s="617"/>
      <c r="O65" s="617"/>
      <c r="P65" s="617"/>
      <c r="Q65" s="400" t="s">
        <v>486</v>
      </c>
      <c r="R65" s="685" t="str">
        <f>MID('[1]2NGeb'!$C$19,1,2)</f>
        <v>Be</v>
      </c>
      <c r="S65" s="617" t="s">
        <v>481</v>
      </c>
      <c r="T65" s="659">
        <f>IF(N9="","",N9)</f>
        <v>34</v>
      </c>
      <c r="U65" s="636"/>
      <c r="V65" s="636" t="s">
        <v>487</v>
      </c>
      <c r="W65" s="617"/>
      <c r="X65" s="660">
        <v>1</v>
      </c>
      <c r="Y65" s="617"/>
      <c r="Z65" s="617"/>
      <c r="AA65" s="264"/>
      <c r="AB65" s="813"/>
    </row>
    <row r="66" spans="1:28" s="616" customFormat="1" ht="3.95" customHeight="1" thickBot="1" x14ac:dyDescent="0.25">
      <c r="A66" s="674"/>
      <c r="B66" s="642"/>
      <c r="C66" s="642"/>
      <c r="D66" s="642"/>
      <c r="E66" s="642"/>
      <c r="F66" s="642"/>
      <c r="G66" s="642"/>
      <c r="H66" s="642"/>
      <c r="I66" s="642"/>
      <c r="J66" s="642"/>
      <c r="K66" s="642"/>
      <c r="L66" s="642"/>
      <c r="M66" s="642"/>
      <c r="N66" s="617"/>
      <c r="O66" s="617"/>
      <c r="P66" s="617"/>
      <c r="Q66" s="400"/>
      <c r="R66" s="686"/>
      <c r="S66" s="617"/>
      <c r="T66" s="636"/>
      <c r="U66" s="636"/>
      <c r="V66" s="636"/>
      <c r="W66" s="617"/>
      <c r="X66" s="636"/>
      <c r="Y66" s="617"/>
      <c r="Z66" s="617"/>
      <c r="AA66" s="264"/>
      <c r="AB66" s="813"/>
    </row>
    <row r="67" spans="1:28" s="616" customFormat="1" ht="15" customHeight="1" thickBot="1" x14ac:dyDescent="0.25">
      <c r="A67" s="674"/>
      <c r="B67" s="642"/>
      <c r="C67" s="642"/>
      <c r="D67" s="642"/>
      <c r="E67" s="642"/>
      <c r="F67" s="642"/>
      <c r="G67" s="642"/>
      <c r="H67" s="642"/>
      <c r="I67" s="642"/>
      <c r="J67" s="642"/>
      <c r="K67" s="642"/>
      <c r="L67" s="642"/>
      <c r="M67" s="642"/>
      <c r="N67" s="635"/>
      <c r="O67" s="635"/>
      <c r="P67" s="635"/>
      <c r="Q67" s="400" t="s">
        <v>488</v>
      </c>
      <c r="R67" s="685" t="str">
        <f>MID('[1]2NGeb'!$C$19,1,2)</f>
        <v>Be</v>
      </c>
      <c r="S67" s="617" t="s">
        <v>481</v>
      </c>
      <c r="T67" s="661" t="str">
        <f>IF(OR(T65="",X67=""),"noch leer",T65*X67)</f>
        <v>noch leer</v>
      </c>
      <c r="U67" s="636"/>
      <c r="V67" s="636" t="s">
        <v>487</v>
      </c>
      <c r="W67" s="617"/>
      <c r="X67" s="662"/>
      <c r="Y67" s="617"/>
      <c r="Z67" s="617"/>
      <c r="AA67" s="264"/>
      <c r="AB67" s="813"/>
    </row>
    <row r="68" spans="1:28" s="616" customFormat="1" ht="15" customHeight="1" thickBot="1" x14ac:dyDescent="0.25">
      <c r="A68" s="674"/>
      <c r="B68" s="675"/>
      <c r="C68" s="675"/>
      <c r="D68" s="675"/>
      <c r="E68" s="675"/>
      <c r="F68" s="663"/>
      <c r="G68" s="663"/>
      <c r="H68" s="254"/>
      <c r="I68" s="254"/>
      <c r="J68" s="676"/>
      <c r="K68" s="676"/>
      <c r="L68" s="642"/>
      <c r="M68" s="642"/>
      <c r="N68" s="400"/>
      <c r="O68" s="400"/>
      <c r="P68" s="400"/>
      <c r="Q68" s="687"/>
      <c r="R68" s="688"/>
      <c r="S68" s="687"/>
      <c r="T68" s="395"/>
      <c r="U68" s="635"/>
      <c r="V68" s="617"/>
      <c r="W68" s="617"/>
      <c r="X68" s="617"/>
      <c r="Y68" s="617"/>
      <c r="Z68" s="617"/>
      <c r="AA68" s="264"/>
      <c r="AB68" s="813"/>
    </row>
    <row r="69" spans="1:28" s="616" customFormat="1" ht="15" customHeight="1" thickBot="1" x14ac:dyDescent="0.25">
      <c r="A69" s="674"/>
      <c r="B69" s="675"/>
      <c r="C69" s="675"/>
      <c r="D69" s="675"/>
      <c r="E69" s="675"/>
      <c r="F69" s="663"/>
      <c r="G69" s="663"/>
      <c r="H69" s="254"/>
      <c r="I69" s="254"/>
      <c r="J69" s="676"/>
      <c r="K69" s="676"/>
      <c r="L69" s="642"/>
      <c r="M69" s="642"/>
      <c r="N69" s="400"/>
      <c r="O69" s="400"/>
      <c r="P69" s="400"/>
      <c r="Q69" s="400" t="s">
        <v>489</v>
      </c>
      <c r="R69" s="637" t="str">
        <f>MID('[1]2NGeb'!$C$19,1,2)</f>
        <v>Be</v>
      </c>
      <c r="S69" s="400" t="s">
        <v>481</v>
      </c>
      <c r="T69" s="434"/>
      <c r="U69" s="635" t="s">
        <v>479</v>
      </c>
      <c r="V69" s="635"/>
      <c r="W69" s="617"/>
      <c r="X69" s="617"/>
      <c r="Y69" s="617"/>
      <c r="Z69" s="617"/>
      <c r="AA69" s="264"/>
      <c r="AB69" s="813"/>
    </row>
    <row r="70" spans="1:28" s="616" customFormat="1" ht="3" customHeight="1" x14ac:dyDescent="0.2">
      <c r="A70" s="674"/>
      <c r="B70" s="675"/>
      <c r="C70" s="675"/>
      <c r="D70" s="675"/>
      <c r="E70" s="675"/>
      <c r="F70" s="663"/>
      <c r="G70" s="663"/>
      <c r="H70" s="254"/>
      <c r="I70" s="254"/>
      <c r="J70" s="676"/>
      <c r="K70" s="676"/>
      <c r="L70" s="642"/>
      <c r="M70" s="642"/>
      <c r="N70" s="400"/>
      <c r="O70" s="400"/>
      <c r="P70" s="400"/>
      <c r="Q70" s="687"/>
      <c r="R70" s="687"/>
      <c r="S70" s="687"/>
      <c r="T70" s="395"/>
      <c r="U70" s="635"/>
      <c r="V70" s="617"/>
      <c r="W70" s="617"/>
      <c r="X70" s="617"/>
      <c r="Y70" s="617"/>
      <c r="Z70" s="617"/>
      <c r="AA70" s="264"/>
      <c r="AB70" s="813"/>
    </row>
    <row r="71" spans="1:28" s="616" customFormat="1" ht="20.100000000000001" customHeight="1" x14ac:dyDescent="0.2">
      <c r="A71" s="674"/>
      <c r="B71" s="675"/>
      <c r="C71" s="675"/>
      <c r="D71" s="675"/>
      <c r="E71" s="675"/>
      <c r="F71" s="663"/>
      <c r="G71" s="663"/>
      <c r="H71" s="254"/>
      <c r="I71" s="254"/>
      <c r="J71" s="676"/>
      <c r="K71" s="676"/>
      <c r="L71" s="642"/>
      <c r="M71" s="642"/>
      <c r="N71" s="675"/>
      <c r="O71" s="675"/>
      <c r="P71" s="675"/>
      <c r="Q71" s="663"/>
      <c r="R71" s="663"/>
      <c r="S71" s="663"/>
      <c r="T71" s="254"/>
      <c r="U71" s="642"/>
      <c r="V71" s="674"/>
      <c r="W71" s="674"/>
      <c r="X71" s="674"/>
      <c r="Y71" s="674"/>
      <c r="Z71" s="674"/>
      <c r="AA71" s="264"/>
      <c r="AB71" s="813"/>
    </row>
    <row r="72" spans="1:28" s="616" customFormat="1" ht="15" customHeight="1" x14ac:dyDescent="0.2">
      <c r="A72" s="614" t="str">
        <f>A32</f>
        <v>Eingebaute(r) Masthühnerstall (Flachstall)</v>
      </c>
      <c r="B72" s="615"/>
      <c r="C72" s="615"/>
      <c r="D72" s="615"/>
      <c r="E72" s="615"/>
      <c r="F72" s="350"/>
      <c r="G72" s="350"/>
      <c r="H72" s="350"/>
      <c r="I72" s="350"/>
      <c r="J72" s="350"/>
      <c r="K72" s="350"/>
      <c r="L72" s="248"/>
      <c r="M72" s="248"/>
      <c r="N72" s="614" t="str">
        <f>N54</f>
        <v>Bergeraum (erdlastig)</v>
      </c>
      <c r="O72" s="614"/>
      <c r="P72" s="614"/>
      <c r="Q72" s="248"/>
      <c r="R72" s="248"/>
      <c r="S72" s="248"/>
      <c r="T72" s="248"/>
      <c r="U72" s="248"/>
      <c r="V72" s="248"/>
      <c r="W72" s="248"/>
      <c r="X72" s="248"/>
      <c r="Y72" s="248"/>
      <c r="Z72" s="248"/>
      <c r="AA72" s="264"/>
      <c r="AB72" s="813"/>
    </row>
    <row r="73" spans="1:28" s="616" customFormat="1" ht="3" customHeight="1" thickBot="1" x14ac:dyDescent="0.25">
      <c r="A73" s="689"/>
      <c r="B73" s="677"/>
      <c r="C73" s="677"/>
      <c r="D73" s="677"/>
      <c r="E73" s="677"/>
      <c r="F73" s="678"/>
      <c r="G73" s="678"/>
      <c r="H73" s="678"/>
      <c r="I73" s="678"/>
      <c r="J73" s="678"/>
      <c r="K73" s="678"/>
      <c r="L73" s="220"/>
      <c r="M73" s="220"/>
      <c r="N73" s="220"/>
      <c r="O73" s="220"/>
      <c r="P73" s="220"/>
      <c r="Q73" s="220"/>
      <c r="R73" s="220"/>
      <c r="S73" s="220"/>
      <c r="T73" s="220"/>
      <c r="U73" s="220"/>
      <c r="V73" s="220"/>
      <c r="W73" s="220"/>
      <c r="X73" s="220"/>
      <c r="Y73" s="220"/>
      <c r="Z73" s="220"/>
      <c r="AA73" s="264"/>
      <c r="AB73" s="813"/>
    </row>
    <row r="74" spans="1:28" s="616" customFormat="1" ht="3.95" customHeight="1" x14ac:dyDescent="0.2">
      <c r="A74" s="689"/>
      <c r="B74" s="690"/>
      <c r="C74" s="691"/>
      <c r="D74" s="691"/>
      <c r="E74" s="691"/>
      <c r="F74" s="692"/>
      <c r="G74" s="692"/>
      <c r="H74" s="692"/>
      <c r="I74" s="692"/>
      <c r="J74" s="692"/>
      <c r="K74" s="693"/>
      <c r="L74" s="220"/>
      <c r="M74" s="220"/>
      <c r="N74" s="220"/>
      <c r="O74" s="220"/>
      <c r="P74" s="220"/>
      <c r="Q74" s="220"/>
      <c r="R74" s="220"/>
      <c r="S74" s="220"/>
      <c r="T74" s="220"/>
      <c r="U74" s="220"/>
      <c r="V74" s="220"/>
      <c r="W74" s="220"/>
      <c r="X74" s="220"/>
      <c r="Y74" s="220"/>
      <c r="Z74" s="220"/>
      <c r="AA74" s="264"/>
      <c r="AB74" s="813"/>
    </row>
    <row r="75" spans="1:28" s="616" customFormat="1" ht="15" customHeight="1" x14ac:dyDescent="0.2">
      <c r="A75" s="674"/>
      <c r="B75" s="1205" t="s">
        <v>491</v>
      </c>
      <c r="C75" s="694"/>
      <c r="D75" s="1206" t="s">
        <v>481</v>
      </c>
      <c r="E75" s="695"/>
      <c r="F75" s="1204"/>
      <c r="G75" s="1204"/>
      <c r="H75" s="1204"/>
      <c r="I75" s="627"/>
      <c r="J75" s="625"/>
      <c r="K75" s="696"/>
      <c r="M75" s="642"/>
      <c r="N75" s="674"/>
      <c r="O75" s="674"/>
      <c r="P75" s="674"/>
      <c r="Q75" s="697"/>
      <c r="R75" s="697"/>
      <c r="S75" s="697"/>
      <c r="T75" s="698"/>
      <c r="U75" s="698"/>
      <c r="V75" s="641"/>
      <c r="W75" s="641"/>
      <c r="X75" s="641"/>
      <c r="Y75" s="641"/>
      <c r="Z75" s="641"/>
      <c r="AA75" s="264"/>
      <c r="AB75" s="813"/>
    </row>
    <row r="76" spans="1:28" s="616" customFormat="1" ht="3" customHeight="1" x14ac:dyDescent="0.2">
      <c r="A76" s="674"/>
      <c r="B76" s="1205"/>
      <c r="C76" s="694"/>
      <c r="D76" s="1206"/>
      <c r="E76" s="695"/>
      <c r="F76" s="699"/>
      <c r="G76" s="699"/>
      <c r="H76" s="699"/>
      <c r="I76" s="627"/>
      <c r="J76" s="625"/>
      <c r="K76" s="696"/>
      <c r="M76" s="642"/>
      <c r="N76" s="674"/>
      <c r="O76" s="674"/>
      <c r="P76" s="674"/>
      <c r="Q76" s="697"/>
      <c r="R76" s="697"/>
      <c r="S76" s="697"/>
      <c r="T76" s="698"/>
      <c r="U76" s="698"/>
      <c r="V76" s="641"/>
      <c r="W76" s="641"/>
      <c r="X76" s="641"/>
      <c r="Y76" s="641"/>
      <c r="Z76" s="641"/>
      <c r="AA76" s="264"/>
      <c r="AB76" s="813"/>
    </row>
    <row r="77" spans="1:28" s="616" customFormat="1" ht="3" customHeight="1" x14ac:dyDescent="0.2">
      <c r="A77" s="674"/>
      <c r="B77" s="1205"/>
      <c r="C77" s="624"/>
      <c r="D77" s="1206"/>
      <c r="E77" s="695"/>
      <c r="F77" s="625"/>
      <c r="G77" s="625"/>
      <c r="H77" s="625"/>
      <c r="I77" s="627"/>
      <c r="J77" s="625"/>
      <c r="K77" s="696"/>
      <c r="M77" s="642"/>
      <c r="N77" s="674"/>
      <c r="O77" s="674"/>
      <c r="P77" s="674"/>
      <c r="Q77" s="697"/>
      <c r="R77" s="697"/>
      <c r="S77" s="697"/>
      <c r="T77" s="698"/>
      <c r="U77" s="698"/>
      <c r="V77" s="641"/>
      <c r="W77" s="641"/>
      <c r="X77" s="641"/>
      <c r="Y77" s="641"/>
      <c r="Z77" s="641"/>
      <c r="AA77" s="264"/>
      <c r="AB77" s="813"/>
    </row>
    <row r="78" spans="1:28" s="616" customFormat="1" ht="15" customHeight="1" x14ac:dyDescent="0.2">
      <c r="A78" s="674"/>
      <c r="B78" s="1205"/>
      <c r="C78" s="700" t="str">
        <f>MID('[1]2NGeb'!$C$17,1,2)</f>
        <v>Ma</v>
      </c>
      <c r="D78" s="1206"/>
      <c r="E78" s="695"/>
      <c r="F78" s="1204"/>
      <c r="G78" s="1204"/>
      <c r="H78" s="1204"/>
      <c r="I78" s="627"/>
      <c r="J78" s="625"/>
      <c r="K78" s="696"/>
      <c r="M78" s="642"/>
      <c r="N78" s="674"/>
      <c r="O78" s="674"/>
      <c r="P78" s="674"/>
      <c r="Q78" s="697"/>
      <c r="R78" s="697"/>
      <c r="S78" s="697"/>
      <c r="T78" s="698"/>
      <c r="U78" s="698"/>
      <c r="V78" s="641"/>
      <c r="W78" s="641"/>
      <c r="X78" s="641"/>
      <c r="Y78" s="641"/>
      <c r="Z78" s="641"/>
      <c r="AA78" s="264"/>
      <c r="AB78" s="813"/>
    </row>
    <row r="79" spans="1:28" s="616" customFormat="1" ht="3.95" customHeight="1" thickBot="1" x14ac:dyDescent="0.25">
      <c r="A79" s="674"/>
      <c r="B79" s="701"/>
      <c r="C79" s="631"/>
      <c r="D79" s="631"/>
      <c r="E79" s="631"/>
      <c r="F79" s="632"/>
      <c r="G79" s="632"/>
      <c r="H79" s="632"/>
      <c r="I79" s="702"/>
      <c r="J79" s="632"/>
      <c r="K79" s="634"/>
      <c r="M79" s="642"/>
      <c r="N79" s="674"/>
      <c r="O79" s="674"/>
      <c r="P79" s="674"/>
      <c r="Q79" s="674"/>
      <c r="R79" s="674"/>
      <c r="S79" s="674"/>
      <c r="T79" s="641"/>
      <c r="U79" s="641"/>
      <c r="V79" s="641"/>
      <c r="W79" s="641"/>
      <c r="X79" s="641"/>
      <c r="Y79" s="641"/>
      <c r="Z79" s="641"/>
      <c r="AA79" s="264"/>
      <c r="AB79" s="813"/>
    </row>
    <row r="80" spans="1:28" s="616" customFormat="1" ht="6" customHeight="1" thickBot="1" x14ac:dyDescent="0.25">
      <c r="A80" s="674"/>
      <c r="B80" s="674"/>
      <c r="C80" s="674"/>
      <c r="D80" s="674"/>
      <c r="E80" s="674"/>
      <c r="F80" s="641"/>
      <c r="G80" s="641"/>
      <c r="H80" s="641"/>
      <c r="I80" s="458"/>
      <c r="J80" s="641"/>
      <c r="K80" s="641"/>
      <c r="M80" s="642"/>
      <c r="N80" s="674"/>
      <c r="O80" s="674"/>
      <c r="P80" s="674"/>
      <c r="Q80" s="674"/>
      <c r="R80" s="674"/>
      <c r="S80" s="674"/>
      <c r="T80" s="641"/>
      <c r="U80" s="641"/>
      <c r="V80" s="641"/>
      <c r="W80" s="641"/>
      <c r="X80" s="641"/>
      <c r="Y80" s="641"/>
      <c r="Z80" s="641"/>
      <c r="AA80" s="264"/>
      <c r="AB80" s="813"/>
    </row>
    <row r="81" spans="1:28" s="616" customFormat="1" ht="15" customHeight="1" thickBot="1" x14ac:dyDescent="0.25">
      <c r="A81" s="674"/>
      <c r="B81" s="675" t="s">
        <v>491</v>
      </c>
      <c r="C81" s="647" t="str">
        <f>MID('[1]2NGeb'!$C$17,1,2)</f>
        <v>Ma</v>
      </c>
      <c r="D81" s="254" t="s">
        <v>481</v>
      </c>
      <c r="F81" s="434"/>
      <c r="G81" s="645"/>
      <c r="I81" s="458"/>
      <c r="J81" s="641"/>
      <c r="K81" s="641"/>
      <c r="M81" s="642"/>
      <c r="N81" s="674"/>
      <c r="O81" s="674"/>
      <c r="P81" s="674"/>
      <c r="Q81" s="675" t="s">
        <v>491</v>
      </c>
      <c r="R81" s="647" t="str">
        <f>MID('[1]2NGeb'!$C$19,1,2)</f>
        <v>Be</v>
      </c>
      <c r="S81" s="254" t="s">
        <v>481</v>
      </c>
      <c r="T81" s="434"/>
      <c r="U81" s="645" t="s">
        <v>479</v>
      </c>
      <c r="W81" s="641"/>
      <c r="X81" s="641"/>
      <c r="Y81" s="641"/>
      <c r="Z81" s="641"/>
      <c r="AA81" s="264"/>
      <c r="AB81" s="813"/>
    </row>
    <row r="82" spans="1:28" s="616" customFormat="1" ht="15" customHeight="1" thickBot="1" x14ac:dyDescent="0.25">
      <c r="A82" s="674"/>
      <c r="B82" s="674"/>
      <c r="C82" s="674"/>
      <c r="D82" s="674"/>
      <c r="E82" s="674"/>
      <c r="F82" s="641"/>
      <c r="G82" s="458"/>
      <c r="H82" s="641"/>
      <c r="I82" s="458"/>
      <c r="J82" s="641"/>
      <c r="K82" s="641"/>
      <c r="M82" s="642"/>
      <c r="N82" s="674"/>
      <c r="O82" s="674"/>
      <c r="P82" s="674"/>
      <c r="Q82" s="674"/>
      <c r="R82" s="653"/>
      <c r="S82" s="254"/>
      <c r="T82" s="641"/>
      <c r="U82" s="641"/>
      <c r="W82" s="641"/>
      <c r="X82" s="641"/>
      <c r="Y82" s="641"/>
      <c r="Z82" s="641"/>
      <c r="AA82" s="264"/>
      <c r="AB82" s="813"/>
    </row>
    <row r="83" spans="1:28" s="616" customFormat="1" ht="3.95" customHeight="1" x14ac:dyDescent="0.2">
      <c r="A83" s="674"/>
      <c r="B83" s="619"/>
      <c r="C83" s="620"/>
      <c r="D83" s="620"/>
      <c r="E83" s="620"/>
      <c r="F83" s="621"/>
      <c r="G83" s="703"/>
      <c r="H83" s="621"/>
      <c r="I83" s="703"/>
      <c r="J83" s="621"/>
      <c r="K83" s="644"/>
      <c r="M83" s="642"/>
      <c r="N83" s="674"/>
      <c r="O83" s="674"/>
      <c r="P83" s="674"/>
      <c r="Q83" s="674"/>
      <c r="R83" s="653"/>
      <c r="S83" s="254"/>
      <c r="T83" s="641"/>
      <c r="U83" s="641"/>
      <c r="W83" s="641"/>
      <c r="X83" s="641"/>
      <c r="Y83" s="641"/>
      <c r="Z83" s="641"/>
      <c r="AA83" s="264"/>
      <c r="AB83" s="813"/>
    </row>
    <row r="84" spans="1:28" s="616" customFormat="1" ht="15" customHeight="1" x14ac:dyDescent="0.2">
      <c r="A84" s="674"/>
      <c r="B84" s="623" t="s">
        <v>492</v>
      </c>
      <c r="C84" s="624" t="str">
        <f>MID('[1]2NGeb'!$C$17,1,2)</f>
        <v>Ma</v>
      </c>
      <c r="D84" s="695" t="s">
        <v>481</v>
      </c>
      <c r="E84" s="695"/>
      <c r="F84" s="626"/>
      <c r="G84" s="627"/>
      <c r="H84" s="626"/>
      <c r="I84" s="627"/>
      <c r="J84" s="626"/>
      <c r="K84" s="628"/>
      <c r="M84" s="642"/>
      <c r="N84" s="674"/>
      <c r="O84" s="674"/>
      <c r="P84" s="674"/>
      <c r="Q84" s="697"/>
      <c r="R84" s="704"/>
      <c r="S84" s="697"/>
      <c r="U84" s="698"/>
      <c r="W84" s="641"/>
      <c r="X84" s="641"/>
      <c r="Y84" s="641"/>
      <c r="Z84" s="641"/>
      <c r="AA84" s="264"/>
      <c r="AB84" s="813"/>
    </row>
    <row r="85" spans="1:28" s="616" customFormat="1" ht="3.95" customHeight="1" thickBot="1" x14ac:dyDescent="0.25">
      <c r="A85" s="674"/>
      <c r="B85" s="701"/>
      <c r="C85" s="631"/>
      <c r="D85" s="631"/>
      <c r="E85" s="631"/>
      <c r="F85" s="632"/>
      <c r="G85" s="702"/>
      <c r="H85" s="632"/>
      <c r="I85" s="702"/>
      <c r="J85" s="632"/>
      <c r="K85" s="705"/>
      <c r="M85" s="642"/>
      <c r="N85" s="674"/>
      <c r="O85" s="674"/>
      <c r="P85" s="674"/>
      <c r="Q85" s="674"/>
      <c r="R85" s="674"/>
      <c r="S85" s="674"/>
      <c r="T85" s="641"/>
      <c r="U85" s="641"/>
      <c r="W85" s="641"/>
      <c r="X85" s="641"/>
      <c r="Y85" s="641"/>
      <c r="Z85" s="641"/>
      <c r="AA85" s="264"/>
      <c r="AB85" s="813"/>
    </row>
    <row r="86" spans="1:28" s="616" customFormat="1" ht="3.95" customHeight="1" x14ac:dyDescent="0.2">
      <c r="A86" s="674"/>
      <c r="B86" s="674"/>
      <c r="C86" s="674"/>
      <c r="D86" s="674"/>
      <c r="E86" s="674"/>
      <c r="F86" s="641"/>
      <c r="G86" s="458"/>
      <c r="H86" s="641"/>
      <c r="I86" s="458"/>
      <c r="J86" s="641"/>
      <c r="K86" s="458"/>
      <c r="M86" s="642"/>
      <c r="N86" s="674"/>
      <c r="O86" s="674"/>
      <c r="P86" s="674"/>
      <c r="Q86" s="674"/>
      <c r="R86" s="674"/>
      <c r="S86" s="674"/>
      <c r="T86" s="641"/>
      <c r="U86" s="641"/>
      <c r="W86" s="641"/>
      <c r="X86" s="641"/>
      <c r="Y86" s="641"/>
      <c r="Z86" s="641"/>
      <c r="AA86" s="264"/>
      <c r="AB86" s="813"/>
    </row>
    <row r="87" spans="1:28" s="616" customFormat="1" ht="12.75" customHeight="1" x14ac:dyDescent="0.2">
      <c r="A87" s="674"/>
      <c r="B87" s="674"/>
      <c r="C87" s="674"/>
      <c r="D87" s="674"/>
      <c r="E87" s="674"/>
      <c r="F87" s="698" t="s">
        <v>493</v>
      </c>
      <c r="G87" s="458"/>
      <c r="H87" s="641"/>
      <c r="I87" s="458"/>
      <c r="K87" s="458"/>
      <c r="M87" s="642"/>
      <c r="N87" s="674"/>
      <c r="O87" s="674"/>
      <c r="P87" s="674"/>
      <c r="Q87" s="674"/>
      <c r="R87" s="674"/>
      <c r="S87" s="674"/>
      <c r="T87" s="698" t="s">
        <v>493</v>
      </c>
      <c r="U87" s="641"/>
      <c r="W87" s="641"/>
      <c r="X87" s="641"/>
      <c r="Y87" s="641"/>
      <c r="Z87" s="641"/>
      <c r="AA87" s="264"/>
      <c r="AB87" s="813"/>
    </row>
    <row r="88" spans="1:28" s="616" customFormat="1" ht="6" customHeight="1" thickBot="1" x14ac:dyDescent="0.25">
      <c r="A88" s="674"/>
      <c r="B88" s="674"/>
      <c r="C88" s="674"/>
      <c r="D88" s="674"/>
      <c r="E88" s="674"/>
      <c r="F88" s="641"/>
      <c r="G88" s="458"/>
      <c r="H88" s="641"/>
      <c r="I88" s="458"/>
      <c r="J88" s="641"/>
      <c r="K88" s="458"/>
      <c r="M88" s="642"/>
      <c r="N88" s="674"/>
      <c r="O88" s="674"/>
      <c r="P88" s="674"/>
      <c r="Q88" s="674"/>
      <c r="R88" s="674"/>
      <c r="S88" s="674"/>
      <c r="T88" s="641"/>
      <c r="U88" s="641"/>
      <c r="W88" s="641"/>
      <c r="X88" s="641"/>
      <c r="Y88" s="641"/>
      <c r="Z88" s="641"/>
      <c r="AA88" s="264"/>
      <c r="AB88" s="813"/>
    </row>
    <row r="89" spans="1:28" s="616" customFormat="1" ht="15" customHeight="1" thickBot="1" x14ac:dyDescent="0.25">
      <c r="A89" s="674"/>
      <c r="B89" s="675" t="s">
        <v>492</v>
      </c>
      <c r="C89" s="647" t="str">
        <f>MID('[1]2NGeb'!$C$17,1,2)</f>
        <v>Ma</v>
      </c>
      <c r="D89" s="254" t="s">
        <v>481</v>
      </c>
      <c r="F89" s="434"/>
      <c r="G89" s="645" t="s">
        <v>479</v>
      </c>
      <c r="I89" s="458"/>
      <c r="J89" s="641"/>
      <c r="L89" s="649"/>
      <c r="M89" s="706" t="s">
        <v>120</v>
      </c>
      <c r="N89" s="674"/>
      <c r="O89" s="674"/>
      <c r="P89" s="674"/>
      <c r="Q89" s="675" t="s">
        <v>492</v>
      </c>
      <c r="R89" s="647" t="str">
        <f>MID('[1]2NGeb'!$C$19,1,2)</f>
        <v>Be</v>
      </c>
      <c r="S89" s="254" t="s">
        <v>481</v>
      </c>
      <c r="T89" s="434"/>
      <c r="U89" s="645" t="s">
        <v>479</v>
      </c>
      <c r="W89" s="649"/>
      <c r="X89" s="706" t="s">
        <v>120</v>
      </c>
      <c r="Y89" s="698"/>
      <c r="Z89" s="698"/>
      <c r="AA89" s="264"/>
      <c r="AB89" s="813"/>
    </row>
    <row r="90" spans="1:28" s="616" customFormat="1" ht="3.95" customHeight="1" thickBot="1" x14ac:dyDescent="0.25">
      <c r="A90" s="674"/>
      <c r="B90" s="675"/>
      <c r="C90" s="653"/>
      <c r="D90" s="254"/>
      <c r="E90" s="645"/>
      <c r="F90" s="645"/>
      <c r="G90" s="645"/>
      <c r="I90" s="458"/>
      <c r="J90" s="641"/>
      <c r="K90" s="458"/>
      <c r="M90" s="642"/>
      <c r="N90" s="674"/>
      <c r="O90" s="674"/>
      <c r="P90" s="674"/>
      <c r="Q90" s="675"/>
      <c r="R90" s="653"/>
      <c r="S90" s="254"/>
      <c r="T90" s="645"/>
      <c r="U90" s="645"/>
      <c r="W90" s="645"/>
      <c r="X90" s="706"/>
      <c r="Y90" s="698"/>
      <c r="Z90" s="698"/>
      <c r="AA90" s="264"/>
      <c r="AB90" s="813"/>
    </row>
    <row r="91" spans="1:28" s="616" customFormat="1" ht="15" customHeight="1" thickBot="1" x14ac:dyDescent="0.25">
      <c r="A91" s="674"/>
      <c r="B91" s="675"/>
      <c r="C91" s="675"/>
      <c r="D91" s="675"/>
      <c r="E91" s="675"/>
      <c r="F91" s="707"/>
      <c r="G91" s="458"/>
      <c r="H91" s="645"/>
      <c r="I91" s="458"/>
      <c r="J91" s="641"/>
      <c r="K91" s="458"/>
      <c r="L91" s="649"/>
      <c r="M91" s="706" t="s">
        <v>121</v>
      </c>
      <c r="N91" s="674"/>
      <c r="O91" s="674"/>
      <c r="P91" s="674"/>
      <c r="Q91" s="675"/>
      <c r="R91" s="675"/>
      <c r="S91" s="675"/>
      <c r="T91" s="707"/>
      <c r="U91" s="708"/>
      <c r="W91" s="649"/>
      <c r="X91" s="706" t="s">
        <v>121</v>
      </c>
      <c r="Y91" s="698"/>
      <c r="Z91" s="698"/>
      <c r="AA91" s="264"/>
      <c r="AB91" s="813"/>
    </row>
    <row r="92" spans="1:28" s="616" customFormat="1" ht="6" customHeight="1" thickBot="1" x14ac:dyDescent="0.25">
      <c r="A92" s="674"/>
      <c r="B92" s="675"/>
      <c r="C92" s="675"/>
      <c r="D92" s="675"/>
      <c r="E92" s="675"/>
      <c r="F92" s="707"/>
      <c r="G92" s="458"/>
      <c r="H92" s="645"/>
      <c r="I92" s="458"/>
      <c r="J92" s="641"/>
      <c r="K92" s="458"/>
      <c r="L92" s="706"/>
      <c r="N92" s="674"/>
      <c r="O92" s="674"/>
      <c r="P92" s="674"/>
      <c r="Q92" s="675"/>
      <c r="R92" s="675"/>
      <c r="S92" s="675"/>
      <c r="T92" s="707"/>
      <c r="U92" s="708"/>
      <c r="W92" s="698"/>
      <c r="X92" s="706"/>
      <c r="Y92" s="698"/>
      <c r="Z92" s="698"/>
      <c r="AA92" s="264"/>
      <c r="AB92" s="813"/>
    </row>
    <row r="93" spans="1:28" s="616" customFormat="1" ht="3.95" customHeight="1" x14ac:dyDescent="0.2">
      <c r="A93" s="674"/>
      <c r="B93" s="643"/>
      <c r="C93" s="666"/>
      <c r="D93" s="666"/>
      <c r="E93" s="620"/>
      <c r="F93" s="621"/>
      <c r="G93" s="703"/>
      <c r="H93" s="621"/>
      <c r="I93" s="703"/>
      <c r="J93" s="621"/>
      <c r="K93" s="644"/>
      <c r="M93" s="642"/>
      <c r="N93" s="674"/>
      <c r="O93" s="674"/>
      <c r="P93" s="674"/>
      <c r="Q93" s="675"/>
      <c r="R93" s="675"/>
      <c r="S93" s="675"/>
      <c r="T93" s="707"/>
      <c r="U93" s="708"/>
      <c r="W93" s="698"/>
      <c r="X93" s="698"/>
      <c r="Y93" s="698"/>
      <c r="Z93" s="698"/>
      <c r="AA93" s="264"/>
      <c r="AB93" s="813"/>
    </row>
    <row r="94" spans="1:28" s="616" customFormat="1" ht="15" customHeight="1" x14ac:dyDescent="0.2">
      <c r="A94" s="674"/>
      <c r="B94" s="623" t="s">
        <v>516</v>
      </c>
      <c r="C94" s="624" t="str">
        <f>MID('[1]2NGeb'!$C$17,1,2)</f>
        <v>Ma</v>
      </c>
      <c r="D94" s="695" t="s">
        <v>481</v>
      </c>
      <c r="E94" s="695"/>
      <c r="F94" s="626"/>
      <c r="G94" s="627"/>
      <c r="H94" s="626"/>
      <c r="I94" s="627"/>
      <c r="J94" s="626"/>
      <c r="K94" s="628"/>
      <c r="M94" s="642"/>
      <c r="N94" s="674"/>
      <c r="O94" s="674"/>
      <c r="P94" s="674"/>
      <c r="Q94" s="697"/>
      <c r="R94" s="704"/>
      <c r="S94" s="697"/>
      <c r="T94" s="698"/>
      <c r="U94" s="698"/>
      <c r="Y94" s="698"/>
      <c r="Z94" s="698"/>
      <c r="AA94" s="264"/>
      <c r="AB94" s="813"/>
    </row>
    <row r="95" spans="1:28" s="616" customFormat="1" ht="3.95" customHeight="1" thickBot="1" x14ac:dyDescent="0.25">
      <c r="A95" s="674"/>
      <c r="B95" s="701"/>
      <c r="C95" s="631"/>
      <c r="D95" s="631"/>
      <c r="E95" s="631"/>
      <c r="F95" s="632"/>
      <c r="G95" s="702"/>
      <c r="H95" s="632"/>
      <c r="I95" s="702"/>
      <c r="J95" s="632"/>
      <c r="K95" s="705"/>
      <c r="M95" s="642"/>
      <c r="N95" s="674"/>
      <c r="O95" s="674"/>
      <c r="P95" s="674"/>
      <c r="Q95" s="674"/>
      <c r="R95" s="674"/>
      <c r="S95" s="674"/>
      <c r="T95" s="641"/>
      <c r="U95" s="641"/>
      <c r="W95" s="698"/>
      <c r="X95" s="698"/>
      <c r="Y95" s="698"/>
      <c r="Z95" s="698"/>
      <c r="AA95" s="264"/>
      <c r="AB95" s="813"/>
    </row>
    <row r="96" spans="1:28" s="616" customFormat="1" ht="6" customHeight="1" thickBot="1" x14ac:dyDescent="0.25">
      <c r="A96" s="674"/>
      <c r="B96" s="674"/>
      <c r="C96" s="674"/>
      <c r="D96" s="674"/>
      <c r="E96" s="674"/>
      <c r="F96" s="641"/>
      <c r="G96" s="458"/>
      <c r="H96" s="641"/>
      <c r="I96" s="458"/>
      <c r="J96" s="641"/>
      <c r="K96" s="458"/>
      <c r="M96" s="642"/>
      <c r="N96" s="674"/>
      <c r="O96" s="674"/>
      <c r="P96" s="674"/>
      <c r="Q96" s="674"/>
      <c r="R96" s="674"/>
      <c r="S96" s="674"/>
      <c r="T96" s="641"/>
      <c r="U96" s="641"/>
      <c r="W96" s="698"/>
      <c r="X96" s="698"/>
      <c r="Y96" s="698"/>
      <c r="Z96" s="698"/>
      <c r="AA96" s="264"/>
      <c r="AB96" s="813"/>
    </row>
    <row r="97" spans="1:28" s="616" customFormat="1" ht="15" customHeight="1" thickBot="1" x14ac:dyDescent="0.25">
      <c r="A97" s="674"/>
      <c r="B97" s="675" t="s">
        <v>516</v>
      </c>
      <c r="C97" s="647" t="str">
        <f>MID('[1]2NGeb'!$C$17,1,2)</f>
        <v>Ma</v>
      </c>
      <c r="D97" s="254" t="s">
        <v>481</v>
      </c>
      <c r="F97" s="434"/>
      <c r="G97" s="645" t="s">
        <v>479</v>
      </c>
      <c r="I97" s="458"/>
      <c r="J97" s="641"/>
      <c r="K97" s="458"/>
      <c r="M97" s="642"/>
      <c r="N97" s="674"/>
      <c r="O97" s="674"/>
      <c r="P97" s="674"/>
      <c r="Q97" s="675" t="s">
        <v>516</v>
      </c>
      <c r="R97" s="647" t="str">
        <f>MID('[1]2NGeb'!$C$19,1,2)</f>
        <v>Be</v>
      </c>
      <c r="S97" s="254" t="s">
        <v>481</v>
      </c>
      <c r="T97" s="434"/>
      <c r="U97" s="645" t="s">
        <v>479</v>
      </c>
      <c r="W97" s="698"/>
      <c r="X97" s="698"/>
      <c r="Y97" s="698"/>
      <c r="Z97" s="698"/>
      <c r="AA97" s="264"/>
      <c r="AB97" s="813"/>
    </row>
    <row r="98" spans="1:28" s="616" customFormat="1" ht="15" customHeight="1" thickBot="1" x14ac:dyDescent="0.25">
      <c r="A98" s="674"/>
      <c r="B98" s="674"/>
      <c r="C98" s="674"/>
      <c r="D98" s="674"/>
      <c r="E98" s="674"/>
      <c r="F98" s="641"/>
      <c r="G98" s="458"/>
      <c r="H98" s="641"/>
      <c r="I98" s="458"/>
      <c r="J98" s="641"/>
      <c r="K98" s="458"/>
      <c r="M98" s="642"/>
      <c r="N98" s="674"/>
      <c r="O98" s="674"/>
      <c r="P98" s="674"/>
      <c r="Q98" s="674"/>
      <c r="R98" s="674"/>
      <c r="S98" s="674"/>
      <c r="T98" s="641"/>
      <c r="U98" s="641"/>
      <c r="W98" s="698"/>
      <c r="X98" s="698"/>
      <c r="Y98" s="698"/>
      <c r="Z98" s="698"/>
      <c r="AA98" s="264"/>
      <c r="AB98" s="813"/>
    </row>
    <row r="99" spans="1:28" s="616" customFormat="1" ht="3.95" customHeight="1" x14ac:dyDescent="0.2">
      <c r="A99" s="674"/>
      <c r="B99" s="619"/>
      <c r="C99" s="620"/>
      <c r="D99" s="620"/>
      <c r="E99" s="620"/>
      <c r="F99" s="621"/>
      <c r="G99" s="703"/>
      <c r="H99" s="621"/>
      <c r="I99" s="703"/>
      <c r="J99" s="621"/>
      <c r="K99" s="644"/>
      <c r="M99" s="642"/>
      <c r="N99" s="674"/>
      <c r="O99" s="674"/>
      <c r="P99" s="674"/>
      <c r="Q99" s="674"/>
      <c r="R99" s="674"/>
      <c r="S99" s="674"/>
      <c r="T99" s="641"/>
      <c r="U99" s="641"/>
      <c r="W99" s="698"/>
      <c r="X99" s="698"/>
      <c r="Y99" s="698"/>
      <c r="Z99" s="698"/>
      <c r="AA99" s="264"/>
      <c r="AB99" s="813"/>
    </row>
    <row r="100" spans="1:28" s="616" customFormat="1" ht="15" customHeight="1" x14ac:dyDescent="0.2">
      <c r="A100" s="674"/>
      <c r="B100" s="623" t="s">
        <v>517</v>
      </c>
      <c r="C100" s="624" t="str">
        <f>MID('[1]2NGeb'!$C$17,1,2)</f>
        <v>Ma</v>
      </c>
      <c r="D100" s="695" t="s">
        <v>481</v>
      </c>
      <c r="E100" s="695"/>
      <c r="F100" s="626"/>
      <c r="G100" s="627"/>
      <c r="H100" s="626"/>
      <c r="I100" s="627"/>
      <c r="J100" s="626"/>
      <c r="K100" s="628"/>
      <c r="M100" s="642"/>
      <c r="N100" s="674"/>
      <c r="O100" s="674"/>
      <c r="P100" s="674"/>
      <c r="Q100" s="697"/>
      <c r="R100" s="704"/>
      <c r="S100" s="697"/>
      <c r="T100" s="698"/>
      <c r="U100" s="698"/>
      <c r="W100" s="698"/>
      <c r="X100" s="698"/>
      <c r="Y100" s="698"/>
      <c r="Z100" s="698"/>
      <c r="AA100" s="264"/>
      <c r="AB100" s="813"/>
    </row>
    <row r="101" spans="1:28" s="616" customFormat="1" ht="3.95" customHeight="1" thickBot="1" x14ac:dyDescent="0.25">
      <c r="A101" s="674"/>
      <c r="B101" s="701"/>
      <c r="C101" s="631"/>
      <c r="D101" s="631"/>
      <c r="E101" s="631"/>
      <c r="F101" s="632"/>
      <c r="G101" s="702"/>
      <c r="H101" s="632"/>
      <c r="I101" s="702"/>
      <c r="J101" s="632"/>
      <c r="K101" s="705"/>
      <c r="M101" s="642"/>
      <c r="N101" s="674"/>
      <c r="O101" s="674"/>
      <c r="P101" s="674"/>
      <c r="Q101" s="674"/>
      <c r="R101" s="674"/>
      <c r="S101" s="674"/>
      <c r="T101" s="641"/>
      <c r="U101" s="641"/>
      <c r="W101" s="698"/>
      <c r="X101" s="698"/>
      <c r="Y101" s="698"/>
      <c r="Z101" s="698"/>
      <c r="AA101" s="264"/>
      <c r="AB101" s="813"/>
    </row>
    <row r="102" spans="1:28" s="616" customFormat="1" ht="6" customHeight="1" thickBot="1" x14ac:dyDescent="0.25">
      <c r="A102" s="674"/>
      <c r="B102" s="674"/>
      <c r="C102" s="674"/>
      <c r="D102" s="674"/>
      <c r="E102" s="674"/>
      <c r="F102" s="641"/>
      <c r="G102" s="458"/>
      <c r="H102" s="641"/>
      <c r="I102" s="458"/>
      <c r="J102" s="641"/>
      <c r="K102" s="641"/>
      <c r="M102" s="642"/>
      <c r="N102" s="674"/>
      <c r="O102" s="674"/>
      <c r="P102" s="674"/>
      <c r="Q102" s="674"/>
      <c r="R102" s="674"/>
      <c r="S102" s="674"/>
      <c r="T102" s="641"/>
      <c r="U102" s="641"/>
      <c r="W102" s="698"/>
      <c r="X102" s="698"/>
      <c r="Y102" s="698"/>
      <c r="Z102" s="698"/>
      <c r="AA102" s="264"/>
      <c r="AB102" s="813"/>
    </row>
    <row r="103" spans="1:28" s="616" customFormat="1" ht="15" customHeight="1" thickBot="1" x14ac:dyDescent="0.25">
      <c r="A103" s="674"/>
      <c r="B103" s="675" t="s">
        <v>517</v>
      </c>
      <c r="C103" s="647" t="str">
        <f>MID('[1]2NGeb'!$C$17,1,2)</f>
        <v>Ma</v>
      </c>
      <c r="D103" s="254" t="s">
        <v>481</v>
      </c>
      <c r="F103" s="434"/>
      <c r="G103" s="645" t="s">
        <v>479</v>
      </c>
      <c r="I103" s="458"/>
      <c r="J103" s="641"/>
      <c r="K103" s="641"/>
      <c r="M103" s="642"/>
      <c r="N103" s="674"/>
      <c r="O103" s="674"/>
      <c r="P103" s="674"/>
      <c r="Q103" s="675" t="s">
        <v>517</v>
      </c>
      <c r="R103" s="647" t="str">
        <f>MID('[1]2NGeb'!$C$19,1,2)</f>
        <v>Be</v>
      </c>
      <c r="S103" s="254" t="s">
        <v>481</v>
      </c>
      <c r="T103" s="434"/>
      <c r="U103" s="645" t="s">
        <v>479</v>
      </c>
      <c r="W103" s="641"/>
      <c r="X103" s="641"/>
      <c r="Y103" s="641"/>
      <c r="Z103" s="641"/>
      <c r="AA103" s="264"/>
      <c r="AB103" s="813"/>
    </row>
    <row r="104" spans="1:28" s="616" customFormat="1" ht="6" customHeight="1" x14ac:dyDescent="0.2">
      <c r="A104" s="674"/>
      <c r="B104" s="675"/>
      <c r="C104" s="653"/>
      <c r="D104" s="254"/>
      <c r="I104" s="458"/>
      <c r="J104" s="641"/>
      <c r="K104" s="641"/>
      <c r="M104" s="642"/>
      <c r="N104" s="674"/>
      <c r="O104" s="674"/>
      <c r="P104" s="674"/>
      <c r="Q104" s="675"/>
      <c r="R104" s="653"/>
      <c r="S104" s="254"/>
      <c r="V104" s="645"/>
      <c r="W104" s="641"/>
      <c r="X104" s="641"/>
      <c r="Y104" s="641"/>
      <c r="Z104" s="641"/>
      <c r="AA104" s="264"/>
      <c r="AB104" s="813"/>
    </row>
    <row r="105" spans="1:28" s="616" customFormat="1" ht="15" customHeight="1" x14ac:dyDescent="0.2">
      <c r="A105" s="639"/>
      <c r="B105" s="639"/>
      <c r="C105" s="639"/>
      <c r="D105" s="639"/>
      <c r="E105" s="639"/>
      <c r="F105" s="641"/>
      <c r="G105" s="641"/>
      <c r="H105" s="641"/>
      <c r="I105" s="458"/>
      <c r="J105" s="641"/>
      <c r="K105" s="641"/>
      <c r="R105" s="639"/>
      <c r="AA105" s="264"/>
      <c r="AB105" s="813"/>
    </row>
    <row r="106" spans="1:28" s="616" customFormat="1" ht="15" customHeight="1" x14ac:dyDescent="0.2">
      <c r="B106" s="709" t="s">
        <v>385</v>
      </c>
      <c r="C106" s="710"/>
      <c r="D106" s="710"/>
      <c r="E106" s="710"/>
      <c r="F106" s="711"/>
      <c r="G106" s="711"/>
      <c r="H106" s="711"/>
      <c r="I106" s="712"/>
      <c r="J106" s="711"/>
      <c r="K106" s="711"/>
      <c r="L106" s="713"/>
      <c r="M106" s="713"/>
      <c r="N106" s="713"/>
      <c r="O106" s="713"/>
      <c r="P106" s="713"/>
      <c r="Q106" s="713"/>
      <c r="R106" s="710"/>
      <c r="S106" s="713"/>
      <c r="T106" s="713"/>
      <c r="AA106" s="264"/>
      <c r="AB106" s="813"/>
    </row>
    <row r="107" spans="1:28" s="616" customFormat="1" ht="15" customHeight="1" x14ac:dyDescent="0.2">
      <c r="B107" s="713"/>
      <c r="C107" s="713"/>
      <c r="D107" s="713"/>
      <c r="E107" s="713"/>
      <c r="F107" s="194" t="str">
        <f>IF(A72="","",A72)</f>
        <v>Eingebaute(r) Masthühnerstall (Flachstall)</v>
      </c>
      <c r="G107" s="711"/>
      <c r="H107" s="711"/>
      <c r="I107" s="712"/>
      <c r="J107" s="711"/>
      <c r="K107" s="711"/>
      <c r="L107" s="194" t="str">
        <f>IF(N54="","",N54)</f>
        <v>Bergeraum (erdlastig)</v>
      </c>
      <c r="M107" s="713"/>
      <c r="N107" s="713"/>
      <c r="O107" s="713"/>
      <c r="P107" s="713"/>
      <c r="Q107" s="713"/>
      <c r="R107" s="710"/>
      <c r="S107" s="713"/>
      <c r="T107" s="713"/>
      <c r="AA107" s="264"/>
      <c r="AB107" s="813"/>
    </row>
    <row r="108" spans="1:28" s="616" customFormat="1" ht="3.95" customHeight="1" x14ac:dyDescent="0.2">
      <c r="B108" s="635"/>
      <c r="C108" s="635"/>
      <c r="D108" s="635"/>
      <c r="E108" s="635"/>
      <c r="F108" s="635"/>
      <c r="G108" s="636"/>
      <c r="H108" s="636"/>
      <c r="I108" s="656"/>
      <c r="J108" s="636"/>
      <c r="K108" s="636"/>
      <c r="L108" s="635"/>
      <c r="M108" s="635"/>
      <c r="N108" s="635"/>
      <c r="O108" s="635"/>
      <c r="P108" s="635"/>
      <c r="Q108" s="635"/>
      <c r="R108" s="617"/>
      <c r="S108" s="635"/>
      <c r="T108" s="635"/>
      <c r="AA108" s="264"/>
      <c r="AB108" s="813"/>
    </row>
    <row r="109" spans="1:28" s="616" customFormat="1" ht="15" customHeight="1" x14ac:dyDescent="0.2">
      <c r="A109" s="639"/>
      <c r="B109" s="635" t="s">
        <v>494</v>
      </c>
      <c r="C109" s="617"/>
      <c r="D109" s="617"/>
      <c r="E109" s="617"/>
      <c r="F109" s="847" t="str">
        <f>IF(F34="","noch leer",F34)</f>
        <v>noch leer</v>
      </c>
      <c r="G109" s="636"/>
      <c r="H109" s="635" t="s">
        <v>460</v>
      </c>
      <c r="I109" s="656"/>
      <c r="J109" s="635"/>
      <c r="K109" s="635"/>
      <c r="L109" s="635" t="s">
        <v>494</v>
      </c>
      <c r="M109" s="636"/>
      <c r="N109" s="635"/>
      <c r="O109" s="635"/>
      <c r="P109" s="847" t="str">
        <f>IF(X61="","noch leer",X61)</f>
        <v>noch leer</v>
      </c>
      <c r="Q109" s="635" t="s">
        <v>490</v>
      </c>
      <c r="R109" s="617"/>
      <c r="S109" s="635"/>
      <c r="T109" s="635"/>
      <c r="AA109" s="264"/>
      <c r="AB109" s="813"/>
    </row>
    <row r="110" spans="1:28" s="616" customFormat="1" ht="3" customHeight="1" x14ac:dyDescent="0.2">
      <c r="A110" s="639"/>
      <c r="B110" s="635"/>
      <c r="C110" s="617"/>
      <c r="D110" s="617"/>
      <c r="E110" s="617"/>
      <c r="F110" s="636"/>
      <c r="G110" s="636"/>
      <c r="H110" s="635"/>
      <c r="I110" s="656"/>
      <c r="J110" s="635"/>
      <c r="K110" s="635"/>
      <c r="L110" s="635"/>
      <c r="M110" s="636"/>
      <c r="N110" s="635"/>
      <c r="O110" s="635"/>
      <c r="P110" s="636"/>
      <c r="Q110" s="635"/>
      <c r="R110" s="617"/>
      <c r="S110" s="635"/>
      <c r="T110" s="635"/>
      <c r="AA110" s="264"/>
      <c r="AB110" s="813"/>
    </row>
    <row r="111" spans="1:28" s="616" customFormat="1" ht="15" customHeight="1" x14ac:dyDescent="0.2">
      <c r="A111" s="639"/>
      <c r="B111" s="635" t="s">
        <v>392</v>
      </c>
      <c r="C111" s="617"/>
      <c r="D111" s="617"/>
      <c r="E111" s="617"/>
      <c r="F111" s="848" t="str">
        <f>IF(F51="","noch leer",F51)</f>
        <v>noch leer</v>
      </c>
      <c r="G111" s="636"/>
      <c r="H111" s="635" t="s">
        <v>478</v>
      </c>
      <c r="I111" s="656"/>
      <c r="J111" s="635"/>
      <c r="K111" s="635"/>
      <c r="L111" s="635" t="s">
        <v>392</v>
      </c>
      <c r="M111" s="636"/>
      <c r="N111" s="635"/>
      <c r="O111" s="635"/>
      <c r="P111" s="848" t="str">
        <f>IF(T69="","noch leer",T69)</f>
        <v>noch leer</v>
      </c>
      <c r="Q111" s="635" t="s">
        <v>479</v>
      </c>
      <c r="R111" s="617"/>
      <c r="S111" s="635"/>
      <c r="T111" s="635"/>
      <c r="AA111" s="264"/>
      <c r="AB111" s="813"/>
    </row>
    <row r="112" spans="1:28" s="616" customFormat="1" ht="3" customHeight="1" x14ac:dyDescent="0.2">
      <c r="A112" s="639"/>
      <c r="B112" s="635"/>
      <c r="C112" s="617"/>
      <c r="D112" s="617"/>
      <c r="E112" s="617"/>
      <c r="F112" s="831"/>
      <c r="G112" s="636"/>
      <c r="H112" s="635"/>
      <c r="I112" s="656"/>
      <c r="J112" s="635"/>
      <c r="K112" s="635"/>
      <c r="L112" s="635"/>
      <c r="M112" s="636"/>
      <c r="N112" s="635"/>
      <c r="O112" s="635"/>
      <c r="P112" s="831"/>
      <c r="Q112" s="635"/>
      <c r="R112" s="617"/>
      <c r="S112" s="635"/>
      <c r="T112" s="635"/>
      <c r="AA112" s="264"/>
      <c r="AB112" s="813"/>
    </row>
    <row r="113" spans="1:256" s="616" customFormat="1" ht="15" customHeight="1" x14ac:dyDescent="0.2">
      <c r="A113" s="639"/>
      <c r="B113" s="635" t="s">
        <v>518</v>
      </c>
      <c r="C113" s="617"/>
      <c r="D113" s="617"/>
      <c r="E113" s="617"/>
      <c r="F113" s="848" t="str">
        <f>IF(F97="","noch leer",F97)</f>
        <v>noch leer</v>
      </c>
      <c r="G113" s="636"/>
      <c r="H113" s="635" t="s">
        <v>478</v>
      </c>
      <c r="I113" s="656"/>
      <c r="J113" s="635"/>
      <c r="K113" s="635"/>
      <c r="L113" s="635" t="s">
        <v>518</v>
      </c>
      <c r="M113" s="636"/>
      <c r="N113" s="635"/>
      <c r="O113" s="635"/>
      <c r="P113" s="848" t="str">
        <f>IF(T97="","noch leer",T97)</f>
        <v>noch leer</v>
      </c>
      <c r="Q113" s="635" t="s">
        <v>479</v>
      </c>
      <c r="R113" s="617"/>
      <c r="S113" s="635"/>
      <c r="T113" s="635"/>
      <c r="AA113" s="264"/>
      <c r="AB113" s="813"/>
    </row>
    <row r="114" spans="1:256" s="616" customFormat="1" ht="3" customHeight="1" x14ac:dyDescent="0.2">
      <c r="A114" s="639"/>
      <c r="B114" s="635"/>
      <c r="C114" s="617"/>
      <c r="D114" s="617"/>
      <c r="E114" s="617"/>
      <c r="F114" s="831"/>
      <c r="G114" s="636"/>
      <c r="H114" s="635"/>
      <c r="I114" s="656"/>
      <c r="J114" s="635"/>
      <c r="K114" s="635"/>
      <c r="L114" s="635"/>
      <c r="M114" s="636"/>
      <c r="N114" s="635"/>
      <c r="O114" s="635"/>
      <c r="P114" s="831"/>
      <c r="Q114" s="635"/>
      <c r="R114" s="617"/>
      <c r="S114" s="635"/>
      <c r="T114" s="635"/>
      <c r="AA114" s="264"/>
      <c r="AB114" s="813"/>
    </row>
    <row r="115" spans="1:256" s="616" customFormat="1" ht="15" customHeight="1" x14ac:dyDescent="0.2">
      <c r="A115" s="639"/>
      <c r="B115" s="635" t="s">
        <v>491</v>
      </c>
      <c r="C115" s="617"/>
      <c r="D115" s="617"/>
      <c r="E115" s="617"/>
      <c r="F115" s="848" t="str">
        <f>IF(F81="","noch leer",F81)</f>
        <v>noch leer</v>
      </c>
      <c r="G115" s="636"/>
      <c r="H115" s="635" t="s">
        <v>478</v>
      </c>
      <c r="I115" s="656"/>
      <c r="J115" s="635"/>
      <c r="K115" s="635"/>
      <c r="L115" s="635" t="s">
        <v>491</v>
      </c>
      <c r="M115" s="636"/>
      <c r="N115" s="635"/>
      <c r="O115" s="635"/>
      <c r="P115" s="848" t="str">
        <f>IF(T81="","noch leer",T81)</f>
        <v>noch leer</v>
      </c>
      <c r="Q115" s="635" t="s">
        <v>479</v>
      </c>
      <c r="R115" s="617"/>
      <c r="S115" s="635"/>
      <c r="T115" s="635"/>
      <c r="AA115" s="264"/>
      <c r="AB115" s="813"/>
    </row>
    <row r="116" spans="1:256" s="616" customFormat="1" ht="3" customHeight="1" x14ac:dyDescent="0.2">
      <c r="A116" s="639"/>
      <c r="B116" s="635"/>
      <c r="C116" s="617"/>
      <c r="D116" s="617"/>
      <c r="E116" s="617"/>
      <c r="F116" s="831"/>
      <c r="G116" s="636"/>
      <c r="H116" s="635"/>
      <c r="I116" s="656"/>
      <c r="J116" s="635"/>
      <c r="K116" s="635"/>
      <c r="L116" s="635"/>
      <c r="M116" s="636"/>
      <c r="N116" s="635"/>
      <c r="O116" s="635"/>
      <c r="P116" s="831"/>
      <c r="Q116" s="635"/>
      <c r="R116" s="617"/>
      <c r="S116" s="635"/>
      <c r="T116" s="635"/>
      <c r="AA116" s="264"/>
      <c r="AB116" s="813"/>
    </row>
    <row r="117" spans="1:256" s="616" customFormat="1" ht="15" customHeight="1" x14ac:dyDescent="0.2">
      <c r="A117" s="639"/>
      <c r="B117" s="635" t="s">
        <v>519</v>
      </c>
      <c r="C117" s="617"/>
      <c r="D117" s="617"/>
      <c r="E117" s="617"/>
      <c r="F117" s="848" t="str">
        <f>IF(F103="","noch leer",F103)</f>
        <v>noch leer</v>
      </c>
      <c r="G117" s="636"/>
      <c r="H117" s="635" t="s">
        <v>478</v>
      </c>
      <c r="I117" s="656"/>
      <c r="J117" s="635"/>
      <c r="K117" s="635"/>
      <c r="L117" s="635" t="s">
        <v>519</v>
      </c>
      <c r="M117" s="636"/>
      <c r="N117" s="635"/>
      <c r="O117" s="635"/>
      <c r="P117" s="848" t="str">
        <f>IF(T103="","noch leer",T103)</f>
        <v>noch leer</v>
      </c>
      <c r="Q117" s="635" t="s">
        <v>479</v>
      </c>
      <c r="R117" s="617"/>
      <c r="S117" s="635"/>
      <c r="T117" s="635"/>
      <c r="AA117" s="264"/>
      <c r="AB117" s="813"/>
    </row>
    <row r="118" spans="1:256" s="616" customFormat="1" ht="3.95" customHeight="1" x14ac:dyDescent="0.2">
      <c r="A118" s="639"/>
      <c r="B118" s="617"/>
      <c r="C118" s="617"/>
      <c r="D118" s="617"/>
      <c r="E118" s="617"/>
      <c r="F118" s="636"/>
      <c r="G118" s="636"/>
      <c r="H118" s="636"/>
      <c r="I118" s="656"/>
      <c r="J118" s="636"/>
      <c r="K118" s="636"/>
      <c r="L118" s="635"/>
      <c r="M118" s="635"/>
      <c r="N118" s="635"/>
      <c r="O118" s="635"/>
      <c r="P118" s="635"/>
      <c r="Q118" s="635"/>
      <c r="R118" s="617"/>
      <c r="S118" s="635"/>
      <c r="T118" s="635"/>
      <c r="AA118" s="264"/>
      <c r="AB118" s="813"/>
    </row>
    <row r="119" spans="1:256" s="616" customFormat="1" ht="15" customHeight="1" x14ac:dyDescent="0.2">
      <c r="A119" s="639"/>
      <c r="B119" s="639"/>
      <c r="C119" s="639"/>
      <c r="D119" s="639"/>
      <c r="E119" s="639"/>
      <c r="F119" s="641"/>
      <c r="G119" s="641"/>
      <c r="H119" s="641"/>
      <c r="I119" s="458"/>
      <c r="J119" s="641"/>
      <c r="K119" s="641"/>
      <c r="R119" s="639"/>
      <c r="AA119" s="264"/>
      <c r="AB119" s="813"/>
    </row>
    <row r="120" spans="1:256" s="1" customFormat="1" ht="12.75" hidden="1" customHeight="1" x14ac:dyDescent="0.2">
      <c r="AA120"/>
      <c r="AB120"/>
      <c r="AC120" s="714"/>
      <c r="AD120" s="714"/>
      <c r="AE120" s="714"/>
      <c r="AF120" s="714"/>
      <c r="AG120" s="714"/>
      <c r="AH120" s="714"/>
      <c r="AI120" s="714"/>
      <c r="AJ120" s="714"/>
      <c r="AK120" s="714"/>
      <c r="AL120" s="714"/>
      <c r="AM120" s="714"/>
      <c r="AN120" s="714"/>
      <c r="AO120" s="714"/>
      <c r="AP120" s="714"/>
      <c r="AQ120" s="714"/>
      <c r="AR120" s="714"/>
      <c r="AS120" s="714"/>
      <c r="AT120" s="714"/>
      <c r="AU120" s="714"/>
      <c r="AV120" s="714"/>
      <c r="AW120" s="714"/>
      <c r="AX120" s="714"/>
      <c r="AY120" s="714"/>
      <c r="AZ120" s="714"/>
      <c r="BA120" s="714"/>
      <c r="BB120" s="714"/>
      <c r="BC120" s="714"/>
      <c r="BD120" s="714"/>
      <c r="BE120" s="714"/>
      <c r="BF120" s="714"/>
      <c r="BG120" s="714"/>
      <c r="BH120" s="714"/>
      <c r="BI120" s="714"/>
      <c r="BJ120" s="714"/>
      <c r="BK120" s="714"/>
      <c r="BL120" s="714"/>
      <c r="BM120" s="714"/>
      <c r="BN120" s="714"/>
      <c r="BO120" s="714"/>
      <c r="BP120" s="714"/>
      <c r="BQ120" s="714"/>
      <c r="BR120" s="714"/>
      <c r="BS120" s="714"/>
      <c r="BT120" s="714"/>
      <c r="BU120" s="714"/>
      <c r="BV120" s="714"/>
      <c r="BW120" s="714"/>
      <c r="BX120" s="714"/>
      <c r="BY120" s="714"/>
      <c r="BZ120" s="714"/>
      <c r="CA120" s="714"/>
      <c r="CB120" s="714"/>
      <c r="CC120" s="714"/>
      <c r="CD120" s="714"/>
      <c r="CE120" s="714"/>
      <c r="CF120" s="714"/>
      <c r="CG120" s="714"/>
      <c r="CH120" s="714"/>
      <c r="CI120" s="714"/>
      <c r="CJ120" s="714"/>
      <c r="CK120" s="714"/>
      <c r="CL120" s="714"/>
      <c r="CM120" s="714"/>
      <c r="CN120" s="714"/>
      <c r="CO120" s="714"/>
      <c r="CP120" s="714"/>
      <c r="CQ120" s="714"/>
      <c r="CR120" s="714"/>
      <c r="CS120" s="714"/>
      <c r="CT120" s="714"/>
      <c r="CU120" s="714"/>
      <c r="CV120" s="714"/>
      <c r="CW120" s="714"/>
      <c r="CX120" s="714"/>
      <c r="CY120" s="714"/>
      <c r="CZ120" s="714"/>
      <c r="DA120" s="714"/>
      <c r="DB120" s="714"/>
      <c r="DC120" s="714"/>
      <c r="DD120" s="714"/>
      <c r="DE120" s="714"/>
      <c r="DF120" s="714"/>
      <c r="DG120" s="714"/>
      <c r="DH120" s="714"/>
      <c r="DI120" s="714"/>
      <c r="DJ120" s="714"/>
      <c r="DK120" s="714"/>
      <c r="DL120" s="714"/>
      <c r="DM120" s="714"/>
      <c r="DN120" s="714"/>
      <c r="DO120" s="714"/>
      <c r="DP120" s="714"/>
      <c r="DQ120" s="714"/>
      <c r="DR120" s="714"/>
      <c r="DS120" s="714"/>
      <c r="DT120" s="714"/>
      <c r="DU120" s="714"/>
      <c r="DV120" s="714"/>
      <c r="DW120" s="714"/>
      <c r="DX120" s="714"/>
      <c r="DY120" s="714"/>
      <c r="DZ120" s="714"/>
      <c r="EA120" s="714"/>
      <c r="EB120" s="714"/>
      <c r="EC120" s="714"/>
      <c r="ED120" s="714"/>
      <c r="EE120" s="714"/>
      <c r="EF120" s="714"/>
      <c r="EG120" s="714"/>
      <c r="EH120" s="714"/>
      <c r="EI120" s="714"/>
      <c r="EJ120" s="714"/>
      <c r="EK120" s="714"/>
      <c r="EL120" s="714"/>
      <c r="EM120" s="714"/>
      <c r="EN120" s="714"/>
      <c r="EO120" s="714"/>
      <c r="EP120" s="714"/>
      <c r="EQ120" s="714"/>
      <c r="ER120" s="714"/>
      <c r="ES120" s="714"/>
      <c r="ET120" s="714"/>
      <c r="EU120" s="714"/>
      <c r="EV120" s="714"/>
      <c r="EW120" s="714"/>
      <c r="EX120" s="714"/>
      <c r="EY120" s="714"/>
      <c r="EZ120" s="714"/>
      <c r="FA120" s="714"/>
      <c r="FB120" s="714"/>
      <c r="FC120" s="714"/>
      <c r="FD120" s="714"/>
      <c r="FE120" s="714"/>
      <c r="FF120" s="714"/>
      <c r="FG120" s="714"/>
      <c r="FH120" s="714"/>
      <c r="FI120" s="714"/>
      <c r="FJ120" s="714"/>
      <c r="FK120" s="714"/>
      <c r="FL120" s="714"/>
      <c r="FM120" s="714"/>
      <c r="FN120" s="714"/>
      <c r="FO120" s="714"/>
      <c r="FP120" s="714"/>
      <c r="FQ120" s="714"/>
      <c r="FR120" s="714"/>
      <c r="FS120" s="714"/>
      <c r="FT120" s="714"/>
      <c r="FU120" s="714"/>
      <c r="FV120" s="714"/>
      <c r="FW120" s="714"/>
      <c r="FX120" s="714"/>
      <c r="FY120" s="714"/>
      <c r="FZ120" s="714"/>
      <c r="GA120" s="714"/>
      <c r="GB120" s="714"/>
      <c r="GC120" s="714"/>
      <c r="GD120" s="714"/>
      <c r="GE120" s="714"/>
      <c r="GF120" s="714"/>
      <c r="GG120" s="714"/>
      <c r="GH120" s="714"/>
      <c r="GI120" s="714"/>
      <c r="GJ120" s="714"/>
      <c r="GK120" s="714"/>
      <c r="GL120" s="714"/>
      <c r="GM120" s="714"/>
      <c r="GN120" s="714"/>
      <c r="GO120" s="714"/>
      <c r="GP120" s="714"/>
      <c r="GQ120" s="714"/>
      <c r="GR120" s="714"/>
      <c r="GS120" s="714"/>
      <c r="GT120" s="714"/>
      <c r="GU120" s="714"/>
      <c r="GV120" s="714"/>
      <c r="GW120" s="714"/>
      <c r="GX120" s="714"/>
      <c r="GY120" s="714"/>
      <c r="GZ120" s="714"/>
      <c r="HA120" s="714"/>
      <c r="HB120" s="714"/>
      <c r="HC120" s="714"/>
      <c r="HD120" s="714"/>
      <c r="HE120" s="714"/>
      <c r="HF120" s="714"/>
      <c r="HG120" s="714"/>
      <c r="HH120" s="714"/>
      <c r="HI120" s="714"/>
      <c r="HJ120" s="714"/>
      <c r="HK120" s="714"/>
      <c r="HL120" s="714"/>
      <c r="HM120" s="714"/>
      <c r="HN120" s="714"/>
      <c r="HO120" s="714"/>
      <c r="HP120" s="714"/>
      <c r="HQ120" s="714"/>
      <c r="HR120" s="714"/>
      <c r="HS120" s="714"/>
      <c r="HT120" s="714"/>
      <c r="HU120" s="714"/>
      <c r="HV120" s="714"/>
      <c r="HW120" s="714"/>
      <c r="HX120" s="714"/>
      <c r="HY120" s="714"/>
      <c r="HZ120" s="714"/>
      <c r="IA120" s="714"/>
      <c r="IB120" s="714"/>
      <c r="IC120" s="714"/>
      <c r="ID120" s="714"/>
      <c r="IE120" s="714"/>
      <c r="IF120" s="714"/>
      <c r="IG120" s="714"/>
      <c r="IH120" s="714"/>
      <c r="II120" s="714"/>
      <c r="IJ120" s="714"/>
      <c r="IK120" s="714"/>
      <c r="IL120" s="714"/>
      <c r="IM120" s="714"/>
      <c r="IN120" s="714"/>
      <c r="IO120" s="714"/>
      <c r="IP120" s="714"/>
      <c r="IQ120" s="714"/>
      <c r="IR120" s="714"/>
      <c r="IS120" s="714"/>
      <c r="IT120" s="714"/>
      <c r="IU120" s="714"/>
      <c r="IV120" s="714"/>
    </row>
    <row r="121" spans="1:256" s="1" customFormat="1" ht="12.75" hidden="1" customHeight="1" x14ac:dyDescent="0.2">
      <c r="A121" s="715" t="s">
        <v>495</v>
      </c>
      <c r="F121" s="715" t="s">
        <v>496</v>
      </c>
      <c r="G121" s="715"/>
      <c r="H121" s="715"/>
      <c r="I121" s="715"/>
      <c r="L121" s="716" t="s">
        <v>119</v>
      </c>
      <c r="M121" s="717"/>
      <c r="N121" s="717"/>
      <c r="AA121"/>
      <c r="AB121"/>
      <c r="AC121" s="714"/>
      <c r="AD121" s="714"/>
      <c r="AE121" s="714"/>
      <c r="AF121" s="714"/>
      <c r="AG121" s="714"/>
      <c r="AH121" s="714"/>
      <c r="AI121" s="714"/>
      <c r="AJ121" s="714"/>
      <c r="AK121" s="714"/>
      <c r="AL121" s="714"/>
      <c r="AM121" s="714"/>
      <c r="AN121" s="714"/>
      <c r="AO121" s="714"/>
      <c r="AP121" s="714"/>
      <c r="AQ121" s="714"/>
      <c r="AR121" s="714"/>
      <c r="AS121" s="714"/>
      <c r="AT121" s="714"/>
      <c r="AU121" s="714"/>
      <c r="AV121" s="714"/>
      <c r="AW121" s="714"/>
      <c r="AX121" s="714"/>
      <c r="AY121" s="714"/>
      <c r="AZ121" s="714"/>
      <c r="BA121" s="714"/>
      <c r="BB121" s="714"/>
      <c r="BC121" s="714"/>
      <c r="BD121" s="714"/>
      <c r="BE121" s="714"/>
      <c r="BF121" s="714"/>
      <c r="BG121" s="714"/>
      <c r="BH121" s="714"/>
      <c r="BI121" s="714"/>
      <c r="BJ121" s="714"/>
      <c r="BK121" s="714"/>
      <c r="BL121" s="714"/>
      <c r="BM121" s="714"/>
      <c r="BN121" s="714"/>
      <c r="BO121" s="714"/>
      <c r="BP121" s="714"/>
      <c r="BQ121" s="714"/>
      <c r="BR121" s="714"/>
      <c r="BS121" s="714"/>
      <c r="BT121" s="714"/>
      <c r="BU121" s="714"/>
      <c r="BV121" s="714"/>
      <c r="BW121" s="714"/>
      <c r="BX121" s="714"/>
      <c r="BY121" s="714"/>
      <c r="BZ121" s="714"/>
      <c r="CA121" s="714"/>
      <c r="CB121" s="714"/>
      <c r="CC121" s="714"/>
      <c r="CD121" s="714"/>
      <c r="CE121" s="714"/>
      <c r="CF121" s="714"/>
      <c r="CG121" s="714"/>
      <c r="CH121" s="714"/>
      <c r="CI121" s="714"/>
      <c r="CJ121" s="714"/>
      <c r="CK121" s="714"/>
      <c r="CL121" s="714"/>
      <c r="CM121" s="714"/>
      <c r="CN121" s="714"/>
      <c r="CO121" s="714"/>
      <c r="CP121" s="714"/>
      <c r="CQ121" s="714"/>
      <c r="CR121" s="714"/>
      <c r="CS121" s="714"/>
      <c r="CT121" s="714"/>
      <c r="CU121" s="714"/>
      <c r="CV121" s="714"/>
      <c r="CW121" s="714"/>
      <c r="CX121" s="714"/>
      <c r="CY121" s="714"/>
      <c r="CZ121" s="714"/>
      <c r="DA121" s="714"/>
      <c r="DB121" s="714"/>
      <c r="DC121" s="714"/>
      <c r="DD121" s="714"/>
      <c r="DE121" s="714"/>
      <c r="DF121" s="714"/>
      <c r="DG121" s="714"/>
      <c r="DH121" s="714"/>
      <c r="DI121" s="714"/>
      <c r="DJ121" s="714"/>
      <c r="DK121" s="714"/>
      <c r="DL121" s="714"/>
      <c r="DM121" s="714"/>
      <c r="DN121" s="714"/>
      <c r="DO121" s="714"/>
      <c r="DP121" s="714"/>
      <c r="DQ121" s="714"/>
      <c r="DR121" s="714"/>
      <c r="DS121" s="714"/>
      <c r="DT121" s="714"/>
      <c r="DU121" s="714"/>
      <c r="DV121" s="714"/>
      <c r="DW121" s="714"/>
      <c r="DX121" s="714"/>
      <c r="DY121" s="714"/>
      <c r="DZ121" s="714"/>
      <c r="EA121" s="714"/>
      <c r="EB121" s="714"/>
      <c r="EC121" s="714"/>
      <c r="ED121" s="714"/>
      <c r="EE121" s="714"/>
      <c r="EF121" s="714"/>
      <c r="EG121" s="714"/>
      <c r="EH121" s="714"/>
      <c r="EI121" s="714"/>
      <c r="EJ121" s="714"/>
      <c r="EK121" s="714"/>
      <c r="EL121" s="714"/>
      <c r="EM121" s="714"/>
      <c r="EN121" s="714"/>
      <c r="EO121" s="714"/>
      <c r="EP121" s="714"/>
      <c r="EQ121" s="714"/>
      <c r="ER121" s="714"/>
      <c r="ES121" s="714"/>
      <c r="ET121" s="714"/>
      <c r="EU121" s="714"/>
      <c r="EV121" s="714"/>
      <c r="EW121" s="714"/>
      <c r="EX121" s="714"/>
      <c r="EY121" s="714"/>
      <c r="EZ121" s="714"/>
      <c r="FA121" s="714"/>
      <c r="FB121" s="714"/>
      <c r="FC121" s="714"/>
      <c r="FD121" s="714"/>
      <c r="FE121" s="714"/>
      <c r="FF121" s="714"/>
      <c r="FG121" s="714"/>
      <c r="FH121" s="714"/>
      <c r="FI121" s="714"/>
      <c r="FJ121" s="714"/>
      <c r="FK121" s="714"/>
      <c r="FL121" s="714"/>
      <c r="FM121" s="714"/>
      <c r="FN121" s="714"/>
      <c r="FO121" s="714"/>
      <c r="FP121" s="714"/>
      <c r="FQ121" s="714"/>
      <c r="FR121" s="714"/>
      <c r="FS121" s="714"/>
      <c r="FT121" s="714"/>
      <c r="FU121" s="714"/>
      <c r="FV121" s="714"/>
      <c r="FW121" s="714"/>
      <c r="FX121" s="714"/>
      <c r="FY121" s="714"/>
      <c r="FZ121" s="714"/>
      <c r="GA121" s="714"/>
      <c r="GB121" s="714"/>
      <c r="GC121" s="714"/>
      <c r="GD121" s="714"/>
      <c r="GE121" s="714"/>
      <c r="GF121" s="714"/>
      <c r="GG121" s="714"/>
      <c r="GH121" s="714"/>
      <c r="GI121" s="714"/>
      <c r="GJ121" s="714"/>
      <c r="GK121" s="714"/>
      <c r="GL121" s="714"/>
      <c r="GM121" s="714"/>
      <c r="GN121" s="714"/>
      <c r="GO121" s="714"/>
      <c r="GP121" s="714"/>
      <c r="GQ121" s="714"/>
      <c r="GR121" s="714"/>
      <c r="GS121" s="714"/>
      <c r="GT121" s="714"/>
      <c r="GU121" s="714"/>
      <c r="GV121" s="714"/>
      <c r="GW121" s="714"/>
      <c r="GX121" s="714"/>
      <c r="GY121" s="714"/>
      <c r="GZ121" s="714"/>
      <c r="HA121" s="714"/>
      <c r="HB121" s="714"/>
      <c r="HC121" s="714"/>
      <c r="HD121" s="714"/>
      <c r="HE121" s="714"/>
      <c r="HF121" s="714"/>
      <c r="HG121" s="714"/>
      <c r="HH121" s="714"/>
      <c r="HI121" s="714"/>
      <c r="HJ121" s="714"/>
      <c r="HK121" s="714"/>
      <c r="HL121" s="714"/>
      <c r="HM121" s="714"/>
      <c r="HN121" s="714"/>
      <c r="HO121" s="714"/>
      <c r="HP121" s="714"/>
      <c r="HQ121" s="714"/>
      <c r="HR121" s="714"/>
      <c r="HS121" s="714"/>
      <c r="HT121" s="714"/>
      <c r="HU121" s="714"/>
      <c r="HV121" s="714"/>
      <c r="HW121" s="714"/>
      <c r="HX121" s="714"/>
      <c r="HY121" s="714"/>
      <c r="HZ121" s="714"/>
      <c r="IA121" s="714"/>
      <c r="IB121" s="714"/>
      <c r="IC121" s="714"/>
      <c r="ID121" s="714"/>
      <c r="IE121" s="714"/>
      <c r="IF121" s="714"/>
      <c r="IG121" s="714"/>
      <c r="IH121" s="714"/>
      <c r="II121" s="714"/>
      <c r="IJ121" s="714"/>
      <c r="IK121" s="714"/>
      <c r="IL121" s="714"/>
      <c r="IM121" s="714"/>
      <c r="IN121" s="714"/>
      <c r="IO121" s="714"/>
      <c r="IP121" s="714"/>
      <c r="IQ121" s="714"/>
      <c r="IR121" s="714"/>
      <c r="IS121" s="714"/>
      <c r="IT121" s="714"/>
      <c r="IU121" s="714"/>
      <c r="IV121" s="714"/>
    </row>
    <row r="122" spans="1:256" s="1" customFormat="1" ht="12.75" hidden="1" customHeight="1" x14ac:dyDescent="0.2">
      <c r="A122" s="22" t="s">
        <v>497</v>
      </c>
      <c r="F122" s="718" t="s">
        <v>171</v>
      </c>
      <c r="G122" s="718"/>
      <c r="H122" s="22"/>
      <c r="I122" s="22"/>
      <c r="L122" s="22" t="s">
        <v>11</v>
      </c>
      <c r="M122" s="22"/>
      <c r="N122" s="22"/>
      <c r="AA122"/>
      <c r="AB122"/>
      <c r="AC122" s="714"/>
      <c r="AD122" s="714"/>
      <c r="AE122" s="714"/>
      <c r="AF122" s="714"/>
      <c r="AG122" s="714"/>
      <c r="AH122" s="714"/>
      <c r="AI122" s="714"/>
      <c r="AJ122" s="714"/>
      <c r="AK122" s="714"/>
      <c r="AL122" s="714"/>
      <c r="AM122" s="714"/>
      <c r="AN122" s="714"/>
      <c r="AO122" s="714"/>
      <c r="AP122" s="714"/>
      <c r="AQ122" s="714"/>
      <c r="AR122" s="714"/>
      <c r="AS122" s="714"/>
      <c r="AT122" s="714"/>
      <c r="AU122" s="714"/>
      <c r="AV122" s="714"/>
      <c r="AW122" s="714"/>
      <c r="AX122" s="714"/>
      <c r="AY122" s="714"/>
      <c r="AZ122" s="714"/>
      <c r="BA122" s="714"/>
      <c r="BB122" s="714"/>
      <c r="BC122" s="714"/>
      <c r="BD122" s="714"/>
      <c r="BE122" s="714"/>
      <c r="BF122" s="714"/>
      <c r="BG122" s="714"/>
      <c r="BH122" s="714"/>
      <c r="BI122" s="714"/>
      <c r="BJ122" s="714"/>
      <c r="BK122" s="714"/>
      <c r="BL122" s="714"/>
      <c r="BM122" s="714"/>
      <c r="BN122" s="714"/>
      <c r="BO122" s="714"/>
      <c r="BP122" s="714"/>
      <c r="BQ122" s="714"/>
      <c r="BR122" s="714"/>
      <c r="BS122" s="714"/>
      <c r="BT122" s="714"/>
      <c r="BU122" s="714"/>
      <c r="BV122" s="714"/>
      <c r="BW122" s="714"/>
      <c r="BX122" s="714"/>
      <c r="BY122" s="714"/>
      <c r="BZ122" s="714"/>
      <c r="CA122" s="714"/>
      <c r="CB122" s="714"/>
      <c r="CC122" s="714"/>
      <c r="CD122" s="714"/>
      <c r="CE122" s="714"/>
      <c r="CF122" s="714"/>
      <c r="CG122" s="714"/>
      <c r="CH122" s="714"/>
      <c r="CI122" s="714"/>
      <c r="CJ122" s="714"/>
      <c r="CK122" s="714"/>
      <c r="CL122" s="714"/>
      <c r="CM122" s="714"/>
      <c r="CN122" s="714"/>
      <c r="CO122" s="714"/>
      <c r="CP122" s="714"/>
      <c r="CQ122" s="714"/>
      <c r="CR122" s="714"/>
      <c r="CS122" s="714"/>
      <c r="CT122" s="714"/>
      <c r="CU122" s="714"/>
      <c r="CV122" s="714"/>
      <c r="CW122" s="714"/>
      <c r="CX122" s="714"/>
      <c r="CY122" s="714"/>
      <c r="CZ122" s="714"/>
      <c r="DA122" s="714"/>
      <c r="DB122" s="714"/>
      <c r="DC122" s="714"/>
      <c r="DD122" s="714"/>
      <c r="DE122" s="714"/>
      <c r="DF122" s="714"/>
      <c r="DG122" s="714"/>
      <c r="DH122" s="714"/>
      <c r="DI122" s="714"/>
      <c r="DJ122" s="714"/>
      <c r="DK122" s="714"/>
      <c r="DL122" s="714"/>
      <c r="DM122" s="714"/>
      <c r="DN122" s="714"/>
      <c r="DO122" s="714"/>
      <c r="DP122" s="714"/>
      <c r="DQ122" s="714"/>
      <c r="DR122" s="714"/>
      <c r="DS122" s="714"/>
      <c r="DT122" s="714"/>
      <c r="DU122" s="714"/>
      <c r="DV122" s="714"/>
      <c r="DW122" s="714"/>
      <c r="DX122" s="714"/>
      <c r="DY122" s="714"/>
      <c r="DZ122" s="714"/>
      <c r="EA122" s="714"/>
      <c r="EB122" s="714"/>
      <c r="EC122" s="714"/>
      <c r="ED122" s="714"/>
      <c r="EE122" s="714"/>
      <c r="EF122" s="714"/>
      <c r="EG122" s="714"/>
      <c r="EH122" s="714"/>
      <c r="EI122" s="714"/>
      <c r="EJ122" s="714"/>
      <c r="EK122" s="714"/>
      <c r="EL122" s="714"/>
      <c r="EM122" s="714"/>
      <c r="EN122" s="714"/>
      <c r="EO122" s="714"/>
      <c r="EP122" s="714"/>
      <c r="EQ122" s="714"/>
      <c r="ER122" s="714"/>
      <c r="ES122" s="714"/>
      <c r="ET122" s="714"/>
      <c r="EU122" s="714"/>
      <c r="EV122" s="714"/>
      <c r="EW122" s="714"/>
      <c r="EX122" s="714"/>
      <c r="EY122" s="714"/>
      <c r="EZ122" s="714"/>
      <c r="FA122" s="714"/>
      <c r="FB122" s="714"/>
      <c r="FC122" s="714"/>
      <c r="FD122" s="714"/>
      <c r="FE122" s="714"/>
      <c r="FF122" s="714"/>
      <c r="FG122" s="714"/>
      <c r="FH122" s="714"/>
      <c r="FI122" s="714"/>
      <c r="FJ122" s="714"/>
      <c r="FK122" s="714"/>
      <c r="FL122" s="714"/>
      <c r="FM122" s="714"/>
      <c r="FN122" s="714"/>
      <c r="FO122" s="714"/>
      <c r="FP122" s="714"/>
      <c r="FQ122" s="714"/>
      <c r="FR122" s="714"/>
      <c r="FS122" s="714"/>
      <c r="FT122" s="714"/>
      <c r="FU122" s="714"/>
      <c r="FV122" s="714"/>
      <c r="FW122" s="714"/>
      <c r="FX122" s="714"/>
      <c r="FY122" s="714"/>
      <c r="FZ122" s="714"/>
      <c r="GA122" s="714"/>
      <c r="GB122" s="714"/>
      <c r="GC122" s="714"/>
      <c r="GD122" s="714"/>
      <c r="GE122" s="714"/>
      <c r="GF122" s="714"/>
      <c r="GG122" s="714"/>
      <c r="GH122" s="714"/>
      <c r="GI122" s="714"/>
      <c r="GJ122" s="714"/>
      <c r="GK122" s="714"/>
      <c r="GL122" s="714"/>
      <c r="GM122" s="714"/>
      <c r="GN122" s="714"/>
      <c r="GO122" s="714"/>
      <c r="GP122" s="714"/>
      <c r="GQ122" s="714"/>
      <c r="GR122" s="714"/>
      <c r="GS122" s="714"/>
      <c r="GT122" s="714"/>
      <c r="GU122" s="714"/>
      <c r="GV122" s="714"/>
      <c r="GW122" s="714"/>
      <c r="GX122" s="714"/>
      <c r="GY122" s="714"/>
      <c r="GZ122" s="714"/>
      <c r="HA122" s="714"/>
      <c r="HB122" s="714"/>
      <c r="HC122" s="714"/>
      <c r="HD122" s="714"/>
      <c r="HE122" s="714"/>
      <c r="HF122" s="714"/>
      <c r="HG122" s="714"/>
      <c r="HH122" s="714"/>
      <c r="HI122" s="714"/>
      <c r="HJ122" s="714"/>
      <c r="HK122" s="714"/>
      <c r="HL122" s="714"/>
      <c r="HM122" s="714"/>
      <c r="HN122" s="714"/>
      <c r="HO122" s="714"/>
      <c r="HP122" s="714"/>
      <c r="HQ122" s="714"/>
      <c r="HR122" s="714"/>
      <c r="HS122" s="714"/>
      <c r="HT122" s="714"/>
      <c r="HU122" s="714"/>
      <c r="HV122" s="714"/>
      <c r="HW122" s="714"/>
      <c r="HX122" s="714"/>
      <c r="HY122" s="714"/>
      <c r="HZ122" s="714"/>
      <c r="IA122" s="714"/>
      <c r="IB122" s="714"/>
      <c r="IC122" s="714"/>
      <c r="ID122" s="714"/>
      <c r="IE122" s="714"/>
      <c r="IF122" s="714"/>
      <c r="IG122" s="714"/>
      <c r="IH122" s="714"/>
      <c r="II122" s="714"/>
      <c r="IJ122" s="714"/>
      <c r="IK122" s="714"/>
      <c r="IL122" s="714"/>
      <c r="IM122" s="714"/>
      <c r="IN122" s="714"/>
      <c r="IO122" s="714"/>
      <c r="IP122" s="714"/>
      <c r="IQ122" s="714"/>
      <c r="IR122" s="714"/>
      <c r="IS122" s="714"/>
      <c r="IT122" s="714"/>
      <c r="IU122" s="714"/>
      <c r="IV122" s="714"/>
    </row>
    <row r="123" spans="1:256" s="1" customFormat="1" ht="12.75" hidden="1" customHeight="1" x14ac:dyDescent="0.2">
      <c r="A123" s="22" t="s">
        <v>498</v>
      </c>
      <c r="F123" s="718" t="s">
        <v>223</v>
      </c>
      <c r="G123" s="718"/>
      <c r="H123" s="22"/>
      <c r="I123" s="22"/>
      <c r="AA123"/>
      <c r="AB123"/>
      <c r="AC123" s="714"/>
      <c r="AD123" s="714"/>
      <c r="AE123" s="714"/>
      <c r="AF123" s="714"/>
      <c r="AG123" s="714"/>
      <c r="AH123" s="714"/>
      <c r="AI123" s="714"/>
      <c r="AJ123" s="714"/>
      <c r="AK123" s="714"/>
      <c r="AL123" s="714"/>
      <c r="AM123" s="714"/>
      <c r="AN123" s="714"/>
      <c r="AO123" s="714"/>
      <c r="AP123" s="714"/>
      <c r="AQ123" s="714"/>
      <c r="AR123" s="714"/>
      <c r="AS123" s="714"/>
      <c r="AT123" s="714"/>
      <c r="AU123" s="714"/>
      <c r="AV123" s="714"/>
      <c r="AW123" s="714"/>
      <c r="AX123" s="714"/>
      <c r="AY123" s="714"/>
      <c r="AZ123" s="714"/>
      <c r="BA123" s="714"/>
      <c r="BB123" s="714"/>
      <c r="BC123" s="714"/>
      <c r="BD123" s="714"/>
      <c r="BE123" s="714"/>
      <c r="BF123" s="714"/>
      <c r="BG123" s="714"/>
      <c r="BH123" s="714"/>
      <c r="BI123" s="714"/>
      <c r="BJ123" s="714"/>
      <c r="BK123" s="714"/>
      <c r="BL123" s="714"/>
      <c r="BM123" s="714"/>
      <c r="BN123" s="714"/>
      <c r="BO123" s="714"/>
      <c r="BP123" s="714"/>
      <c r="BQ123" s="714"/>
      <c r="BR123" s="714"/>
      <c r="BS123" s="714"/>
      <c r="BT123" s="714"/>
      <c r="BU123" s="714"/>
      <c r="BV123" s="714"/>
      <c r="BW123" s="714"/>
      <c r="BX123" s="714"/>
      <c r="BY123" s="714"/>
      <c r="BZ123" s="714"/>
      <c r="CA123" s="714"/>
      <c r="CB123" s="714"/>
      <c r="CC123" s="714"/>
      <c r="CD123" s="714"/>
      <c r="CE123" s="714"/>
      <c r="CF123" s="714"/>
      <c r="CG123" s="714"/>
      <c r="CH123" s="714"/>
      <c r="CI123" s="714"/>
      <c r="CJ123" s="714"/>
      <c r="CK123" s="714"/>
      <c r="CL123" s="714"/>
      <c r="CM123" s="714"/>
      <c r="CN123" s="714"/>
      <c r="CO123" s="714"/>
      <c r="CP123" s="714"/>
      <c r="CQ123" s="714"/>
      <c r="CR123" s="714"/>
      <c r="CS123" s="714"/>
      <c r="CT123" s="714"/>
      <c r="CU123" s="714"/>
      <c r="CV123" s="714"/>
      <c r="CW123" s="714"/>
      <c r="CX123" s="714"/>
      <c r="CY123" s="714"/>
      <c r="CZ123" s="714"/>
      <c r="DA123" s="714"/>
      <c r="DB123" s="714"/>
      <c r="DC123" s="714"/>
      <c r="DD123" s="714"/>
      <c r="DE123" s="714"/>
      <c r="DF123" s="714"/>
      <c r="DG123" s="714"/>
      <c r="DH123" s="714"/>
      <c r="DI123" s="714"/>
      <c r="DJ123" s="714"/>
      <c r="DK123" s="714"/>
      <c r="DL123" s="714"/>
      <c r="DM123" s="714"/>
      <c r="DN123" s="714"/>
      <c r="DO123" s="714"/>
      <c r="DP123" s="714"/>
      <c r="DQ123" s="714"/>
      <c r="DR123" s="714"/>
      <c r="DS123" s="714"/>
      <c r="DT123" s="714"/>
      <c r="DU123" s="714"/>
      <c r="DV123" s="714"/>
      <c r="DW123" s="714"/>
      <c r="DX123" s="714"/>
      <c r="DY123" s="714"/>
      <c r="DZ123" s="714"/>
      <c r="EA123" s="714"/>
      <c r="EB123" s="714"/>
      <c r="EC123" s="714"/>
      <c r="ED123" s="714"/>
      <c r="EE123" s="714"/>
      <c r="EF123" s="714"/>
      <c r="EG123" s="714"/>
      <c r="EH123" s="714"/>
      <c r="EI123" s="714"/>
      <c r="EJ123" s="714"/>
      <c r="EK123" s="714"/>
      <c r="EL123" s="714"/>
      <c r="EM123" s="714"/>
      <c r="EN123" s="714"/>
      <c r="EO123" s="714"/>
      <c r="EP123" s="714"/>
      <c r="EQ123" s="714"/>
      <c r="ER123" s="714"/>
      <c r="ES123" s="714"/>
      <c r="ET123" s="714"/>
      <c r="EU123" s="714"/>
      <c r="EV123" s="714"/>
      <c r="EW123" s="714"/>
      <c r="EX123" s="714"/>
      <c r="EY123" s="714"/>
      <c r="EZ123" s="714"/>
      <c r="FA123" s="714"/>
      <c r="FB123" s="714"/>
      <c r="FC123" s="714"/>
      <c r="FD123" s="714"/>
      <c r="FE123" s="714"/>
      <c r="FF123" s="714"/>
      <c r="FG123" s="714"/>
      <c r="FH123" s="714"/>
      <c r="FI123" s="714"/>
      <c r="FJ123" s="714"/>
      <c r="FK123" s="714"/>
      <c r="FL123" s="714"/>
      <c r="FM123" s="714"/>
      <c r="FN123" s="714"/>
      <c r="FO123" s="714"/>
      <c r="FP123" s="714"/>
      <c r="FQ123" s="714"/>
      <c r="FR123" s="714"/>
      <c r="FS123" s="714"/>
      <c r="FT123" s="714"/>
      <c r="FU123" s="714"/>
      <c r="FV123" s="714"/>
      <c r="FW123" s="714"/>
      <c r="FX123" s="714"/>
      <c r="FY123" s="714"/>
      <c r="FZ123" s="714"/>
      <c r="GA123" s="714"/>
      <c r="GB123" s="714"/>
      <c r="GC123" s="714"/>
      <c r="GD123" s="714"/>
      <c r="GE123" s="714"/>
      <c r="GF123" s="714"/>
      <c r="GG123" s="714"/>
      <c r="GH123" s="714"/>
      <c r="GI123" s="714"/>
      <c r="GJ123" s="714"/>
      <c r="GK123" s="714"/>
      <c r="GL123" s="714"/>
      <c r="GM123" s="714"/>
      <c r="GN123" s="714"/>
      <c r="GO123" s="714"/>
      <c r="GP123" s="714"/>
      <c r="GQ123" s="714"/>
      <c r="GR123" s="714"/>
      <c r="GS123" s="714"/>
      <c r="GT123" s="714"/>
      <c r="GU123" s="714"/>
      <c r="GV123" s="714"/>
      <c r="GW123" s="714"/>
      <c r="GX123" s="714"/>
      <c r="GY123" s="714"/>
      <c r="GZ123" s="714"/>
      <c r="HA123" s="714"/>
      <c r="HB123" s="714"/>
      <c r="HC123" s="714"/>
      <c r="HD123" s="714"/>
      <c r="HE123" s="714"/>
      <c r="HF123" s="714"/>
      <c r="HG123" s="714"/>
      <c r="HH123" s="714"/>
      <c r="HI123" s="714"/>
      <c r="HJ123" s="714"/>
      <c r="HK123" s="714"/>
      <c r="HL123" s="714"/>
      <c r="HM123" s="714"/>
      <c r="HN123" s="714"/>
      <c r="HO123" s="714"/>
      <c r="HP123" s="714"/>
      <c r="HQ123" s="714"/>
      <c r="HR123" s="714"/>
      <c r="HS123" s="714"/>
      <c r="HT123" s="714"/>
      <c r="HU123" s="714"/>
      <c r="HV123" s="714"/>
      <c r="HW123" s="714"/>
      <c r="HX123" s="714"/>
      <c r="HY123" s="714"/>
      <c r="HZ123" s="714"/>
      <c r="IA123" s="714"/>
      <c r="IB123" s="714"/>
      <c r="IC123" s="714"/>
      <c r="ID123" s="714"/>
      <c r="IE123" s="714"/>
      <c r="IF123" s="714"/>
      <c r="IG123" s="714"/>
      <c r="IH123" s="714"/>
      <c r="II123" s="714"/>
      <c r="IJ123" s="714"/>
      <c r="IK123" s="714"/>
      <c r="IL123" s="714"/>
      <c r="IM123" s="714"/>
      <c r="IN123" s="714"/>
      <c r="IO123" s="714"/>
      <c r="IP123" s="714"/>
      <c r="IQ123" s="714"/>
      <c r="IR123" s="714"/>
      <c r="IS123" s="714"/>
      <c r="IT123" s="714"/>
      <c r="IU123" s="714"/>
      <c r="IV123" s="714"/>
    </row>
    <row r="124" spans="1:256" s="1" customFormat="1" ht="12.75" hidden="1" customHeight="1" x14ac:dyDescent="0.2">
      <c r="A124" s="22" t="s">
        <v>464</v>
      </c>
      <c r="F124" s="718" t="s">
        <v>11</v>
      </c>
      <c r="G124" s="718"/>
      <c r="H124" s="22"/>
      <c r="I124" s="22"/>
      <c r="AA124"/>
      <c r="AB124"/>
      <c r="AC124" s="714"/>
      <c r="AD124" s="714"/>
      <c r="AE124" s="714"/>
      <c r="AF124" s="714"/>
      <c r="AG124" s="714"/>
      <c r="AH124" s="714"/>
      <c r="AI124" s="714"/>
      <c r="AJ124" s="714"/>
      <c r="AK124" s="714"/>
      <c r="AL124" s="714"/>
      <c r="AM124" s="714"/>
      <c r="AN124" s="714"/>
      <c r="AO124" s="714"/>
      <c r="AP124" s="714"/>
      <c r="AQ124" s="714"/>
      <c r="AR124" s="714"/>
      <c r="AS124" s="714"/>
      <c r="AT124" s="714"/>
      <c r="AU124" s="714"/>
      <c r="AV124" s="714"/>
      <c r="AW124" s="714"/>
      <c r="AX124" s="714"/>
      <c r="AY124" s="714"/>
      <c r="AZ124" s="714"/>
      <c r="BA124" s="714"/>
      <c r="BB124" s="714"/>
      <c r="BC124" s="714"/>
      <c r="BD124" s="714"/>
      <c r="BE124" s="714"/>
      <c r="BF124" s="714"/>
      <c r="BG124" s="714"/>
      <c r="BH124" s="714"/>
      <c r="BI124" s="714"/>
      <c r="BJ124" s="714"/>
      <c r="BK124" s="714"/>
      <c r="BL124" s="714"/>
      <c r="BM124" s="714"/>
      <c r="BN124" s="714"/>
      <c r="BO124" s="714"/>
      <c r="BP124" s="714"/>
      <c r="BQ124" s="714"/>
      <c r="BR124" s="714"/>
      <c r="BS124" s="714"/>
      <c r="BT124" s="714"/>
      <c r="BU124" s="714"/>
      <c r="BV124" s="714"/>
      <c r="BW124" s="714"/>
      <c r="BX124" s="714"/>
      <c r="BY124" s="714"/>
      <c r="BZ124" s="714"/>
      <c r="CA124" s="714"/>
      <c r="CB124" s="714"/>
      <c r="CC124" s="714"/>
      <c r="CD124" s="714"/>
      <c r="CE124" s="714"/>
      <c r="CF124" s="714"/>
      <c r="CG124" s="714"/>
      <c r="CH124" s="714"/>
      <c r="CI124" s="714"/>
      <c r="CJ124" s="714"/>
      <c r="CK124" s="714"/>
      <c r="CL124" s="714"/>
      <c r="CM124" s="714"/>
      <c r="CN124" s="714"/>
      <c r="CO124" s="714"/>
      <c r="CP124" s="714"/>
      <c r="CQ124" s="714"/>
      <c r="CR124" s="714"/>
      <c r="CS124" s="714"/>
      <c r="CT124" s="714"/>
      <c r="CU124" s="714"/>
      <c r="CV124" s="714"/>
      <c r="CW124" s="714"/>
      <c r="CX124" s="714"/>
      <c r="CY124" s="714"/>
      <c r="CZ124" s="714"/>
      <c r="DA124" s="714"/>
      <c r="DB124" s="714"/>
      <c r="DC124" s="714"/>
      <c r="DD124" s="714"/>
      <c r="DE124" s="714"/>
      <c r="DF124" s="714"/>
      <c r="DG124" s="714"/>
      <c r="DH124" s="714"/>
      <c r="DI124" s="714"/>
      <c r="DJ124" s="714"/>
      <c r="DK124" s="714"/>
      <c r="DL124" s="714"/>
      <c r="DM124" s="714"/>
      <c r="DN124" s="714"/>
      <c r="DO124" s="714"/>
      <c r="DP124" s="714"/>
      <c r="DQ124" s="714"/>
      <c r="DR124" s="714"/>
      <c r="DS124" s="714"/>
      <c r="DT124" s="714"/>
      <c r="DU124" s="714"/>
      <c r="DV124" s="714"/>
      <c r="DW124" s="714"/>
      <c r="DX124" s="714"/>
      <c r="DY124" s="714"/>
      <c r="DZ124" s="714"/>
      <c r="EA124" s="714"/>
      <c r="EB124" s="714"/>
      <c r="EC124" s="714"/>
      <c r="ED124" s="714"/>
      <c r="EE124" s="714"/>
      <c r="EF124" s="714"/>
      <c r="EG124" s="714"/>
      <c r="EH124" s="714"/>
      <c r="EI124" s="714"/>
      <c r="EJ124" s="714"/>
      <c r="EK124" s="714"/>
      <c r="EL124" s="714"/>
      <c r="EM124" s="714"/>
      <c r="EN124" s="714"/>
      <c r="EO124" s="714"/>
      <c r="EP124" s="714"/>
      <c r="EQ124" s="714"/>
      <c r="ER124" s="714"/>
      <c r="ES124" s="714"/>
      <c r="ET124" s="714"/>
      <c r="EU124" s="714"/>
      <c r="EV124" s="714"/>
      <c r="EW124" s="714"/>
      <c r="EX124" s="714"/>
      <c r="EY124" s="714"/>
      <c r="EZ124" s="714"/>
      <c r="FA124" s="714"/>
      <c r="FB124" s="714"/>
      <c r="FC124" s="714"/>
      <c r="FD124" s="714"/>
      <c r="FE124" s="714"/>
      <c r="FF124" s="714"/>
      <c r="FG124" s="714"/>
      <c r="FH124" s="714"/>
      <c r="FI124" s="714"/>
      <c r="FJ124" s="714"/>
      <c r="FK124" s="714"/>
      <c r="FL124" s="714"/>
      <c r="FM124" s="714"/>
      <c r="FN124" s="714"/>
      <c r="FO124" s="714"/>
      <c r="FP124" s="714"/>
      <c r="FQ124" s="714"/>
      <c r="FR124" s="714"/>
      <c r="FS124" s="714"/>
      <c r="FT124" s="714"/>
      <c r="FU124" s="714"/>
      <c r="FV124" s="714"/>
      <c r="FW124" s="714"/>
      <c r="FX124" s="714"/>
      <c r="FY124" s="714"/>
      <c r="FZ124" s="714"/>
      <c r="GA124" s="714"/>
      <c r="GB124" s="714"/>
      <c r="GC124" s="714"/>
      <c r="GD124" s="714"/>
      <c r="GE124" s="714"/>
      <c r="GF124" s="714"/>
      <c r="GG124" s="714"/>
      <c r="GH124" s="714"/>
      <c r="GI124" s="714"/>
      <c r="GJ124" s="714"/>
      <c r="GK124" s="714"/>
      <c r="GL124" s="714"/>
      <c r="GM124" s="714"/>
      <c r="GN124" s="714"/>
      <c r="GO124" s="714"/>
      <c r="GP124" s="714"/>
      <c r="GQ124" s="714"/>
      <c r="GR124" s="714"/>
      <c r="GS124" s="714"/>
      <c r="GT124" s="714"/>
      <c r="GU124" s="714"/>
      <c r="GV124" s="714"/>
      <c r="GW124" s="714"/>
      <c r="GX124" s="714"/>
      <c r="GY124" s="714"/>
      <c r="GZ124" s="714"/>
      <c r="HA124" s="714"/>
      <c r="HB124" s="714"/>
      <c r="HC124" s="714"/>
      <c r="HD124" s="714"/>
      <c r="HE124" s="714"/>
      <c r="HF124" s="714"/>
      <c r="HG124" s="714"/>
      <c r="HH124" s="714"/>
      <c r="HI124" s="714"/>
      <c r="HJ124" s="714"/>
      <c r="HK124" s="714"/>
      <c r="HL124" s="714"/>
      <c r="HM124" s="714"/>
      <c r="HN124" s="714"/>
      <c r="HO124" s="714"/>
      <c r="HP124" s="714"/>
      <c r="HQ124" s="714"/>
      <c r="HR124" s="714"/>
      <c r="HS124" s="714"/>
      <c r="HT124" s="714"/>
      <c r="HU124" s="714"/>
      <c r="HV124" s="714"/>
      <c r="HW124" s="714"/>
      <c r="HX124" s="714"/>
      <c r="HY124" s="714"/>
      <c r="HZ124" s="714"/>
      <c r="IA124" s="714"/>
      <c r="IB124" s="714"/>
      <c r="IC124" s="714"/>
      <c r="ID124" s="714"/>
      <c r="IE124" s="714"/>
      <c r="IF124" s="714"/>
      <c r="IG124" s="714"/>
      <c r="IH124" s="714"/>
      <c r="II124" s="714"/>
      <c r="IJ124" s="714"/>
      <c r="IK124" s="714"/>
      <c r="IL124" s="714"/>
      <c r="IM124" s="714"/>
      <c r="IN124" s="714"/>
      <c r="IO124" s="714"/>
      <c r="IP124" s="714"/>
      <c r="IQ124" s="714"/>
      <c r="IR124" s="714"/>
      <c r="IS124" s="714"/>
      <c r="IT124" s="714"/>
      <c r="IU124" s="714"/>
      <c r="IV124" s="714"/>
    </row>
    <row r="125" spans="1:256" s="1" customFormat="1" ht="12.75" hidden="1" customHeight="1" x14ac:dyDescent="0.2">
      <c r="A125" s="22" t="s">
        <v>499</v>
      </c>
      <c r="F125" s="718" t="s">
        <v>500</v>
      </c>
      <c r="G125" s="718"/>
      <c r="H125" s="22"/>
      <c r="I125" s="22"/>
      <c r="AA125"/>
      <c r="AB125"/>
      <c r="AC125" s="714"/>
      <c r="AD125" s="714"/>
      <c r="AE125" s="714"/>
      <c r="AF125" s="714"/>
      <c r="AG125" s="714"/>
      <c r="AH125" s="714"/>
      <c r="AI125" s="714"/>
      <c r="AJ125" s="714"/>
      <c r="AK125" s="714"/>
      <c r="AL125" s="714"/>
      <c r="AM125" s="714"/>
      <c r="AN125" s="714"/>
      <c r="AO125" s="714"/>
      <c r="AP125" s="714"/>
      <c r="AQ125" s="714"/>
      <c r="AR125" s="714"/>
      <c r="AS125" s="714"/>
      <c r="AT125" s="714"/>
      <c r="AU125" s="714"/>
      <c r="AV125" s="714"/>
      <c r="AW125" s="714"/>
      <c r="AX125" s="714"/>
      <c r="AY125" s="714"/>
      <c r="AZ125" s="714"/>
      <c r="BA125" s="714"/>
      <c r="BB125" s="714"/>
      <c r="BC125" s="714"/>
      <c r="BD125" s="714"/>
      <c r="BE125" s="714"/>
      <c r="BF125" s="714"/>
      <c r="BG125" s="714"/>
      <c r="BH125" s="714"/>
      <c r="BI125" s="714"/>
      <c r="BJ125" s="714"/>
      <c r="BK125" s="714"/>
      <c r="BL125" s="714"/>
      <c r="BM125" s="714"/>
      <c r="BN125" s="714"/>
      <c r="BO125" s="714"/>
      <c r="BP125" s="714"/>
      <c r="BQ125" s="714"/>
      <c r="BR125" s="714"/>
      <c r="BS125" s="714"/>
      <c r="BT125" s="714"/>
      <c r="BU125" s="714"/>
      <c r="BV125" s="714"/>
      <c r="BW125" s="714"/>
      <c r="BX125" s="714"/>
      <c r="BY125" s="714"/>
      <c r="BZ125" s="714"/>
      <c r="CA125" s="714"/>
      <c r="CB125" s="714"/>
      <c r="CC125" s="714"/>
      <c r="CD125" s="714"/>
      <c r="CE125" s="714"/>
      <c r="CF125" s="714"/>
      <c r="CG125" s="714"/>
      <c r="CH125" s="714"/>
      <c r="CI125" s="714"/>
      <c r="CJ125" s="714"/>
      <c r="CK125" s="714"/>
      <c r="CL125" s="714"/>
      <c r="CM125" s="714"/>
      <c r="CN125" s="714"/>
      <c r="CO125" s="714"/>
      <c r="CP125" s="714"/>
      <c r="CQ125" s="714"/>
      <c r="CR125" s="714"/>
      <c r="CS125" s="714"/>
      <c r="CT125" s="714"/>
      <c r="CU125" s="714"/>
      <c r="CV125" s="714"/>
      <c r="CW125" s="714"/>
      <c r="CX125" s="714"/>
      <c r="CY125" s="714"/>
      <c r="CZ125" s="714"/>
      <c r="DA125" s="714"/>
      <c r="DB125" s="714"/>
      <c r="DC125" s="714"/>
      <c r="DD125" s="714"/>
      <c r="DE125" s="714"/>
      <c r="DF125" s="714"/>
      <c r="DG125" s="714"/>
      <c r="DH125" s="714"/>
      <c r="DI125" s="714"/>
      <c r="DJ125" s="714"/>
      <c r="DK125" s="714"/>
      <c r="DL125" s="714"/>
      <c r="DM125" s="714"/>
      <c r="DN125" s="714"/>
      <c r="DO125" s="714"/>
      <c r="DP125" s="714"/>
      <c r="DQ125" s="714"/>
      <c r="DR125" s="714"/>
      <c r="DS125" s="714"/>
      <c r="DT125" s="714"/>
      <c r="DU125" s="714"/>
      <c r="DV125" s="714"/>
      <c r="DW125" s="714"/>
      <c r="DX125" s="714"/>
      <c r="DY125" s="714"/>
      <c r="DZ125" s="714"/>
      <c r="EA125" s="714"/>
      <c r="EB125" s="714"/>
      <c r="EC125" s="714"/>
      <c r="ED125" s="714"/>
      <c r="EE125" s="714"/>
      <c r="EF125" s="714"/>
      <c r="EG125" s="714"/>
      <c r="EH125" s="714"/>
      <c r="EI125" s="714"/>
      <c r="EJ125" s="714"/>
      <c r="EK125" s="714"/>
      <c r="EL125" s="714"/>
      <c r="EM125" s="714"/>
      <c r="EN125" s="714"/>
      <c r="EO125" s="714"/>
      <c r="EP125" s="714"/>
      <c r="EQ125" s="714"/>
      <c r="ER125" s="714"/>
      <c r="ES125" s="714"/>
      <c r="ET125" s="714"/>
      <c r="EU125" s="714"/>
      <c r="EV125" s="714"/>
      <c r="EW125" s="714"/>
      <c r="EX125" s="714"/>
      <c r="EY125" s="714"/>
      <c r="EZ125" s="714"/>
      <c r="FA125" s="714"/>
      <c r="FB125" s="714"/>
      <c r="FC125" s="714"/>
      <c r="FD125" s="714"/>
      <c r="FE125" s="714"/>
      <c r="FF125" s="714"/>
      <c r="FG125" s="714"/>
      <c r="FH125" s="714"/>
      <c r="FI125" s="714"/>
      <c r="FJ125" s="714"/>
      <c r="FK125" s="714"/>
      <c r="FL125" s="714"/>
      <c r="FM125" s="714"/>
      <c r="FN125" s="714"/>
      <c r="FO125" s="714"/>
      <c r="FP125" s="714"/>
      <c r="FQ125" s="714"/>
      <c r="FR125" s="714"/>
      <c r="FS125" s="714"/>
      <c r="FT125" s="714"/>
      <c r="FU125" s="714"/>
      <c r="FV125" s="714"/>
      <c r="FW125" s="714"/>
      <c r="FX125" s="714"/>
      <c r="FY125" s="714"/>
      <c r="FZ125" s="714"/>
      <c r="GA125" s="714"/>
      <c r="GB125" s="714"/>
      <c r="GC125" s="714"/>
      <c r="GD125" s="714"/>
      <c r="GE125" s="714"/>
      <c r="GF125" s="714"/>
      <c r="GG125" s="714"/>
      <c r="GH125" s="714"/>
      <c r="GI125" s="714"/>
      <c r="GJ125" s="714"/>
      <c r="GK125" s="714"/>
      <c r="GL125" s="714"/>
      <c r="GM125" s="714"/>
      <c r="GN125" s="714"/>
      <c r="GO125" s="714"/>
      <c r="GP125" s="714"/>
      <c r="GQ125" s="714"/>
      <c r="GR125" s="714"/>
      <c r="GS125" s="714"/>
      <c r="GT125" s="714"/>
      <c r="GU125" s="714"/>
      <c r="GV125" s="714"/>
      <c r="GW125" s="714"/>
      <c r="GX125" s="714"/>
      <c r="GY125" s="714"/>
      <c r="GZ125" s="714"/>
      <c r="HA125" s="714"/>
      <c r="HB125" s="714"/>
      <c r="HC125" s="714"/>
      <c r="HD125" s="714"/>
      <c r="HE125" s="714"/>
      <c r="HF125" s="714"/>
      <c r="HG125" s="714"/>
      <c r="HH125" s="714"/>
      <c r="HI125" s="714"/>
      <c r="HJ125" s="714"/>
      <c r="HK125" s="714"/>
      <c r="HL125" s="714"/>
      <c r="HM125" s="714"/>
      <c r="HN125" s="714"/>
      <c r="HO125" s="714"/>
      <c r="HP125" s="714"/>
      <c r="HQ125" s="714"/>
      <c r="HR125" s="714"/>
      <c r="HS125" s="714"/>
      <c r="HT125" s="714"/>
      <c r="HU125" s="714"/>
      <c r="HV125" s="714"/>
      <c r="HW125" s="714"/>
      <c r="HX125" s="714"/>
      <c r="HY125" s="714"/>
      <c r="HZ125" s="714"/>
      <c r="IA125" s="714"/>
      <c r="IB125" s="714"/>
      <c r="IC125" s="714"/>
      <c r="ID125" s="714"/>
      <c r="IE125" s="714"/>
      <c r="IF125" s="714"/>
      <c r="IG125" s="714"/>
      <c r="IH125" s="714"/>
      <c r="II125" s="714"/>
      <c r="IJ125" s="714"/>
      <c r="IK125" s="714"/>
      <c r="IL125" s="714"/>
      <c r="IM125" s="714"/>
      <c r="IN125" s="714"/>
      <c r="IO125" s="714"/>
      <c r="IP125" s="714"/>
      <c r="IQ125" s="714"/>
      <c r="IR125" s="714"/>
      <c r="IS125" s="714"/>
      <c r="IT125" s="714"/>
      <c r="IU125" s="714"/>
      <c r="IV125" s="714"/>
    </row>
    <row r="126" spans="1:256" s="1" customFormat="1" ht="12.75" hidden="1" customHeight="1" x14ac:dyDescent="0.2">
      <c r="A126" s="22" t="s">
        <v>486</v>
      </c>
      <c r="AA126"/>
      <c r="AB126"/>
      <c r="AC126" s="714"/>
      <c r="AD126" s="714"/>
      <c r="AE126" s="714"/>
      <c r="AF126" s="714"/>
      <c r="AG126" s="714"/>
      <c r="AH126" s="714"/>
      <c r="AI126" s="714"/>
      <c r="AJ126" s="714"/>
      <c r="AK126" s="714"/>
      <c r="AL126" s="714"/>
      <c r="AM126" s="714"/>
      <c r="AN126" s="714"/>
      <c r="AO126" s="714"/>
      <c r="AP126" s="714"/>
      <c r="AQ126" s="714"/>
      <c r="AR126" s="714"/>
      <c r="AS126" s="714"/>
      <c r="AT126" s="714"/>
      <c r="AU126" s="714"/>
      <c r="AV126" s="714"/>
      <c r="AW126" s="714"/>
      <c r="AX126" s="714"/>
      <c r="AY126" s="714"/>
      <c r="AZ126" s="714"/>
      <c r="BA126" s="714"/>
      <c r="BB126" s="714"/>
      <c r="BC126" s="714"/>
      <c r="BD126" s="714"/>
      <c r="BE126" s="714"/>
      <c r="BF126" s="714"/>
      <c r="BG126" s="714"/>
      <c r="BH126" s="714"/>
      <c r="BI126" s="714"/>
      <c r="BJ126" s="714"/>
      <c r="BK126" s="714"/>
      <c r="BL126" s="714"/>
      <c r="BM126" s="714"/>
      <c r="BN126" s="714"/>
      <c r="BO126" s="714"/>
      <c r="BP126" s="714"/>
      <c r="BQ126" s="714"/>
      <c r="BR126" s="714"/>
      <c r="BS126" s="714"/>
      <c r="BT126" s="714"/>
      <c r="BU126" s="714"/>
      <c r="BV126" s="714"/>
      <c r="BW126" s="714"/>
      <c r="BX126" s="714"/>
      <c r="BY126" s="714"/>
      <c r="BZ126" s="714"/>
      <c r="CA126" s="714"/>
      <c r="CB126" s="714"/>
      <c r="CC126" s="714"/>
      <c r="CD126" s="714"/>
      <c r="CE126" s="714"/>
      <c r="CF126" s="714"/>
      <c r="CG126" s="714"/>
      <c r="CH126" s="714"/>
      <c r="CI126" s="714"/>
      <c r="CJ126" s="714"/>
      <c r="CK126" s="714"/>
      <c r="CL126" s="714"/>
      <c r="CM126" s="714"/>
      <c r="CN126" s="714"/>
      <c r="CO126" s="714"/>
      <c r="CP126" s="714"/>
      <c r="CQ126" s="714"/>
      <c r="CR126" s="714"/>
      <c r="CS126" s="714"/>
      <c r="CT126" s="714"/>
      <c r="CU126" s="714"/>
      <c r="CV126" s="714"/>
      <c r="CW126" s="714"/>
      <c r="CX126" s="714"/>
      <c r="CY126" s="714"/>
      <c r="CZ126" s="714"/>
      <c r="DA126" s="714"/>
      <c r="DB126" s="714"/>
      <c r="DC126" s="714"/>
      <c r="DD126" s="714"/>
      <c r="DE126" s="714"/>
      <c r="DF126" s="714"/>
      <c r="DG126" s="714"/>
      <c r="DH126" s="714"/>
      <c r="DI126" s="714"/>
      <c r="DJ126" s="714"/>
      <c r="DK126" s="714"/>
      <c r="DL126" s="714"/>
      <c r="DM126" s="714"/>
      <c r="DN126" s="714"/>
      <c r="DO126" s="714"/>
      <c r="DP126" s="714"/>
      <c r="DQ126" s="714"/>
      <c r="DR126" s="714"/>
      <c r="DS126" s="714"/>
      <c r="DT126" s="714"/>
      <c r="DU126" s="714"/>
      <c r="DV126" s="714"/>
      <c r="DW126" s="714"/>
      <c r="DX126" s="714"/>
      <c r="DY126" s="714"/>
      <c r="DZ126" s="714"/>
      <c r="EA126" s="714"/>
      <c r="EB126" s="714"/>
      <c r="EC126" s="714"/>
      <c r="ED126" s="714"/>
      <c r="EE126" s="714"/>
      <c r="EF126" s="714"/>
      <c r="EG126" s="714"/>
      <c r="EH126" s="714"/>
      <c r="EI126" s="714"/>
      <c r="EJ126" s="714"/>
      <c r="EK126" s="714"/>
      <c r="EL126" s="714"/>
      <c r="EM126" s="714"/>
      <c r="EN126" s="714"/>
      <c r="EO126" s="714"/>
      <c r="EP126" s="714"/>
      <c r="EQ126" s="714"/>
      <c r="ER126" s="714"/>
      <c r="ES126" s="714"/>
      <c r="ET126" s="714"/>
      <c r="EU126" s="714"/>
      <c r="EV126" s="714"/>
      <c r="EW126" s="714"/>
      <c r="EX126" s="714"/>
      <c r="EY126" s="714"/>
      <c r="EZ126" s="714"/>
      <c r="FA126" s="714"/>
      <c r="FB126" s="714"/>
      <c r="FC126" s="714"/>
      <c r="FD126" s="714"/>
      <c r="FE126" s="714"/>
      <c r="FF126" s="714"/>
      <c r="FG126" s="714"/>
      <c r="FH126" s="714"/>
      <c r="FI126" s="714"/>
      <c r="FJ126" s="714"/>
      <c r="FK126" s="714"/>
      <c r="FL126" s="714"/>
      <c r="FM126" s="714"/>
      <c r="FN126" s="714"/>
      <c r="FO126" s="714"/>
      <c r="FP126" s="714"/>
      <c r="FQ126" s="714"/>
      <c r="FR126" s="714"/>
      <c r="FS126" s="714"/>
      <c r="FT126" s="714"/>
      <c r="FU126" s="714"/>
      <c r="FV126" s="714"/>
      <c r="FW126" s="714"/>
      <c r="FX126" s="714"/>
      <c r="FY126" s="714"/>
      <c r="FZ126" s="714"/>
      <c r="GA126" s="714"/>
      <c r="GB126" s="714"/>
      <c r="GC126" s="714"/>
      <c r="GD126" s="714"/>
      <c r="GE126" s="714"/>
      <c r="GF126" s="714"/>
      <c r="GG126" s="714"/>
      <c r="GH126" s="714"/>
      <c r="GI126" s="714"/>
      <c r="GJ126" s="714"/>
      <c r="GK126" s="714"/>
      <c r="GL126" s="714"/>
      <c r="GM126" s="714"/>
      <c r="GN126" s="714"/>
      <c r="GO126" s="714"/>
      <c r="GP126" s="714"/>
      <c r="GQ126" s="714"/>
      <c r="GR126" s="714"/>
      <c r="GS126" s="714"/>
      <c r="GT126" s="714"/>
      <c r="GU126" s="714"/>
      <c r="GV126" s="714"/>
      <c r="GW126" s="714"/>
      <c r="GX126" s="714"/>
      <c r="GY126" s="714"/>
      <c r="GZ126" s="714"/>
      <c r="HA126" s="714"/>
      <c r="HB126" s="714"/>
      <c r="HC126" s="714"/>
      <c r="HD126" s="714"/>
      <c r="HE126" s="714"/>
      <c r="HF126" s="714"/>
      <c r="HG126" s="714"/>
      <c r="HH126" s="714"/>
      <c r="HI126" s="714"/>
      <c r="HJ126" s="714"/>
      <c r="HK126" s="714"/>
      <c r="HL126" s="714"/>
      <c r="HM126" s="714"/>
      <c r="HN126" s="714"/>
      <c r="HO126" s="714"/>
      <c r="HP126" s="714"/>
      <c r="HQ126" s="714"/>
      <c r="HR126" s="714"/>
      <c r="HS126" s="714"/>
      <c r="HT126" s="714"/>
      <c r="HU126" s="714"/>
      <c r="HV126" s="714"/>
      <c r="HW126" s="714"/>
      <c r="HX126" s="714"/>
      <c r="HY126" s="714"/>
      <c r="HZ126" s="714"/>
      <c r="IA126" s="714"/>
      <c r="IB126" s="714"/>
      <c r="IC126" s="714"/>
      <c r="ID126" s="714"/>
      <c r="IE126" s="714"/>
      <c r="IF126" s="714"/>
      <c r="IG126" s="714"/>
      <c r="IH126" s="714"/>
      <c r="II126" s="714"/>
      <c r="IJ126" s="714"/>
      <c r="IK126" s="714"/>
      <c r="IL126" s="714"/>
      <c r="IM126" s="714"/>
      <c r="IN126" s="714"/>
      <c r="IO126" s="714"/>
      <c r="IP126" s="714"/>
      <c r="IQ126" s="714"/>
      <c r="IR126" s="714"/>
      <c r="IS126" s="714"/>
      <c r="IT126" s="714"/>
      <c r="IU126" s="714"/>
      <c r="IV126" s="714"/>
    </row>
    <row r="127" spans="1:256" s="1" customFormat="1" ht="12.75" hidden="1" customHeight="1" x14ac:dyDescent="0.2">
      <c r="A127" s="22" t="s">
        <v>501</v>
      </c>
      <c r="AA127"/>
      <c r="AB127"/>
      <c r="AC127" s="714"/>
      <c r="AD127" s="714"/>
      <c r="AE127" s="714"/>
      <c r="AF127" s="714"/>
      <c r="AG127" s="714"/>
      <c r="AH127" s="714"/>
      <c r="AI127" s="714"/>
      <c r="AJ127" s="714"/>
      <c r="AK127" s="714"/>
      <c r="AL127" s="714"/>
      <c r="AM127" s="714"/>
      <c r="AN127" s="714"/>
      <c r="AO127" s="714"/>
      <c r="AP127" s="714"/>
      <c r="AQ127" s="714"/>
      <c r="AR127" s="714"/>
      <c r="AS127" s="714"/>
      <c r="AT127" s="714"/>
      <c r="AU127" s="714"/>
      <c r="AV127" s="714"/>
      <c r="AW127" s="714"/>
      <c r="AX127" s="714"/>
      <c r="AY127" s="714"/>
      <c r="AZ127" s="714"/>
      <c r="BA127" s="714"/>
      <c r="BB127" s="714"/>
      <c r="BC127" s="714"/>
      <c r="BD127" s="714"/>
      <c r="BE127" s="714"/>
      <c r="BF127" s="714"/>
      <c r="BG127" s="714"/>
      <c r="BH127" s="714"/>
      <c r="BI127" s="714"/>
      <c r="BJ127" s="714"/>
      <c r="BK127" s="714"/>
      <c r="BL127" s="714"/>
      <c r="BM127" s="714"/>
      <c r="BN127" s="714"/>
      <c r="BO127" s="714"/>
      <c r="BP127" s="714"/>
      <c r="BQ127" s="714"/>
      <c r="BR127" s="714"/>
      <c r="BS127" s="714"/>
      <c r="BT127" s="714"/>
      <c r="BU127" s="714"/>
      <c r="BV127" s="714"/>
      <c r="BW127" s="714"/>
      <c r="BX127" s="714"/>
      <c r="BY127" s="714"/>
      <c r="BZ127" s="714"/>
      <c r="CA127" s="714"/>
      <c r="CB127" s="714"/>
      <c r="CC127" s="714"/>
      <c r="CD127" s="714"/>
      <c r="CE127" s="714"/>
      <c r="CF127" s="714"/>
      <c r="CG127" s="714"/>
      <c r="CH127" s="714"/>
      <c r="CI127" s="714"/>
      <c r="CJ127" s="714"/>
      <c r="CK127" s="714"/>
      <c r="CL127" s="714"/>
      <c r="CM127" s="714"/>
      <c r="CN127" s="714"/>
      <c r="CO127" s="714"/>
      <c r="CP127" s="714"/>
      <c r="CQ127" s="714"/>
      <c r="CR127" s="714"/>
      <c r="CS127" s="714"/>
      <c r="CT127" s="714"/>
      <c r="CU127" s="714"/>
      <c r="CV127" s="714"/>
      <c r="CW127" s="714"/>
      <c r="CX127" s="714"/>
      <c r="CY127" s="714"/>
      <c r="CZ127" s="714"/>
      <c r="DA127" s="714"/>
      <c r="DB127" s="714"/>
      <c r="DC127" s="714"/>
      <c r="DD127" s="714"/>
      <c r="DE127" s="714"/>
      <c r="DF127" s="714"/>
      <c r="DG127" s="714"/>
      <c r="DH127" s="714"/>
      <c r="DI127" s="714"/>
      <c r="DJ127" s="714"/>
      <c r="DK127" s="714"/>
      <c r="DL127" s="714"/>
      <c r="DM127" s="714"/>
      <c r="DN127" s="714"/>
      <c r="DO127" s="714"/>
      <c r="DP127" s="714"/>
      <c r="DQ127" s="714"/>
      <c r="DR127" s="714"/>
      <c r="DS127" s="714"/>
      <c r="DT127" s="714"/>
      <c r="DU127" s="714"/>
      <c r="DV127" s="714"/>
      <c r="DW127" s="714"/>
      <c r="DX127" s="714"/>
      <c r="DY127" s="714"/>
      <c r="DZ127" s="714"/>
      <c r="EA127" s="714"/>
      <c r="EB127" s="714"/>
      <c r="EC127" s="714"/>
      <c r="ED127" s="714"/>
      <c r="EE127" s="714"/>
      <c r="EF127" s="714"/>
      <c r="EG127" s="714"/>
      <c r="EH127" s="714"/>
      <c r="EI127" s="714"/>
      <c r="EJ127" s="714"/>
      <c r="EK127" s="714"/>
      <c r="EL127" s="714"/>
      <c r="EM127" s="714"/>
      <c r="EN127" s="714"/>
      <c r="EO127" s="714"/>
      <c r="EP127" s="714"/>
      <c r="EQ127" s="714"/>
      <c r="ER127" s="714"/>
      <c r="ES127" s="714"/>
      <c r="ET127" s="714"/>
      <c r="EU127" s="714"/>
      <c r="EV127" s="714"/>
      <c r="EW127" s="714"/>
      <c r="EX127" s="714"/>
      <c r="EY127" s="714"/>
      <c r="EZ127" s="714"/>
      <c r="FA127" s="714"/>
      <c r="FB127" s="714"/>
      <c r="FC127" s="714"/>
      <c r="FD127" s="714"/>
      <c r="FE127" s="714"/>
      <c r="FF127" s="714"/>
      <c r="FG127" s="714"/>
      <c r="FH127" s="714"/>
      <c r="FI127" s="714"/>
      <c r="FJ127" s="714"/>
      <c r="FK127" s="714"/>
      <c r="FL127" s="714"/>
      <c r="FM127" s="714"/>
      <c r="FN127" s="714"/>
      <c r="FO127" s="714"/>
      <c r="FP127" s="714"/>
      <c r="FQ127" s="714"/>
      <c r="FR127" s="714"/>
      <c r="FS127" s="714"/>
      <c r="FT127" s="714"/>
      <c r="FU127" s="714"/>
      <c r="FV127" s="714"/>
      <c r="FW127" s="714"/>
      <c r="FX127" s="714"/>
      <c r="FY127" s="714"/>
      <c r="FZ127" s="714"/>
      <c r="GA127" s="714"/>
      <c r="GB127" s="714"/>
      <c r="GC127" s="714"/>
      <c r="GD127" s="714"/>
      <c r="GE127" s="714"/>
      <c r="GF127" s="714"/>
      <c r="GG127" s="714"/>
      <c r="GH127" s="714"/>
      <c r="GI127" s="714"/>
      <c r="GJ127" s="714"/>
      <c r="GK127" s="714"/>
      <c r="GL127" s="714"/>
      <c r="GM127" s="714"/>
      <c r="GN127" s="714"/>
      <c r="GO127" s="714"/>
      <c r="GP127" s="714"/>
      <c r="GQ127" s="714"/>
      <c r="GR127" s="714"/>
      <c r="GS127" s="714"/>
      <c r="GT127" s="714"/>
      <c r="GU127" s="714"/>
      <c r="GV127" s="714"/>
      <c r="GW127" s="714"/>
      <c r="GX127" s="714"/>
      <c r="GY127" s="714"/>
      <c r="GZ127" s="714"/>
      <c r="HA127" s="714"/>
      <c r="HB127" s="714"/>
      <c r="HC127" s="714"/>
      <c r="HD127" s="714"/>
      <c r="HE127" s="714"/>
      <c r="HF127" s="714"/>
      <c r="HG127" s="714"/>
      <c r="HH127" s="714"/>
      <c r="HI127" s="714"/>
      <c r="HJ127" s="714"/>
      <c r="HK127" s="714"/>
      <c r="HL127" s="714"/>
      <c r="HM127" s="714"/>
      <c r="HN127" s="714"/>
      <c r="HO127" s="714"/>
      <c r="HP127" s="714"/>
      <c r="HQ127" s="714"/>
      <c r="HR127" s="714"/>
      <c r="HS127" s="714"/>
      <c r="HT127" s="714"/>
      <c r="HU127" s="714"/>
      <c r="HV127" s="714"/>
      <c r="HW127" s="714"/>
      <c r="HX127" s="714"/>
      <c r="HY127" s="714"/>
      <c r="HZ127" s="714"/>
      <c r="IA127" s="714"/>
      <c r="IB127" s="714"/>
      <c r="IC127" s="714"/>
      <c r="ID127" s="714"/>
      <c r="IE127" s="714"/>
      <c r="IF127" s="714"/>
      <c r="IG127" s="714"/>
      <c r="IH127" s="714"/>
      <c r="II127" s="714"/>
      <c r="IJ127" s="714"/>
      <c r="IK127" s="714"/>
      <c r="IL127" s="714"/>
      <c r="IM127" s="714"/>
      <c r="IN127" s="714"/>
      <c r="IO127" s="714"/>
      <c r="IP127" s="714"/>
      <c r="IQ127" s="714"/>
      <c r="IR127" s="714"/>
      <c r="IS127" s="714"/>
      <c r="IT127" s="714"/>
      <c r="IU127" s="714"/>
      <c r="IV127" s="714"/>
    </row>
    <row r="128" spans="1:256" s="1" customFormat="1" ht="12.75" hidden="1" customHeight="1" x14ac:dyDescent="0.2">
      <c r="A128" s="22" t="s">
        <v>502</v>
      </c>
      <c r="AA128"/>
      <c r="AB128"/>
      <c r="AC128" s="714"/>
      <c r="AD128" s="714"/>
      <c r="AE128" s="714"/>
      <c r="AF128" s="714"/>
      <c r="AG128" s="714"/>
      <c r="AH128" s="714"/>
      <c r="AI128" s="714"/>
      <c r="AJ128" s="714"/>
      <c r="AK128" s="714"/>
      <c r="AL128" s="714"/>
      <c r="AM128" s="714"/>
      <c r="AN128" s="714"/>
      <c r="AO128" s="714"/>
      <c r="AP128" s="714"/>
      <c r="AQ128" s="714"/>
      <c r="AR128" s="714"/>
      <c r="AS128" s="714"/>
      <c r="AT128" s="714"/>
      <c r="AU128" s="714"/>
      <c r="AV128" s="714"/>
      <c r="AW128" s="714"/>
      <c r="AX128" s="714"/>
      <c r="AY128" s="714"/>
      <c r="AZ128" s="714"/>
      <c r="BA128" s="714"/>
      <c r="BB128" s="714"/>
      <c r="BC128" s="714"/>
      <c r="BD128" s="714"/>
      <c r="BE128" s="714"/>
      <c r="BF128" s="714"/>
      <c r="BG128" s="714"/>
      <c r="BH128" s="714"/>
      <c r="BI128" s="714"/>
      <c r="BJ128" s="714"/>
      <c r="BK128" s="714"/>
      <c r="BL128" s="714"/>
      <c r="BM128" s="714"/>
      <c r="BN128" s="714"/>
      <c r="BO128" s="714"/>
      <c r="BP128" s="714"/>
      <c r="BQ128" s="714"/>
      <c r="BR128" s="714"/>
      <c r="BS128" s="714"/>
      <c r="BT128" s="714"/>
      <c r="BU128" s="714"/>
      <c r="BV128" s="714"/>
      <c r="BW128" s="714"/>
      <c r="BX128" s="714"/>
      <c r="BY128" s="714"/>
      <c r="BZ128" s="714"/>
      <c r="CA128" s="714"/>
      <c r="CB128" s="714"/>
      <c r="CC128" s="714"/>
      <c r="CD128" s="714"/>
      <c r="CE128" s="714"/>
      <c r="CF128" s="714"/>
      <c r="CG128" s="714"/>
      <c r="CH128" s="714"/>
      <c r="CI128" s="714"/>
      <c r="CJ128" s="714"/>
      <c r="CK128" s="714"/>
      <c r="CL128" s="714"/>
      <c r="CM128" s="714"/>
      <c r="CN128" s="714"/>
      <c r="CO128" s="714"/>
      <c r="CP128" s="714"/>
      <c r="CQ128" s="714"/>
      <c r="CR128" s="714"/>
      <c r="CS128" s="714"/>
      <c r="CT128" s="714"/>
      <c r="CU128" s="714"/>
      <c r="CV128" s="714"/>
      <c r="CW128" s="714"/>
      <c r="CX128" s="714"/>
      <c r="CY128" s="714"/>
      <c r="CZ128" s="714"/>
      <c r="DA128" s="714"/>
      <c r="DB128" s="714"/>
      <c r="DC128" s="714"/>
      <c r="DD128" s="714"/>
      <c r="DE128" s="714"/>
      <c r="DF128" s="714"/>
      <c r="DG128" s="714"/>
      <c r="DH128" s="714"/>
      <c r="DI128" s="714"/>
      <c r="DJ128" s="714"/>
      <c r="DK128" s="714"/>
      <c r="DL128" s="714"/>
      <c r="DM128" s="714"/>
      <c r="DN128" s="714"/>
      <c r="DO128" s="714"/>
      <c r="DP128" s="714"/>
      <c r="DQ128" s="714"/>
      <c r="DR128" s="714"/>
      <c r="DS128" s="714"/>
      <c r="DT128" s="714"/>
      <c r="DU128" s="714"/>
      <c r="DV128" s="714"/>
      <c r="DW128" s="714"/>
      <c r="DX128" s="714"/>
      <c r="DY128" s="714"/>
      <c r="DZ128" s="714"/>
      <c r="EA128" s="714"/>
      <c r="EB128" s="714"/>
      <c r="EC128" s="714"/>
      <c r="ED128" s="714"/>
      <c r="EE128" s="714"/>
      <c r="EF128" s="714"/>
      <c r="EG128" s="714"/>
      <c r="EH128" s="714"/>
      <c r="EI128" s="714"/>
      <c r="EJ128" s="714"/>
      <c r="EK128" s="714"/>
      <c r="EL128" s="714"/>
      <c r="EM128" s="714"/>
      <c r="EN128" s="714"/>
      <c r="EO128" s="714"/>
      <c r="EP128" s="714"/>
      <c r="EQ128" s="714"/>
      <c r="ER128" s="714"/>
      <c r="ES128" s="714"/>
      <c r="ET128" s="714"/>
      <c r="EU128" s="714"/>
      <c r="EV128" s="714"/>
      <c r="EW128" s="714"/>
      <c r="EX128" s="714"/>
      <c r="EY128" s="714"/>
      <c r="EZ128" s="714"/>
      <c r="FA128" s="714"/>
      <c r="FB128" s="714"/>
      <c r="FC128" s="714"/>
      <c r="FD128" s="714"/>
      <c r="FE128" s="714"/>
      <c r="FF128" s="714"/>
      <c r="FG128" s="714"/>
      <c r="FH128" s="714"/>
      <c r="FI128" s="714"/>
      <c r="FJ128" s="714"/>
      <c r="FK128" s="714"/>
      <c r="FL128" s="714"/>
      <c r="FM128" s="714"/>
      <c r="FN128" s="714"/>
      <c r="FO128" s="714"/>
      <c r="FP128" s="714"/>
      <c r="FQ128" s="714"/>
      <c r="FR128" s="714"/>
      <c r="FS128" s="714"/>
      <c r="FT128" s="714"/>
      <c r="FU128" s="714"/>
      <c r="FV128" s="714"/>
      <c r="FW128" s="714"/>
      <c r="FX128" s="714"/>
      <c r="FY128" s="714"/>
      <c r="FZ128" s="714"/>
      <c r="GA128" s="714"/>
      <c r="GB128" s="714"/>
      <c r="GC128" s="714"/>
      <c r="GD128" s="714"/>
      <c r="GE128" s="714"/>
      <c r="GF128" s="714"/>
      <c r="GG128" s="714"/>
      <c r="GH128" s="714"/>
      <c r="GI128" s="714"/>
      <c r="GJ128" s="714"/>
      <c r="GK128" s="714"/>
      <c r="GL128" s="714"/>
      <c r="GM128" s="714"/>
      <c r="GN128" s="714"/>
      <c r="GO128" s="714"/>
      <c r="GP128" s="714"/>
      <c r="GQ128" s="714"/>
      <c r="GR128" s="714"/>
      <c r="GS128" s="714"/>
      <c r="GT128" s="714"/>
      <c r="GU128" s="714"/>
      <c r="GV128" s="714"/>
      <c r="GW128" s="714"/>
      <c r="GX128" s="714"/>
      <c r="GY128" s="714"/>
      <c r="GZ128" s="714"/>
      <c r="HA128" s="714"/>
      <c r="HB128" s="714"/>
      <c r="HC128" s="714"/>
      <c r="HD128" s="714"/>
      <c r="HE128" s="714"/>
      <c r="HF128" s="714"/>
      <c r="HG128" s="714"/>
      <c r="HH128" s="714"/>
      <c r="HI128" s="714"/>
      <c r="HJ128" s="714"/>
      <c r="HK128" s="714"/>
      <c r="HL128" s="714"/>
      <c r="HM128" s="714"/>
      <c r="HN128" s="714"/>
      <c r="HO128" s="714"/>
      <c r="HP128" s="714"/>
      <c r="HQ128" s="714"/>
      <c r="HR128" s="714"/>
      <c r="HS128" s="714"/>
      <c r="HT128" s="714"/>
      <c r="HU128" s="714"/>
      <c r="HV128" s="714"/>
      <c r="HW128" s="714"/>
      <c r="HX128" s="714"/>
      <c r="HY128" s="714"/>
      <c r="HZ128" s="714"/>
      <c r="IA128" s="714"/>
      <c r="IB128" s="714"/>
      <c r="IC128" s="714"/>
      <c r="ID128" s="714"/>
      <c r="IE128" s="714"/>
      <c r="IF128" s="714"/>
      <c r="IG128" s="714"/>
      <c r="IH128" s="714"/>
      <c r="II128" s="714"/>
      <c r="IJ128" s="714"/>
      <c r="IK128" s="714"/>
      <c r="IL128" s="714"/>
      <c r="IM128" s="714"/>
      <c r="IN128" s="714"/>
      <c r="IO128" s="714"/>
      <c r="IP128" s="714"/>
      <c r="IQ128" s="714"/>
      <c r="IR128" s="714"/>
      <c r="IS128" s="714"/>
      <c r="IT128" s="714"/>
      <c r="IU128" s="714"/>
      <c r="IV128" s="714"/>
    </row>
    <row r="129" spans="1:1" ht="12.75" hidden="1" customHeight="1" x14ac:dyDescent="0.2">
      <c r="A129" s="22" t="s">
        <v>503</v>
      </c>
    </row>
    <row r="130" spans="1:1" ht="12.75" hidden="1" customHeight="1" x14ac:dyDescent="0.2">
      <c r="A130" s="22" t="s">
        <v>480</v>
      </c>
    </row>
    <row r="131" spans="1:1" ht="12.75" hidden="1" customHeight="1" x14ac:dyDescent="0.2">
      <c r="A131" s="22" t="s">
        <v>504</v>
      </c>
    </row>
    <row r="132" spans="1:1" ht="12.75" hidden="1" customHeight="1" x14ac:dyDescent="0.2">
      <c r="A132" s="22" t="s">
        <v>455</v>
      </c>
    </row>
    <row r="133" spans="1:1" ht="12.75" hidden="1" customHeight="1" x14ac:dyDescent="0.2">
      <c r="A133" s="22" t="s">
        <v>505</v>
      </c>
    </row>
    <row r="134" spans="1:1" ht="12.75" hidden="1" customHeight="1" x14ac:dyDescent="0.2">
      <c r="A134" s="22" t="s">
        <v>489</v>
      </c>
    </row>
    <row r="135" spans="1:1" ht="12.75" hidden="1" customHeight="1" x14ac:dyDescent="0.3">
      <c r="A135" s="22" t="s">
        <v>520</v>
      </c>
    </row>
    <row r="136" spans="1:1" ht="12.75" hidden="1" customHeight="1" x14ac:dyDescent="0.3">
      <c r="A136" s="22" t="s">
        <v>521</v>
      </c>
    </row>
    <row r="137" spans="1:1" ht="12.75" hidden="1" customHeight="1" x14ac:dyDescent="0.2">
      <c r="A137" s="1"/>
    </row>
    <row r="138" spans="1:1" ht="12.75" hidden="1" customHeight="1" x14ac:dyDescent="0.2">
      <c r="A138" s="1"/>
    </row>
    <row r="139" spans="1:1" ht="12.75" hidden="1" customHeight="1" x14ac:dyDescent="0.2">
      <c r="A139" s="1"/>
    </row>
    <row r="140" spans="1:1" ht="12.75" hidden="1" customHeight="1" x14ac:dyDescent="0.2">
      <c r="A140" s="1"/>
    </row>
    <row r="141" spans="1:1" ht="12.75" hidden="1" customHeight="1" x14ac:dyDescent="0.2">
      <c r="A141" s="1"/>
    </row>
    <row r="142" spans="1:1" ht="12.75" hidden="1" customHeight="1" x14ac:dyDescent="0.2">
      <c r="A142" s="1"/>
    </row>
    <row r="143" spans="1:1" ht="12.75" hidden="1" customHeight="1" x14ac:dyDescent="0.2">
      <c r="A143" s="1"/>
    </row>
    <row r="144" spans="1:1" ht="12.75" hidden="1" customHeight="1" x14ac:dyDescent="0.2">
      <c r="A144" s="1"/>
    </row>
    <row r="145" spans="1:1" ht="12.75" hidden="1" customHeight="1" x14ac:dyDescent="0.2">
      <c r="A145" s="1"/>
    </row>
    <row r="146" spans="1:1" ht="12.75" hidden="1" customHeight="1" x14ac:dyDescent="0.2">
      <c r="A146" s="1"/>
    </row>
    <row r="147" spans="1:1" ht="12.75" hidden="1" customHeight="1" x14ac:dyDescent="0.2">
      <c r="A147" s="1"/>
    </row>
    <row r="148" spans="1:1" ht="12.75" hidden="1" customHeight="1" x14ac:dyDescent="0.2">
      <c r="A148" s="1"/>
    </row>
    <row r="149" spans="1:1" ht="12.75" hidden="1" customHeight="1" x14ac:dyDescent="0.2">
      <c r="A149" s="1"/>
    </row>
    <row r="150" spans="1:1" ht="12.75" hidden="1" customHeight="1" x14ac:dyDescent="0.2">
      <c r="A150" s="1"/>
    </row>
    <row r="151" spans="1:1" ht="12.75" hidden="1" customHeight="1" x14ac:dyDescent="0.2">
      <c r="A151" s="1"/>
    </row>
    <row r="152" spans="1:1" ht="12.75" hidden="1" customHeight="1" x14ac:dyDescent="0.2">
      <c r="A152" s="1"/>
    </row>
    <row r="153" spans="1:1" ht="12.75" hidden="1" customHeight="1" x14ac:dyDescent="0.2">
      <c r="A153" s="1"/>
    </row>
    <row r="154" spans="1:1" ht="12.75" hidden="1" customHeight="1" x14ac:dyDescent="0.2">
      <c r="A154" s="1"/>
    </row>
    <row r="155" spans="1:1" ht="12.75" hidden="1" customHeight="1" x14ac:dyDescent="0.2">
      <c r="A155" s="1"/>
    </row>
    <row r="156" spans="1:1" ht="12.75" hidden="1" customHeight="1" x14ac:dyDescent="0.2">
      <c r="A156" s="1"/>
    </row>
    <row r="157" spans="1:1" ht="12.75" hidden="1" customHeight="1" x14ac:dyDescent="0.2">
      <c r="A157" s="1"/>
    </row>
    <row r="158" spans="1:1" ht="12.75" hidden="1" customHeight="1" x14ac:dyDescent="0.2">
      <c r="A158" s="1"/>
    </row>
    <row r="159" spans="1:1" ht="12.75" hidden="1" customHeight="1" x14ac:dyDescent="0.2"/>
    <row r="160" spans="1:1" ht="12.75" hidden="1" customHeight="1" x14ac:dyDescent="0.2"/>
    <row r="161" ht="12.75" hidden="1" customHeight="1" x14ac:dyDescent="0.2"/>
    <row r="162" ht="12.75" hidden="1" customHeight="1" x14ac:dyDescent="0.2"/>
    <row r="163" ht="12.75" hidden="1" customHeight="1" x14ac:dyDescent="0.2"/>
    <row r="164" ht="12.75" hidden="1" customHeight="1" x14ac:dyDescent="0.2"/>
    <row r="165" ht="12.75" hidden="1" customHeight="1" x14ac:dyDescent="0.2"/>
    <row r="166" ht="12.75" hidden="1" customHeight="1" x14ac:dyDescent="0.2"/>
    <row r="167" ht="12.75" hidden="1" customHeight="1" x14ac:dyDescent="0.2"/>
    <row r="168" ht="12.75" hidden="1" customHeight="1" x14ac:dyDescent="0.2"/>
    <row r="169" ht="12.75" hidden="1" customHeight="1" x14ac:dyDescent="0.2"/>
    <row r="170" ht="12.75" hidden="1" customHeight="1" x14ac:dyDescent="0.2"/>
    <row r="171" ht="12.75" hidden="1" customHeight="1" x14ac:dyDescent="0.2"/>
    <row r="172" ht="12.75" hidden="1" customHeight="1" x14ac:dyDescent="0.2"/>
    <row r="173" ht="12.75" hidden="1" customHeight="1" x14ac:dyDescent="0.2"/>
    <row r="174" ht="12.75" hidden="1" customHeight="1" x14ac:dyDescent="0.2"/>
    <row r="175" ht="12.75" hidden="1" customHeight="1" x14ac:dyDescent="0.2"/>
    <row r="176" ht="12.75" hidden="1" customHeight="1" x14ac:dyDescent="0.2"/>
    <row r="177" ht="12.75" hidden="1" customHeight="1" x14ac:dyDescent="0.2"/>
    <row r="178" ht="12.75" hidden="1" customHeight="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sheetData>
  <sheetProtection algorithmName="SHA-512" hashValue="qaRUgJVetA0bRdfAHgfWLuVwbKjt/sTIWBpsCHk97lXVfcWs9w4CT6Ip5QKVy5s3AE8267e4hCydJBiktHi6wg==" saltValue="P29C117yTbGW9kUnOM99dw==" spinCount="100000" sheet="1" objects="1" scenarios="1"/>
  <mergeCells count="5">
    <mergeCell ref="AB1:AB10"/>
    <mergeCell ref="F75:H75"/>
    <mergeCell ref="F78:H78"/>
    <mergeCell ref="B75:B78"/>
    <mergeCell ref="D75:D78"/>
  </mergeCells>
  <phoneticPr fontId="4" type="noConversion"/>
  <conditionalFormatting sqref="F103 F97 F89 F81 F51 T67 T65 X58 X56 X61 F44:G45 T103 T69 T89 T81 T97 F109 F111 F113 F115 F117 P109 P111 P113 P115 P117">
    <cfRule type="cellIs" dxfId="2" priority="1" stopIfTrue="1" operator="equal">
      <formula>"noch leer"</formula>
    </cfRule>
  </conditionalFormatting>
  <conditionalFormatting sqref="F37 F34 F24 F17">
    <cfRule type="cellIs" dxfId="1" priority="2" stopIfTrue="1" operator="equal">
      <formula>"DE leer"</formula>
    </cfRule>
  </conditionalFormatting>
  <dataValidations count="3">
    <dataValidation type="list" allowBlank="1" showInputMessage="1" showErrorMessage="1" errorTitle="Falsch" error="Nicht erlaubte Größe!" promptTitle="Formel" prompt="Wähle hier die richtige Größe aus!" sqref="J84 F78:H78 F75:H75 J48:K48 F21 F14 F48 J14 F84 F94 J94 F100 J21 J100 N14" xr:uid="{00000000-0002-0000-0F00-000000000000}">
      <formula1>$A$122:$A$136</formula1>
    </dataValidation>
    <dataValidation type="list" allowBlank="1" showInputMessage="1" showErrorMessage="1" promptTitle="Operator" prompt="Wähle jetzt die richtige Rechnungsart!" sqref="Q58 S58 H14 L14 H21 H48 H84 H94 H100" xr:uid="{00000000-0002-0000-0F00-000001000000}">
      <formula1>$F$122:$F$125</formula1>
    </dataValidation>
    <dataValidation type="list" allowBlank="1" showInputMessage="1" showErrorMessage="1" errorTitle="Falsche Eingabe!" error="Hier kann nur das &quot;x&quot; ausgewählt werden!" promptTitle="Kreuze zutreffendes an!" prompt="Wähle dazu einfach das &quot;x&quot; aus der Liste!" sqref="L89 W89:W92 L41 L39 L37 L28 L26 L24 L91" xr:uid="{00000000-0002-0000-0F00-000002000000}">
      <formula1>$L$122</formula1>
    </dataValidation>
  </dataValidations>
  <printOptions horizontalCentered="1"/>
  <pageMargins left="0.39370078740157483" right="0.19685039370078741" top="0.78740157480314965" bottom="1.1811023622047245" header="0" footer="0"/>
  <pageSetup paperSize="9" scale="88" orientation="portrait" blackAndWhite="1" horizontalDpi="4294967295" r:id="rId1"/>
  <headerFooter alignWithMargins="0">
    <oddHeader>&amp;R&amp;8&amp;U&amp;F - Seite &amp;P/&amp;N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A1:AG298"/>
  <sheetViews>
    <sheetView showGridLines="0" showRowColHeaders="0" workbookViewId="0">
      <pane xSplit="2" ySplit="2" topLeftCell="C3" activePane="bottomRight" state="frozen"/>
      <selection activeCell="F326" sqref="F326"/>
      <selection pane="topRight" activeCell="F326" sqref="F326"/>
      <selection pane="bottomLeft" activeCell="F326" sqref="F326"/>
      <selection pane="bottomRight" activeCell="H5" sqref="H5"/>
    </sheetView>
  </sheetViews>
  <sheetFormatPr baseColWidth="10" defaultColWidth="0" defaultRowHeight="12.75" customHeight="1" zeroHeight="1" x14ac:dyDescent="0.2"/>
  <cols>
    <col min="1" max="1" width="20.7109375" customWidth="1"/>
    <col min="2" max="2" width="0.85546875" customWidth="1"/>
    <col min="3" max="3" width="3.7109375" customWidth="1"/>
    <col min="4" max="5" width="2.7109375" customWidth="1"/>
    <col min="6" max="6" width="20.7109375" customWidth="1"/>
    <col min="7" max="7" width="1.85546875" bestFit="1" customWidth="1"/>
    <col min="8" max="8" width="11.7109375" customWidth="1"/>
    <col min="9" max="9" width="1.85546875" bestFit="1" customWidth="1"/>
    <col min="10" max="10" width="0.85546875" customWidth="1"/>
    <col min="11" max="11" width="22.7109375" customWidth="1"/>
    <col min="12" max="12" width="1.85546875" bestFit="1" customWidth="1"/>
    <col min="13" max="13" width="11.7109375" customWidth="1"/>
    <col min="14" max="14" width="10.7109375" customWidth="1"/>
    <col min="15" max="15" width="4.7109375" customWidth="1"/>
    <col min="16" max="16" width="1.7109375" customWidth="1"/>
    <col min="17" max="17" width="4.7109375" customWidth="1"/>
    <col min="18" max="18" width="2.7109375" hidden="1"/>
    <col min="19" max="22" width="10.7109375" hidden="1"/>
    <col min="23" max="23" width="2.7109375" hidden="1"/>
    <col min="24" max="24" width="25.7109375" hidden="1"/>
    <col min="25" max="25" width="12.7109375" hidden="1"/>
    <col min="26" max="26" width="25.7109375" hidden="1"/>
    <col min="27" max="16384" width="11.42578125" hidden="1"/>
  </cols>
  <sheetData>
    <row r="1" spans="1:27" ht="24.95" customHeight="1" x14ac:dyDescent="0.25">
      <c r="A1" s="1039" t="s">
        <v>101</v>
      </c>
      <c r="B1" s="130"/>
      <c r="C1" s="866" t="s">
        <v>102</v>
      </c>
      <c r="D1" s="867"/>
      <c r="E1" s="867"/>
      <c r="F1" s="867"/>
      <c r="G1" s="867"/>
      <c r="H1" s="867"/>
      <c r="I1" s="867"/>
      <c r="J1" s="867"/>
      <c r="K1" s="867"/>
      <c r="L1" s="867"/>
      <c r="M1" s="872" t="s">
        <v>11</v>
      </c>
      <c r="N1" s="872" t="str">
        <f>Korrektur!L1</f>
        <v>x</v>
      </c>
      <c r="O1" s="1029" t="s">
        <v>677</v>
      </c>
      <c r="P1" s="1029"/>
      <c r="Q1" s="1029"/>
      <c r="R1" s="3"/>
      <c r="S1" s="1028" t="s">
        <v>119</v>
      </c>
      <c r="T1" s="1028"/>
      <c r="U1" s="3"/>
      <c r="V1" s="3"/>
      <c r="W1" s="3"/>
      <c r="X1" s="3"/>
      <c r="Y1" s="3"/>
      <c r="Z1" s="3"/>
      <c r="AA1" s="3"/>
    </row>
    <row r="2" spans="1:27" ht="30" customHeight="1" x14ac:dyDescent="0.2">
      <c r="A2" s="1040"/>
      <c r="B2" s="131"/>
      <c r="C2" s="36"/>
      <c r="D2" s="36"/>
      <c r="E2" s="36"/>
      <c r="F2" s="36"/>
      <c r="G2" s="36"/>
      <c r="H2" s="36"/>
      <c r="I2" s="36"/>
      <c r="J2" s="36"/>
      <c r="K2" s="36"/>
      <c r="L2" s="36"/>
      <c r="M2" s="36"/>
      <c r="N2" s="36"/>
      <c r="O2" s="132"/>
      <c r="P2" s="3"/>
      <c r="Q2" s="963"/>
      <c r="R2" s="3"/>
      <c r="S2" s="964" t="s">
        <v>11</v>
      </c>
      <c r="T2" s="964"/>
      <c r="U2" s="3"/>
      <c r="V2" s="3"/>
      <c r="W2" s="3"/>
      <c r="X2" s="3"/>
      <c r="Y2" s="3"/>
      <c r="Z2" s="3"/>
      <c r="AA2" s="3"/>
    </row>
    <row r="3" spans="1:27" ht="12.75" customHeight="1" x14ac:dyDescent="0.2">
      <c r="A3" s="873"/>
      <c r="B3" s="131"/>
      <c r="C3" s="92" t="s">
        <v>103</v>
      </c>
      <c r="D3" s="92" t="s">
        <v>104</v>
      </c>
      <c r="E3" s="92"/>
      <c r="F3" s="36"/>
      <c r="G3" s="36"/>
      <c r="H3" s="36"/>
      <c r="I3" s="36"/>
      <c r="J3" s="36"/>
      <c r="K3" s="36"/>
      <c r="L3" s="36"/>
      <c r="M3" s="36"/>
      <c r="N3" s="36"/>
      <c r="O3" s="132"/>
      <c r="P3" s="3"/>
      <c r="Q3" s="963"/>
      <c r="R3" s="3"/>
      <c r="S3" s="3"/>
      <c r="T3" s="3"/>
      <c r="U3" s="3"/>
      <c r="V3" s="3"/>
      <c r="W3" s="3"/>
      <c r="X3" s="3"/>
      <c r="Y3" s="3"/>
      <c r="Z3" s="3"/>
      <c r="AA3" s="3"/>
    </row>
    <row r="4" spans="1:27" x14ac:dyDescent="0.2">
      <c r="A4" s="873"/>
      <c r="B4" s="131"/>
      <c r="C4" s="36"/>
      <c r="D4" s="36" t="s">
        <v>105</v>
      </c>
      <c r="E4" s="36" t="s">
        <v>106</v>
      </c>
      <c r="F4" s="36"/>
      <c r="G4" s="36"/>
      <c r="H4" s="36"/>
      <c r="I4" s="36"/>
      <c r="J4" s="36"/>
      <c r="K4" s="36"/>
      <c r="L4" s="36"/>
      <c r="M4" s="36"/>
      <c r="N4" s="36"/>
      <c r="O4" s="132"/>
      <c r="P4" s="3"/>
      <c r="Q4" s="963"/>
      <c r="R4" s="3"/>
      <c r="S4" s="965" t="s">
        <v>672</v>
      </c>
      <c r="T4" s="3"/>
      <c r="U4" s="966" t="s">
        <v>673</v>
      </c>
      <c r="V4" s="3"/>
      <c r="W4" s="3"/>
      <c r="X4" s="3"/>
      <c r="Y4" s="3"/>
      <c r="Z4" s="3"/>
      <c r="AA4" s="3"/>
    </row>
    <row r="5" spans="1:27" ht="11.25" customHeight="1" x14ac:dyDescent="0.2">
      <c r="A5" s="1021"/>
      <c r="B5" s="131"/>
      <c r="C5" s="857"/>
      <c r="D5" s="36"/>
      <c r="E5" s="36" t="s">
        <v>107</v>
      </c>
      <c r="F5" s="36"/>
      <c r="G5" s="36"/>
      <c r="H5" s="135"/>
      <c r="I5" s="887" t="s">
        <v>534</v>
      </c>
      <c r="J5" s="884"/>
      <c r="K5" s="1026" t="s">
        <v>586</v>
      </c>
      <c r="L5" s="1027"/>
      <c r="M5" s="1027"/>
      <c r="N5" s="36"/>
      <c r="O5" s="136" t="str">
        <f>IF(S5="","",IF(U5=S5,Q5,0))</f>
        <v/>
      </c>
      <c r="P5" s="3" t="s">
        <v>108</v>
      </c>
      <c r="Q5" s="963">
        <v>1</v>
      </c>
      <c r="R5" s="3"/>
      <c r="S5" s="967" t="str">
        <f>IF(H5="","",H5)</f>
        <v/>
      </c>
      <c r="T5" s="3"/>
      <c r="U5" s="968">
        <f>IF(Korrektur!D65="","",Korrektur!D65)</f>
        <v>26014.991693548389</v>
      </c>
      <c r="V5" s="3"/>
      <c r="W5" s="3"/>
      <c r="X5" s="3"/>
      <c r="Y5" s="3"/>
      <c r="Z5" s="3"/>
      <c r="AA5" s="3"/>
    </row>
    <row r="6" spans="1:27" ht="3.95" customHeight="1" x14ac:dyDescent="0.2">
      <c r="A6" s="873"/>
      <c r="B6" s="131"/>
      <c r="C6" s="36"/>
      <c r="D6" s="36"/>
      <c r="E6" s="36"/>
      <c r="F6" s="36"/>
      <c r="G6" s="36"/>
      <c r="H6" s="36"/>
      <c r="I6" s="885"/>
      <c r="J6" s="36"/>
      <c r="K6" s="1027"/>
      <c r="L6" s="1027"/>
      <c r="M6" s="1027"/>
      <c r="N6" s="36"/>
      <c r="O6" s="132"/>
      <c r="P6" s="3"/>
      <c r="Q6" s="963"/>
      <c r="R6" s="3"/>
      <c r="S6" s="3"/>
      <c r="T6" s="3"/>
      <c r="U6" s="969"/>
      <c r="V6" s="3"/>
      <c r="W6" s="3"/>
      <c r="X6" s="3"/>
      <c r="Y6" s="3"/>
      <c r="Z6" s="3"/>
      <c r="AA6" s="3"/>
    </row>
    <row r="7" spans="1:27" x14ac:dyDescent="0.2">
      <c r="A7" s="873"/>
      <c r="B7" s="131"/>
      <c r="C7" s="36"/>
      <c r="D7" s="36"/>
      <c r="E7" s="36" t="s">
        <v>109</v>
      </c>
      <c r="F7" s="36"/>
      <c r="G7" s="36"/>
      <c r="H7" s="135"/>
      <c r="I7" s="887" t="s">
        <v>534</v>
      </c>
      <c r="J7" s="36"/>
      <c r="K7" s="1027"/>
      <c r="L7" s="1027"/>
      <c r="M7" s="1027"/>
      <c r="N7" s="36"/>
      <c r="O7" s="136" t="str">
        <f>IF(S7="","",IF(U7=S7,Q7,0))</f>
        <v/>
      </c>
      <c r="P7" s="3" t="s">
        <v>108</v>
      </c>
      <c r="Q7" s="963">
        <v>1</v>
      </c>
      <c r="R7" s="3"/>
      <c r="S7" s="967" t="str">
        <f>IF(H7="","",H7)</f>
        <v/>
      </c>
      <c r="T7" s="3"/>
      <c r="U7" s="968">
        <f>IF(Ist!I30="","",Ist!I30)</f>
        <v>-25400</v>
      </c>
      <c r="V7" s="3"/>
      <c r="W7" s="3"/>
      <c r="X7" s="3"/>
      <c r="Y7" s="3"/>
      <c r="Z7" s="3"/>
      <c r="AA7" s="3"/>
    </row>
    <row r="8" spans="1:27" ht="3.95" customHeight="1" x14ac:dyDescent="0.2">
      <c r="A8" s="873"/>
      <c r="B8" s="131"/>
      <c r="C8" s="36"/>
      <c r="D8" s="36"/>
      <c r="E8" s="36"/>
      <c r="F8" s="36"/>
      <c r="G8" s="36"/>
      <c r="H8" s="36"/>
      <c r="I8" s="885"/>
      <c r="J8" s="36"/>
      <c r="K8" s="886"/>
      <c r="L8" s="886"/>
      <c r="M8" s="886"/>
      <c r="N8" s="36"/>
      <c r="O8" s="132"/>
      <c r="P8" s="3"/>
      <c r="Q8" s="963"/>
      <c r="R8" s="3"/>
      <c r="S8" s="3"/>
      <c r="T8" s="3"/>
      <c r="U8" s="969"/>
      <c r="V8" s="3"/>
      <c r="W8" s="3"/>
      <c r="X8" s="3"/>
      <c r="Y8" s="3"/>
      <c r="Z8" s="3"/>
      <c r="AA8" s="3"/>
    </row>
    <row r="9" spans="1:27" x14ac:dyDescent="0.2">
      <c r="A9" s="873"/>
      <c r="B9" s="131"/>
      <c r="C9" s="36"/>
      <c r="D9" s="36"/>
      <c r="E9" s="36" t="s">
        <v>110</v>
      </c>
      <c r="F9" s="36"/>
      <c r="G9" s="36"/>
      <c r="H9" s="135"/>
      <c r="I9" s="887" t="s">
        <v>534</v>
      </c>
      <c r="J9" s="36"/>
      <c r="K9" s="886"/>
      <c r="L9" s="886"/>
      <c r="M9" s="886"/>
      <c r="N9" s="36"/>
      <c r="O9" s="136" t="str">
        <f>IF(S9="","",IF(U9=S9,Q9,0))</f>
        <v/>
      </c>
      <c r="P9" s="3" t="s">
        <v>108</v>
      </c>
      <c r="Q9" s="963">
        <v>1</v>
      </c>
      <c r="R9" s="3"/>
      <c r="S9" s="967" t="str">
        <f>IF(H9="","",H9)</f>
        <v/>
      </c>
      <c r="T9" s="3"/>
      <c r="U9" s="968">
        <f>IF(AND(Ist!I30="",Ist!I31="",Ist!I33="",Korrektur!D65=""),"",SUM(Korrektur!D65,Ist!I30:I31,Ist!I33))</f>
        <v>-1587.0083064516111</v>
      </c>
      <c r="V9" s="3"/>
      <c r="W9" s="3"/>
      <c r="X9" s="3"/>
      <c r="Y9" s="3"/>
      <c r="Z9" s="3"/>
      <c r="AA9" s="3"/>
    </row>
    <row r="10" spans="1:27" ht="3.95" customHeight="1" x14ac:dyDescent="0.2">
      <c r="A10" s="873"/>
      <c r="B10" s="131"/>
      <c r="C10" s="36"/>
      <c r="D10" s="36"/>
      <c r="E10" s="36"/>
      <c r="F10" s="36"/>
      <c r="G10" s="36"/>
      <c r="H10" s="36"/>
      <c r="I10" s="885"/>
      <c r="J10" s="36"/>
      <c r="K10" s="886"/>
      <c r="L10" s="886"/>
      <c r="M10" s="886"/>
      <c r="N10" s="36"/>
      <c r="O10" s="132"/>
      <c r="P10" s="3"/>
      <c r="Q10" s="963"/>
      <c r="R10" s="3"/>
      <c r="S10" s="3"/>
      <c r="T10" s="3"/>
      <c r="U10" s="969"/>
      <c r="V10" s="3"/>
      <c r="W10" s="3"/>
      <c r="X10" s="3"/>
      <c r="Y10" s="3"/>
      <c r="Z10" s="3"/>
      <c r="AA10" s="3"/>
    </row>
    <row r="11" spans="1:27" x14ac:dyDescent="0.2">
      <c r="A11" s="873"/>
      <c r="B11" s="131"/>
      <c r="C11" s="36"/>
      <c r="D11" s="36"/>
      <c r="E11" s="36" t="s">
        <v>111</v>
      </c>
      <c r="F11" s="36"/>
      <c r="G11" s="36"/>
      <c r="H11" s="135"/>
      <c r="I11" s="887" t="s">
        <v>534</v>
      </c>
      <c r="J11" s="36"/>
      <c r="K11" s="886"/>
      <c r="L11" s="886"/>
      <c r="M11" s="886"/>
      <c r="N11" s="36"/>
      <c r="O11" s="136" t="str">
        <f>IF(S11="","",IF(U11=S11,Q11,0))</f>
        <v/>
      </c>
      <c r="P11" s="3" t="s">
        <v>108</v>
      </c>
      <c r="Q11" s="963">
        <v>1</v>
      </c>
      <c r="R11" s="3"/>
      <c r="S11" s="967" t="str">
        <f>IF(H11="","",H11)</f>
        <v/>
      </c>
      <c r="T11" s="3"/>
      <c r="U11" s="968">
        <f>IF(Ist!I31="","",Ist!I31)</f>
        <v>-2600</v>
      </c>
      <c r="V11" s="3"/>
      <c r="W11" s="3"/>
      <c r="X11" s="3"/>
      <c r="Y11" s="3"/>
      <c r="Z11" s="3"/>
      <c r="AA11" s="3"/>
    </row>
    <row r="12" spans="1:27" x14ac:dyDescent="0.2">
      <c r="A12" s="873"/>
      <c r="B12" s="131"/>
      <c r="C12" s="36"/>
      <c r="D12" s="36"/>
      <c r="E12" s="36"/>
      <c r="F12" s="36"/>
      <c r="G12" s="36"/>
      <c r="H12" s="36"/>
      <c r="I12" s="36"/>
      <c r="J12" s="36"/>
      <c r="K12" s="36"/>
      <c r="L12" s="36"/>
      <c r="M12" s="36"/>
      <c r="N12" s="36"/>
      <c r="O12" s="132"/>
      <c r="P12" s="3"/>
      <c r="Q12" s="963"/>
      <c r="R12" s="3"/>
      <c r="T12" s="3"/>
      <c r="U12" s="3"/>
      <c r="V12" s="3"/>
      <c r="W12" s="3"/>
      <c r="X12" s="3"/>
      <c r="Y12" s="3"/>
      <c r="Z12" s="3"/>
      <c r="AA12" s="3"/>
    </row>
    <row r="13" spans="1:27" ht="12.75" customHeight="1" x14ac:dyDescent="0.2">
      <c r="A13" s="873"/>
      <c r="B13" s="131"/>
      <c r="C13" s="36"/>
      <c r="D13" s="36" t="s">
        <v>112</v>
      </c>
      <c r="E13" s="36" t="s">
        <v>113</v>
      </c>
      <c r="F13" s="36"/>
      <c r="G13" s="36"/>
      <c r="H13" s="36"/>
      <c r="I13" s="36"/>
      <c r="J13" s="36"/>
      <c r="K13" s="36"/>
      <c r="L13" s="36"/>
      <c r="M13" s="36"/>
      <c r="N13" s="36"/>
      <c r="O13" s="132"/>
      <c r="P13" s="3"/>
      <c r="Q13" s="963"/>
      <c r="R13" s="1061" t="s">
        <v>674</v>
      </c>
      <c r="S13" s="965" t="s">
        <v>672</v>
      </c>
      <c r="T13" s="3"/>
      <c r="U13" s="966" t="s">
        <v>673</v>
      </c>
      <c r="V13" s="3"/>
      <c r="W13" s="3"/>
      <c r="X13" s="3"/>
      <c r="Y13" s="3"/>
      <c r="Z13" s="3"/>
      <c r="AA13" s="3"/>
    </row>
    <row r="14" spans="1:27" ht="12.75" customHeight="1" x14ac:dyDescent="0.2">
      <c r="A14" s="873"/>
      <c r="B14" s="131"/>
      <c r="C14" s="36"/>
      <c r="D14" s="36"/>
      <c r="E14" s="1030"/>
      <c r="F14" s="1031"/>
      <c r="G14" s="1031"/>
      <c r="H14" s="1031"/>
      <c r="I14" s="1031"/>
      <c r="J14" s="1031"/>
      <c r="K14" s="1031"/>
      <c r="L14" s="1031"/>
      <c r="M14" s="1032"/>
      <c r="N14" s="139"/>
      <c r="O14" s="136" t="str">
        <f>IF(S14="","",IF(U14=S14,Q14,0))</f>
        <v/>
      </c>
      <c r="P14" s="3" t="s">
        <v>108</v>
      </c>
      <c r="Q14" s="963">
        <v>1</v>
      </c>
      <c r="R14" s="1061"/>
      <c r="S14" s="970" t="str">
        <f>IF(E14="","",E14)</f>
        <v/>
      </c>
      <c r="U14" s="971" t="str">
        <f>IF(U5&lt;-U7,U15,IF(U5=-U7,U16,IF(U5&gt;-U7,U17,"")))</f>
        <v>Lebenshaltungskosten (25 400,00 €) &lt; Gesamteinkommen (26 014,99 €)</v>
      </c>
      <c r="V14" s="3"/>
      <c r="W14" s="3"/>
      <c r="X14" s="3"/>
      <c r="Y14" s="3"/>
      <c r="Z14" s="3"/>
      <c r="AA14" s="3"/>
    </row>
    <row r="15" spans="1:27" ht="11.25" customHeight="1" x14ac:dyDescent="0.2">
      <c r="A15" s="873"/>
      <c r="B15" s="131"/>
      <c r="C15" s="36"/>
      <c r="D15" s="36"/>
      <c r="E15" s="858" t="s">
        <v>531</v>
      </c>
      <c r="F15" s="220"/>
      <c r="G15" s="220"/>
      <c r="H15" s="220"/>
      <c r="I15" s="220"/>
      <c r="J15" s="220"/>
      <c r="K15" s="220"/>
      <c r="L15" s="220"/>
      <c r="M15" s="220"/>
      <c r="N15" s="139"/>
      <c r="O15" s="150"/>
      <c r="P15" s="3"/>
      <c r="Q15" s="3"/>
      <c r="R15" s="1061"/>
      <c r="S15" s="972" t="str">
        <f>IF(OR(H7="",H5=""),"Daten fehlen!","Lebenshaltungskosten ("&amp;FIXED(-H7,2)&amp;" €) &gt; Gesamteinkommen ("&amp;FIXED(H5,2)&amp;" €)")</f>
        <v>Daten fehlen!</v>
      </c>
      <c r="U15" s="895" t="str">
        <f>IF(OR(U7="",U5=""),"Daten fehlen!","Lebenshaltungskosten ("&amp;FIXED(-U7,2)&amp;" €) &gt; Gesamteinkommen ("&amp;FIXED(U5,2)&amp;" €)")</f>
        <v>Lebenshaltungskosten (25 400,00 €) &gt; Gesamteinkommen (26 014,99 €)</v>
      </c>
      <c r="V15" s="3"/>
      <c r="W15" s="3"/>
      <c r="X15" s="3"/>
      <c r="Y15" s="3"/>
      <c r="Z15" s="3"/>
      <c r="AA15" s="3"/>
    </row>
    <row r="16" spans="1:27" ht="12.75" customHeight="1" x14ac:dyDescent="0.2">
      <c r="A16" s="873"/>
      <c r="B16" s="131"/>
      <c r="C16" s="36"/>
      <c r="D16" s="36"/>
      <c r="E16" s="142"/>
      <c r="F16" s="1037" t="str">
        <f>IF(OR(H7="",H5=""),"Daten fehlen!",IF(AND(SUM(H5:H7)&gt;0,SUM(H5:H7)&lt;-H11),"Die Lebenshaltungskosten können gerade noch bestritten werden. Die Erfüllung des Kapitaldienstes kann aber bereits schwierig werden. Vor allem aber bleiben keine finanziellen Reserven mehr für künftige private oder betriebliche Investitionen.","Die Lebenshaltungskosten können ohne große Anstrengungen bestritten werden. Auch der Kapitaldienst kann ohne Probleme bestritten werden. Es bleiben sogar noch finanzielle Reserven für künftige private oder betriebliche Investitionen."))</f>
        <v>Daten fehlen!</v>
      </c>
      <c r="G16" s="1037"/>
      <c r="H16" s="1037"/>
      <c r="I16" s="1037"/>
      <c r="J16" s="1037"/>
      <c r="K16" s="1037"/>
      <c r="L16" s="1037"/>
      <c r="M16" s="1037"/>
      <c r="N16" s="139"/>
      <c r="O16" s="136" t="str">
        <f>IF(AND(S19="",S20="",S21=""),"",IF(AND(S19=U19,S20=U20,S21=U21),Q16,0))</f>
        <v/>
      </c>
      <c r="P16" s="3" t="s">
        <v>108</v>
      </c>
      <c r="Q16" s="963">
        <v>1</v>
      </c>
      <c r="R16" s="1061"/>
      <c r="S16" s="972" t="str">
        <f>IF(OR(H7="",H5=""),"Daten fehlen!","Lebenshaltungskosten ("&amp;FIXED(-H7,2)&amp;" €) = Gesamteinkommen ("&amp;FIXED(H5,2)&amp;" €)")</f>
        <v>Daten fehlen!</v>
      </c>
      <c r="U16" s="895" t="str">
        <f>IF(OR(U7="",U5=""),"Daten fehlen!","Lebenshaltungskosten ("&amp;FIXED(-U7,2)&amp;" €) = Gesamteinkommen ("&amp;FIXED(U5,2)&amp;" €)")</f>
        <v>Lebenshaltungskosten (25 400,00 €) = Gesamteinkommen (26 014,99 €)</v>
      </c>
      <c r="V16" s="3"/>
      <c r="W16" s="3"/>
      <c r="X16" s="3"/>
      <c r="Y16" s="3"/>
      <c r="Z16" s="3"/>
      <c r="AA16" s="3"/>
    </row>
    <row r="17" spans="1:27" ht="12.75" customHeight="1" x14ac:dyDescent="0.2">
      <c r="A17" s="873"/>
      <c r="B17" s="131"/>
      <c r="C17" s="36"/>
      <c r="D17" s="36"/>
      <c r="E17" s="859"/>
      <c r="F17" s="1037"/>
      <c r="G17" s="1037"/>
      <c r="H17" s="1037"/>
      <c r="I17" s="1037"/>
      <c r="J17" s="1037"/>
      <c r="K17" s="1037"/>
      <c r="L17" s="1037"/>
      <c r="M17" s="1037"/>
      <c r="N17" s="139"/>
      <c r="O17" s="963"/>
      <c r="P17" s="963"/>
      <c r="Q17" s="963"/>
      <c r="R17" s="1061"/>
      <c r="S17" s="972" t="str">
        <f>IF(OR(H7="",H5=""),"Daten fehlen!","Lebenshaltungskosten ("&amp;FIXED(-H7,2)&amp;" €) &lt; Gesamteinkommen ("&amp;FIXED(H5,2)&amp;" €)")</f>
        <v>Daten fehlen!</v>
      </c>
      <c r="U17" s="895" t="str">
        <f>IF(OR(U7="",U5=""),"Daten fehlen!","Lebenshaltungskosten ("&amp;FIXED(-U7,2)&amp;" €) &lt; Gesamteinkommen ("&amp;FIXED(U5,2)&amp;" €)")</f>
        <v>Lebenshaltungskosten (25 400,00 €) &lt; Gesamteinkommen (26 014,99 €)</v>
      </c>
      <c r="V17" s="140"/>
      <c r="W17" s="3"/>
      <c r="X17" s="3"/>
      <c r="Y17" s="3"/>
      <c r="Z17" s="3"/>
      <c r="AA17" s="3"/>
    </row>
    <row r="18" spans="1:27" ht="12.75" customHeight="1" x14ac:dyDescent="0.2">
      <c r="A18" s="873"/>
      <c r="B18" s="131"/>
      <c r="C18" s="36"/>
      <c r="D18" s="36"/>
      <c r="E18" s="859"/>
      <c r="F18" s="1037"/>
      <c r="G18" s="1037"/>
      <c r="H18" s="1037"/>
      <c r="I18" s="1037"/>
      <c r="J18" s="1037"/>
      <c r="K18" s="1037"/>
      <c r="L18" s="1037"/>
      <c r="M18" s="1037"/>
      <c r="N18" s="139"/>
      <c r="O18" s="963"/>
      <c r="P18" s="963"/>
      <c r="Q18" s="963"/>
      <c r="R18" s="3"/>
      <c r="S18" s="895"/>
      <c r="T18" s="140"/>
      <c r="U18" s="3"/>
      <c r="V18" s="140"/>
      <c r="W18" s="3"/>
      <c r="X18" s="3"/>
      <c r="Y18" s="3"/>
      <c r="Z18" s="3"/>
      <c r="AA18" s="3"/>
    </row>
    <row r="19" spans="1:27" ht="12.75" customHeight="1" x14ac:dyDescent="0.2">
      <c r="A19" s="873"/>
      <c r="B19" s="131"/>
      <c r="C19" s="36"/>
      <c r="D19" s="36"/>
      <c r="E19" s="142"/>
      <c r="F19" s="1033" t="str">
        <f>IF(OR(H7="",H5=""),"Daten fehlen!","Die Lebenshaltungskosten können zwar gerade noch bestritten werden. Aber für Kapitaldienst oder gar für Rücklagenbildung bleiben keine Reserven mehr.")</f>
        <v>Daten fehlen!</v>
      </c>
      <c r="G19" s="1033"/>
      <c r="H19" s="1033"/>
      <c r="I19" s="1033"/>
      <c r="J19" s="1033"/>
      <c r="K19" s="1033"/>
      <c r="L19" s="1033"/>
      <c r="M19" s="1033"/>
      <c r="N19" s="139"/>
      <c r="O19" s="963"/>
      <c r="P19" s="963"/>
      <c r="Q19" s="963"/>
      <c r="R19" s="3"/>
      <c r="S19" s="967" t="str">
        <f>IF(E16="","",E16)</f>
        <v/>
      </c>
      <c r="T19" s="3"/>
      <c r="U19" s="973" t="str">
        <f>IF(U5&gt;-U7,"x","")</f>
        <v>x</v>
      </c>
      <c r="V19" s="3"/>
      <c r="W19" s="3"/>
      <c r="X19" s="3"/>
      <c r="Y19" s="3"/>
      <c r="Z19" s="3"/>
      <c r="AA19" s="3"/>
    </row>
    <row r="20" spans="1:27" ht="12.75" customHeight="1" x14ac:dyDescent="0.2">
      <c r="A20" s="873"/>
      <c r="B20" s="131"/>
      <c r="C20" s="36"/>
      <c r="D20" s="36"/>
      <c r="E20" s="859"/>
      <c r="F20" s="1033"/>
      <c r="G20" s="1033"/>
      <c r="H20" s="1033"/>
      <c r="I20" s="1033"/>
      <c r="J20" s="1033"/>
      <c r="K20" s="1033"/>
      <c r="L20" s="1033"/>
      <c r="M20" s="1033"/>
      <c r="N20" s="139"/>
      <c r="O20" s="963"/>
      <c r="P20" s="963"/>
      <c r="Q20" s="963"/>
      <c r="R20" s="3"/>
      <c r="S20" s="967" t="str">
        <f>IF(E19="","",E19)</f>
        <v/>
      </c>
      <c r="T20" s="137"/>
      <c r="U20" s="973" t="str">
        <f>IF(U5=-U7,"x","")</f>
        <v/>
      </c>
      <c r="V20" s="137"/>
      <c r="W20" s="3"/>
      <c r="X20" s="3"/>
      <c r="Y20" s="3"/>
      <c r="Z20" s="3"/>
      <c r="AA20" s="3"/>
    </row>
    <row r="21" spans="1:27" ht="12.75" customHeight="1" x14ac:dyDescent="0.2">
      <c r="A21" s="873"/>
      <c r="B21" s="131"/>
      <c r="C21" s="36"/>
      <c r="D21" s="36"/>
      <c r="E21" s="142"/>
      <c r="F21" s="1038" t="str">
        <f>IF(OR(H7="",H5=""),"Daten fehlen!","Es können nicht einmal die Lebenshaltungskosten abgedeckt werden. Folglich wird die rechtzeitige Bezahlung des Kapitaldienstes problematisch werden. Das wiederum kann den Betrieb in Existenzgefahr bringen!")</f>
        <v>Daten fehlen!</v>
      </c>
      <c r="G21" s="1038"/>
      <c r="H21" s="1038"/>
      <c r="I21" s="1038"/>
      <c r="J21" s="1038"/>
      <c r="K21" s="1038"/>
      <c r="L21" s="1038"/>
      <c r="M21" s="1038"/>
      <c r="N21" s="139"/>
      <c r="O21" s="963"/>
      <c r="P21" s="963"/>
      <c r="Q21" s="963"/>
      <c r="R21" s="3"/>
      <c r="S21" s="967" t="str">
        <f>IF(E21="","",E21)</f>
        <v/>
      </c>
      <c r="T21" s="137"/>
      <c r="U21" s="973" t="str">
        <f>IF(U5&lt;-U7,"x","")</f>
        <v/>
      </c>
      <c r="V21" s="137"/>
      <c r="W21" s="3"/>
      <c r="X21" s="3"/>
      <c r="Y21" s="3"/>
      <c r="Z21" s="3"/>
      <c r="AA21" s="3"/>
    </row>
    <row r="22" spans="1:27" ht="12.75" customHeight="1" x14ac:dyDescent="0.2">
      <c r="A22" s="873"/>
      <c r="B22" s="131"/>
      <c r="C22" s="36"/>
      <c r="D22" s="36"/>
      <c r="E22" s="859"/>
      <c r="F22" s="1038"/>
      <c r="G22" s="1038"/>
      <c r="H22" s="1038"/>
      <c r="I22" s="1038"/>
      <c r="J22" s="1038"/>
      <c r="K22" s="1038"/>
      <c r="L22" s="1038"/>
      <c r="M22" s="1038"/>
      <c r="N22" s="139"/>
      <c r="O22" s="963"/>
      <c r="P22" s="963"/>
      <c r="Q22" s="963"/>
      <c r="R22" s="3"/>
      <c r="S22" s="895"/>
      <c r="T22" s="3"/>
      <c r="U22" s="3"/>
      <c r="V22" s="3"/>
      <c r="W22" s="3"/>
      <c r="X22" s="3"/>
      <c r="Y22" s="3"/>
      <c r="Z22" s="3"/>
      <c r="AA22" s="3"/>
    </row>
    <row r="23" spans="1:27" ht="12.75" customHeight="1" x14ac:dyDescent="0.2">
      <c r="A23" s="873"/>
      <c r="B23" s="131"/>
      <c r="C23" s="36"/>
      <c r="D23" s="36"/>
      <c r="E23" s="859"/>
      <c r="F23" s="1038"/>
      <c r="G23" s="1038"/>
      <c r="H23" s="1038"/>
      <c r="I23" s="1038"/>
      <c r="J23" s="1038"/>
      <c r="K23" s="1038"/>
      <c r="L23" s="1038"/>
      <c r="M23" s="1038"/>
      <c r="N23" s="139"/>
      <c r="O23" s="963"/>
      <c r="P23" s="963"/>
      <c r="Q23" s="963"/>
      <c r="R23" s="3"/>
      <c r="S23" s="895"/>
      <c r="T23" s="3"/>
      <c r="U23" s="3"/>
      <c r="V23" s="140"/>
      <c r="W23" s="3"/>
      <c r="X23" s="3"/>
      <c r="Y23" s="3"/>
      <c r="Z23" s="3"/>
      <c r="AA23" s="3"/>
    </row>
    <row r="24" spans="1:27" ht="12.75" customHeight="1" x14ac:dyDescent="0.2">
      <c r="A24" s="873"/>
      <c r="B24" s="131"/>
      <c r="C24" s="36"/>
      <c r="D24" s="36"/>
      <c r="E24" s="859"/>
      <c r="F24" s="860"/>
      <c r="G24" s="860"/>
      <c r="H24" s="860"/>
      <c r="I24" s="860"/>
      <c r="J24" s="860"/>
      <c r="K24" s="860"/>
      <c r="L24" s="860"/>
      <c r="M24" s="860"/>
      <c r="N24" s="139"/>
      <c r="O24" s="963"/>
      <c r="P24" s="963"/>
      <c r="Q24" s="963"/>
      <c r="R24" s="1061" t="s">
        <v>114</v>
      </c>
      <c r="S24" s="965" t="s">
        <v>672</v>
      </c>
      <c r="T24" s="3"/>
      <c r="U24" s="966" t="s">
        <v>673</v>
      </c>
      <c r="V24" s="140"/>
      <c r="W24" s="3"/>
      <c r="X24" s="3"/>
      <c r="Y24" s="3"/>
      <c r="Z24" s="3"/>
      <c r="AA24" s="3"/>
    </row>
    <row r="25" spans="1:27" ht="12.75" customHeight="1" x14ac:dyDescent="0.2">
      <c r="A25" s="873"/>
      <c r="B25" s="131"/>
      <c r="C25" s="36"/>
      <c r="D25" s="36"/>
      <c r="E25" s="1062"/>
      <c r="F25" s="1063"/>
      <c r="G25" s="1063"/>
      <c r="H25" s="1063"/>
      <c r="I25" s="1063"/>
      <c r="J25" s="1063"/>
      <c r="K25" s="1063"/>
      <c r="L25" s="1063"/>
      <c r="M25" s="1064"/>
      <c r="N25" s="139"/>
      <c r="O25" s="136" t="str">
        <f>IF(S25="","",IF(U25=S25,Q25,0))</f>
        <v/>
      </c>
      <c r="P25" s="3" t="s">
        <v>108</v>
      </c>
      <c r="Q25" s="963">
        <v>1</v>
      </c>
      <c r="R25" s="1061"/>
      <c r="S25" s="970" t="str">
        <f>IF(E25="","",E25)</f>
        <v/>
      </c>
      <c r="U25" s="974" t="str">
        <f>IF(U9&gt;-U11,U26,IF(U9&lt;-U11,U27,IF(U9=-U11,U28,"")))</f>
        <v>Kapitaldienst (2 600,00 €) &gt; Kapitaldienstgrenze (-1 587,01 €)</v>
      </c>
      <c r="V25" s="3"/>
      <c r="W25" s="3"/>
      <c r="X25" s="3"/>
      <c r="Y25" s="3"/>
      <c r="Z25" s="3"/>
      <c r="AA25" s="3"/>
    </row>
    <row r="26" spans="1:27" ht="12.75" customHeight="1" x14ac:dyDescent="0.2">
      <c r="A26" s="873"/>
      <c r="B26" s="131"/>
      <c r="C26" s="36"/>
      <c r="D26" s="36"/>
      <c r="E26" s="858" t="s">
        <v>531</v>
      </c>
      <c r="F26" s="220"/>
      <c r="G26" s="220"/>
      <c r="H26" s="220"/>
      <c r="I26" s="220"/>
      <c r="J26" s="220"/>
      <c r="K26" s="220"/>
      <c r="L26" s="220"/>
      <c r="M26" s="220"/>
      <c r="N26" s="139"/>
      <c r="O26" s="150"/>
      <c r="P26" s="3"/>
      <c r="Q26" s="3"/>
      <c r="R26" s="1061"/>
      <c r="S26" s="972" t="str">
        <f>IF(OR(H11="",H9=""),"Daten fehlen!","Kapitaldienst ("&amp;FIXED(-H11,2)&amp;" €) &lt; Kapitaldienstgrenze ("&amp;FIXED(H9,2)&amp;" €)")</f>
        <v>Daten fehlen!</v>
      </c>
      <c r="U26" s="895" t="str">
        <f>IF(OR(U11="",U9=""),"Daten fehlen!","Kapitaldienst ("&amp;FIXED(-U11,2)&amp;" €) &lt; Kapitaldienstgrenze ("&amp;FIXED(U9,2)&amp;" €)")</f>
        <v>Kapitaldienst (2 600,00 €) &lt; Kapitaldienstgrenze (-1 587,01 €)</v>
      </c>
      <c r="V26" s="140"/>
      <c r="W26" s="3"/>
      <c r="X26" s="3"/>
      <c r="Y26" s="3"/>
      <c r="Z26" s="3"/>
      <c r="AA26" s="3"/>
    </row>
    <row r="27" spans="1:27" ht="12.75" customHeight="1" x14ac:dyDescent="0.2">
      <c r="A27" s="873"/>
      <c r="B27" s="131"/>
      <c r="C27" s="36"/>
      <c r="D27" s="36"/>
      <c r="E27" s="142"/>
      <c r="F27" s="1033" t="str">
        <f>IF(OR(H11="",H9=""),"Daten fehlen!","Der Vergleich dieser Werte bestätigt die oben getroffenen Aussagen. Der Kapitaldienst kann zwar abgeleistet werden. Für die Bildung von Rücklagen bzw. für eine privaten Vermögensbildung verbleiben jedoch keinerlei Reserven mehr.")</f>
        <v>Daten fehlen!</v>
      </c>
      <c r="G27" s="1033"/>
      <c r="H27" s="1033"/>
      <c r="I27" s="1033"/>
      <c r="J27" s="1033"/>
      <c r="K27" s="1033"/>
      <c r="L27" s="1033"/>
      <c r="M27" s="1033"/>
      <c r="N27" s="139"/>
      <c r="O27" s="136" t="str">
        <f>IF(AND(S30="",S31="",S32=""),"",IF(AND(S30=U30,S31=U31,S32=U32),Q27,0))</f>
        <v/>
      </c>
      <c r="P27" s="3" t="s">
        <v>108</v>
      </c>
      <c r="Q27" s="963">
        <v>1</v>
      </c>
      <c r="R27" s="1061"/>
      <c r="S27" s="972" t="str">
        <f>IF(OR(H11="",H9=""),"Daten fehlen!","Kapitaldienst ("&amp;FIXED(-H11,2)&amp;" €) &gt; Kapitaldienstgrenze ("&amp;FIXED(H9,2)&amp;" €)")</f>
        <v>Daten fehlen!</v>
      </c>
      <c r="U27" s="895" t="str">
        <f>IF(OR(U11="",U9=""),"Daten fehlen!","Kapitaldienst ("&amp;FIXED(-U11,2)&amp;" €) &gt; Kapitaldienstgrenze ("&amp;FIXED(U9,2)&amp;" €)")</f>
        <v>Kapitaldienst (2 600,00 €) &gt; Kapitaldienstgrenze (-1 587,01 €)</v>
      </c>
      <c r="V27" s="3"/>
      <c r="W27" s="3"/>
      <c r="X27" s="3"/>
      <c r="Y27" s="3"/>
      <c r="Z27" s="3"/>
      <c r="AA27" s="3"/>
    </row>
    <row r="28" spans="1:27" ht="12.75" customHeight="1" x14ac:dyDescent="0.2">
      <c r="A28" s="873"/>
      <c r="B28" s="131"/>
      <c r="C28" s="36"/>
      <c r="D28" s="36"/>
      <c r="E28" s="859"/>
      <c r="F28" s="1033"/>
      <c r="G28" s="1033"/>
      <c r="H28" s="1033"/>
      <c r="I28" s="1033"/>
      <c r="J28" s="1033"/>
      <c r="K28" s="1033"/>
      <c r="L28" s="1033"/>
      <c r="M28" s="1033"/>
      <c r="N28" s="139"/>
      <c r="O28" s="963"/>
      <c r="P28" s="963"/>
      <c r="Q28" s="963"/>
      <c r="R28" s="1061"/>
      <c r="S28" s="972" t="str">
        <f>IF(OR(H11="",H9=""),"Daten fehlen!","Kapitaldienst ("&amp;FIXED(-H11,2)&amp;" €) = Kapitaldienstgrenze ("&amp;FIXED(H9,2)&amp;" €)")</f>
        <v>Daten fehlen!</v>
      </c>
      <c r="U28" s="895" t="str">
        <f>IF(OR(U11="",U9=""),"Daten fehlen!","Kapitaldienst ("&amp;FIXED(-U11,2)&amp;" €) = Kapitaldienstgrenze ("&amp;FIXED(U9,2)&amp;" €)")</f>
        <v>Kapitaldienst (2 600,00 €) = Kapitaldienstgrenze (-1 587,01 €)</v>
      </c>
      <c r="V28" s="3"/>
      <c r="W28" s="3"/>
      <c r="X28" s="3"/>
      <c r="Y28" s="3"/>
      <c r="Z28" s="3"/>
      <c r="AA28" s="3"/>
    </row>
    <row r="29" spans="1:27" ht="12.75" customHeight="1" x14ac:dyDescent="0.2">
      <c r="A29" s="873"/>
      <c r="B29" s="131"/>
      <c r="C29" s="36"/>
      <c r="D29" s="36"/>
      <c r="E29" s="859"/>
      <c r="F29" s="1033"/>
      <c r="G29" s="1033"/>
      <c r="H29" s="1033"/>
      <c r="I29" s="1033"/>
      <c r="J29" s="1033"/>
      <c r="K29" s="1033"/>
      <c r="L29" s="1033"/>
      <c r="M29" s="1033"/>
      <c r="N29" s="139"/>
      <c r="O29" s="963"/>
      <c r="P29" s="963"/>
      <c r="Q29" s="963"/>
      <c r="R29" s="3"/>
      <c r="S29" s="895"/>
      <c r="T29" s="3"/>
      <c r="U29" s="3"/>
      <c r="V29" s="140"/>
      <c r="W29" s="3"/>
      <c r="X29" s="3"/>
      <c r="Y29" s="3"/>
      <c r="Z29" s="3"/>
      <c r="AA29" s="3"/>
    </row>
    <row r="30" spans="1:27" ht="12.75" customHeight="1" x14ac:dyDescent="0.2">
      <c r="A30" s="873"/>
      <c r="B30" s="131"/>
      <c r="C30" s="36"/>
      <c r="D30" s="36"/>
      <c r="E30" s="142"/>
      <c r="F30" s="1033" t="str">
        <f>IF(OR(H11="",H9=""),"Daten fehlen!","Der Vergleich dieser Werte bestätigt die oben getroffenen Aussagen. Der Kapitaldienst kann ohne große Anstrengungen abgeleistet werden. Die verbleibenden Reserven können zur Bildung von Rücklagen und/oder zur privaten Vermögensbildung verwendet werden.")</f>
        <v>Daten fehlen!</v>
      </c>
      <c r="G30" s="1033"/>
      <c r="H30" s="1033"/>
      <c r="I30" s="1033"/>
      <c r="J30" s="1033"/>
      <c r="K30" s="1033"/>
      <c r="L30" s="1033"/>
      <c r="M30" s="1033"/>
      <c r="N30" s="139"/>
      <c r="O30" s="963"/>
      <c r="P30" s="963"/>
      <c r="Q30" s="963"/>
      <c r="R30" s="3"/>
      <c r="S30" s="967" t="str">
        <f>IF(E27="","",E27)</f>
        <v/>
      </c>
      <c r="T30" s="3"/>
      <c r="U30" s="973" t="str">
        <f>IF(U9=-U11,"x","")</f>
        <v/>
      </c>
      <c r="V30" s="140"/>
      <c r="W30" s="3"/>
      <c r="X30" s="3"/>
      <c r="Y30" s="3"/>
      <c r="Z30" s="3"/>
      <c r="AA30" s="3"/>
    </row>
    <row r="31" spans="1:27" ht="12.75" customHeight="1" x14ac:dyDescent="0.2">
      <c r="A31" s="873"/>
      <c r="B31" s="131"/>
      <c r="C31" s="36"/>
      <c r="D31" s="36"/>
      <c r="E31" s="859"/>
      <c r="F31" s="1033"/>
      <c r="G31" s="1033"/>
      <c r="H31" s="1033"/>
      <c r="I31" s="1033"/>
      <c r="J31" s="1033"/>
      <c r="K31" s="1033"/>
      <c r="L31" s="1033"/>
      <c r="M31" s="1033"/>
      <c r="N31" s="139"/>
      <c r="O31" s="963"/>
      <c r="P31" s="963"/>
      <c r="Q31" s="963"/>
      <c r="R31" s="3"/>
      <c r="S31" s="967" t="str">
        <f>IF(E30="","",E30)</f>
        <v/>
      </c>
      <c r="T31" s="137"/>
      <c r="U31" s="973" t="str">
        <f>IF(U9&gt;-U11,"x","")</f>
        <v/>
      </c>
      <c r="V31" s="140"/>
      <c r="W31" s="3"/>
      <c r="X31" s="3"/>
      <c r="Y31" s="3"/>
      <c r="Z31" s="3"/>
      <c r="AA31" s="3"/>
    </row>
    <row r="32" spans="1:27" ht="12.75" customHeight="1" x14ac:dyDescent="0.2">
      <c r="A32" s="873"/>
      <c r="B32" s="131"/>
      <c r="C32" s="36"/>
      <c r="D32" s="36"/>
      <c r="E32" s="859"/>
      <c r="F32" s="1033"/>
      <c r="G32" s="1033"/>
      <c r="H32" s="1033"/>
      <c r="I32" s="1033"/>
      <c r="J32" s="1033"/>
      <c r="K32" s="1033"/>
      <c r="L32" s="1033"/>
      <c r="M32" s="1033"/>
      <c r="N32" s="139"/>
      <c r="O32" s="963"/>
      <c r="P32" s="963"/>
      <c r="Q32" s="963"/>
      <c r="R32" s="3"/>
      <c r="S32" s="967" t="str">
        <f>IF(E33="","",E33)</f>
        <v/>
      </c>
      <c r="T32" s="137"/>
      <c r="U32" s="973" t="str">
        <f>IF(U9&lt;-U11,"x","")</f>
        <v>x</v>
      </c>
      <c r="V32" s="140"/>
      <c r="W32" s="3"/>
      <c r="X32" s="3"/>
      <c r="Y32" s="3"/>
      <c r="Z32" s="3"/>
      <c r="AA32" s="3"/>
    </row>
    <row r="33" spans="1:27" ht="12.75" customHeight="1" x14ac:dyDescent="0.2">
      <c r="A33" s="873"/>
      <c r="B33" s="131"/>
      <c r="C33" s="36"/>
      <c r="D33" s="36"/>
      <c r="E33" s="142"/>
      <c r="F33" s="1033" t="str">
        <f>IF(OR(H11="",H9=""),"Daten fehlen!","Der Vergleich dieser Werte bestätigt die oben getroffenen Aussagen. Weder Kapitaldienst noch Rücklagen- bzw. private Vermögensbildung sind möglich.")</f>
        <v>Daten fehlen!</v>
      </c>
      <c r="G33" s="1033"/>
      <c r="H33" s="1033"/>
      <c r="I33" s="1033"/>
      <c r="J33" s="1033"/>
      <c r="K33" s="1033"/>
      <c r="L33" s="1033"/>
      <c r="M33" s="1033"/>
      <c r="N33" s="139"/>
      <c r="O33" s="963"/>
      <c r="P33" s="963"/>
      <c r="Q33" s="963"/>
      <c r="R33" s="3"/>
      <c r="S33" s="895"/>
      <c r="T33" s="3"/>
      <c r="U33" s="3"/>
      <c r="V33" s="140"/>
      <c r="W33" s="3"/>
      <c r="X33" s="3"/>
      <c r="Y33" s="3"/>
      <c r="Z33" s="3"/>
      <c r="AA33" s="3"/>
    </row>
    <row r="34" spans="1:27" ht="12.75" customHeight="1" x14ac:dyDescent="0.2">
      <c r="A34" s="873"/>
      <c r="B34" s="131"/>
      <c r="C34" s="36"/>
      <c r="D34" s="36"/>
      <c r="E34" s="859"/>
      <c r="F34" s="1033"/>
      <c r="G34" s="1033"/>
      <c r="H34" s="1033"/>
      <c r="I34" s="1033"/>
      <c r="J34" s="1033"/>
      <c r="K34" s="1033"/>
      <c r="L34" s="1033"/>
      <c r="M34" s="1033"/>
      <c r="N34" s="139"/>
      <c r="O34" s="963"/>
      <c r="P34" s="963"/>
      <c r="Q34" s="963"/>
      <c r="R34" s="3"/>
      <c r="S34" s="895"/>
      <c r="T34" s="3"/>
      <c r="U34" s="3"/>
      <c r="V34" s="140"/>
      <c r="W34" s="3"/>
      <c r="X34" s="3"/>
      <c r="Y34" s="3"/>
      <c r="Z34" s="3"/>
      <c r="AA34" s="3"/>
    </row>
    <row r="35" spans="1:27" x14ac:dyDescent="0.2">
      <c r="A35" s="873"/>
      <c r="B35" s="131"/>
      <c r="C35" s="36"/>
      <c r="D35" s="36"/>
      <c r="E35" s="36"/>
      <c r="F35" s="36"/>
      <c r="G35" s="36"/>
      <c r="H35" s="36"/>
      <c r="I35" s="36"/>
      <c r="J35" s="36"/>
      <c r="K35" s="36"/>
      <c r="L35" s="36"/>
      <c r="M35" s="36"/>
      <c r="N35" s="36"/>
      <c r="O35" s="132"/>
      <c r="P35" s="3"/>
      <c r="Q35" s="963"/>
      <c r="R35" s="3"/>
      <c r="S35" s="895"/>
      <c r="T35" s="3"/>
      <c r="U35" s="3"/>
      <c r="V35" s="3"/>
      <c r="W35" s="3"/>
      <c r="X35" s="3"/>
      <c r="Y35" s="3"/>
      <c r="Z35" s="3"/>
      <c r="AA35" s="3"/>
    </row>
    <row r="36" spans="1:27" x14ac:dyDescent="0.2">
      <c r="A36" s="873"/>
      <c r="B36" s="131"/>
      <c r="C36" s="92" t="s">
        <v>115</v>
      </c>
      <c r="D36" s="92" t="s">
        <v>116</v>
      </c>
      <c r="E36" s="36"/>
      <c r="F36" s="36"/>
      <c r="G36" s="36"/>
      <c r="H36" s="36"/>
      <c r="I36" s="36"/>
      <c r="J36" s="36"/>
      <c r="K36" s="36"/>
      <c r="L36" s="36"/>
      <c r="M36" s="36"/>
      <c r="N36" s="36"/>
      <c r="O36" s="132"/>
      <c r="P36" s="3"/>
      <c r="Q36" s="963"/>
      <c r="R36" s="3"/>
      <c r="V36" s="3"/>
      <c r="W36" s="3"/>
      <c r="X36" s="3"/>
      <c r="Y36" s="3"/>
      <c r="Z36" s="3"/>
      <c r="AA36" s="3"/>
    </row>
    <row r="37" spans="1:27" ht="12.75" customHeight="1" x14ac:dyDescent="0.2">
      <c r="A37" s="873"/>
      <c r="B37" s="131"/>
      <c r="C37" s="36"/>
      <c r="D37" s="36" t="s">
        <v>117</v>
      </c>
      <c r="E37" s="36" t="s">
        <v>118</v>
      </c>
      <c r="F37" s="36"/>
      <c r="G37" s="36"/>
      <c r="H37" s="36"/>
      <c r="I37" s="36"/>
      <c r="J37" s="36"/>
      <c r="K37" s="36"/>
      <c r="L37" s="36"/>
      <c r="M37" s="36"/>
      <c r="N37" s="36"/>
      <c r="O37" s="132"/>
      <c r="P37" s="3"/>
      <c r="Q37" s="963"/>
      <c r="R37" s="1060" t="s">
        <v>126</v>
      </c>
      <c r="S37" s="965" t="s">
        <v>672</v>
      </c>
      <c r="T37" s="3"/>
      <c r="U37" s="966" t="s">
        <v>673</v>
      </c>
      <c r="V37" s="3"/>
      <c r="W37" s="3"/>
      <c r="X37" s="3"/>
      <c r="Y37" s="3"/>
      <c r="Z37" s="3"/>
      <c r="AA37" s="3"/>
    </row>
    <row r="38" spans="1:27" x14ac:dyDescent="0.2">
      <c r="A38" s="873"/>
      <c r="B38" s="131"/>
      <c r="C38" s="36"/>
      <c r="D38" s="36"/>
      <c r="E38" s="142"/>
      <c r="F38" s="36" t="s">
        <v>120</v>
      </c>
      <c r="G38" s="36"/>
      <c r="H38" s="36"/>
      <c r="I38" s="36"/>
      <c r="J38" s="36"/>
      <c r="K38" s="36"/>
      <c r="L38" s="36"/>
      <c r="M38" s="36"/>
      <c r="N38" s="36"/>
      <c r="O38" s="136" t="str">
        <f>IF(AND(S38="",S40=""),"",IF(AND(S38=U38,S40=U40),Q38,0))</f>
        <v/>
      </c>
      <c r="P38" s="3" t="s">
        <v>108</v>
      </c>
      <c r="Q38" s="963">
        <v>1</v>
      </c>
      <c r="R38" s="1060"/>
      <c r="S38" s="976" t="str">
        <f>IF(E38="","",E38)</f>
        <v/>
      </c>
      <c r="U38" s="973" t="str">
        <f>IF($U$46&gt;=0,"x","")</f>
        <v/>
      </c>
      <c r="V38" s="3"/>
      <c r="W38" s="3"/>
      <c r="X38" s="3"/>
      <c r="Y38" s="3"/>
      <c r="Z38" s="3"/>
      <c r="AA38" s="3"/>
    </row>
    <row r="39" spans="1:27" ht="3.95" customHeight="1" x14ac:dyDescent="0.2">
      <c r="A39" s="873"/>
      <c r="B39" s="131"/>
      <c r="C39" s="36"/>
      <c r="D39" s="36"/>
      <c r="E39" s="36"/>
      <c r="F39" s="36"/>
      <c r="G39" s="36"/>
      <c r="H39" s="36"/>
      <c r="I39" s="36"/>
      <c r="J39" s="36"/>
      <c r="K39" s="36"/>
      <c r="L39" s="36"/>
      <c r="M39" s="36"/>
      <c r="N39" s="36"/>
      <c r="O39" s="132"/>
      <c r="P39" s="3"/>
      <c r="Q39" s="963"/>
      <c r="R39" s="1060"/>
      <c r="S39" s="895"/>
      <c r="T39" s="140"/>
      <c r="U39" s="895"/>
      <c r="V39" s="3"/>
      <c r="W39" s="3"/>
      <c r="X39" s="3"/>
      <c r="Y39" s="3"/>
      <c r="Z39" s="3"/>
      <c r="AA39" s="3"/>
    </row>
    <row r="40" spans="1:27" x14ac:dyDescent="0.2">
      <c r="A40" s="873"/>
      <c r="B40" s="131"/>
      <c r="C40" s="36"/>
      <c r="D40" s="36"/>
      <c r="E40" s="142"/>
      <c r="F40" s="36" t="s">
        <v>121</v>
      </c>
      <c r="G40" s="36"/>
      <c r="H40" s="36"/>
      <c r="I40" s="36"/>
      <c r="J40" s="36"/>
      <c r="K40" s="36"/>
      <c r="L40" s="36"/>
      <c r="M40" s="36"/>
      <c r="N40" s="36"/>
      <c r="O40" s="132"/>
      <c r="P40" s="3"/>
      <c r="Q40" s="963"/>
      <c r="R40" s="1060"/>
      <c r="S40" s="976" t="str">
        <f>IF(E40="","",E40)</f>
        <v/>
      </c>
      <c r="T40" s="140"/>
      <c r="U40" s="973" t="str">
        <f>IF($U$46&lt;0,"x","")</f>
        <v>x</v>
      </c>
      <c r="V40" s="3"/>
      <c r="W40" s="3"/>
      <c r="X40" s="3"/>
      <c r="Y40" s="3"/>
      <c r="Z40" s="3"/>
      <c r="AA40" s="3"/>
    </row>
    <row r="41" spans="1:27" ht="8.1" customHeight="1" x14ac:dyDescent="0.2">
      <c r="A41" s="873"/>
      <c r="B41" s="131"/>
      <c r="C41" s="36"/>
      <c r="D41" s="36"/>
      <c r="E41" s="36"/>
      <c r="F41" s="36"/>
      <c r="G41" s="36"/>
      <c r="H41" s="36"/>
      <c r="I41" s="36"/>
      <c r="J41" s="36"/>
      <c r="K41" s="36"/>
      <c r="L41" s="36"/>
      <c r="M41" s="36"/>
      <c r="N41" s="36"/>
      <c r="O41" s="132"/>
      <c r="P41" s="3"/>
      <c r="Q41" s="963"/>
      <c r="R41" s="1060"/>
      <c r="S41" s="895"/>
      <c r="T41" s="3"/>
      <c r="U41" s="3"/>
      <c r="V41" s="3"/>
      <c r="W41" s="3"/>
      <c r="X41" s="3"/>
      <c r="Y41" s="3"/>
      <c r="Z41" s="3"/>
      <c r="AA41" s="3"/>
    </row>
    <row r="42" spans="1:27" x14ac:dyDescent="0.2">
      <c r="A42" s="873"/>
      <c r="B42" s="131"/>
      <c r="C42" s="36"/>
      <c r="D42" s="36"/>
      <c r="E42" s="36" t="s">
        <v>122</v>
      </c>
      <c r="F42" s="36"/>
      <c r="G42" s="36"/>
      <c r="H42" s="144"/>
      <c r="I42" s="887" t="s">
        <v>534</v>
      </c>
      <c r="J42" s="36"/>
      <c r="K42" s="145"/>
      <c r="L42" s="145"/>
      <c r="M42" s="36"/>
      <c r="N42" s="36"/>
      <c r="O42" s="136" t="str">
        <f>IF(S42="","",IF(U42=S42,Q42,0))</f>
        <v/>
      </c>
      <c r="P42" s="3" t="s">
        <v>108</v>
      </c>
      <c r="Q42" s="963">
        <v>1</v>
      </c>
      <c r="R42" s="1060"/>
      <c r="S42" s="976" t="str">
        <f>IF(H42="","",H42)</f>
        <v/>
      </c>
      <c r="T42" s="3"/>
      <c r="U42" s="977">
        <f>IF(Korrektur!D159="","",Korrektur!D159)</f>
        <v>8147.7404005835033</v>
      </c>
      <c r="V42" s="3"/>
      <c r="W42" s="3"/>
      <c r="X42" s="3"/>
      <c r="Y42" s="3"/>
      <c r="Z42" s="3"/>
      <c r="AA42" s="3"/>
    </row>
    <row r="43" spans="1:27" ht="3.95" customHeight="1" x14ac:dyDescent="0.2">
      <c r="A43" s="873"/>
      <c r="B43" s="131"/>
      <c r="C43" s="36"/>
      <c r="D43" s="36"/>
      <c r="E43" s="36"/>
      <c r="F43" s="36"/>
      <c r="G43" s="36"/>
      <c r="H43" s="36"/>
      <c r="I43" s="151"/>
      <c r="J43" s="36"/>
      <c r="K43" s="145"/>
      <c r="L43" s="145"/>
      <c r="M43" s="36"/>
      <c r="N43" s="36"/>
      <c r="O43" s="132"/>
      <c r="P43" s="3"/>
      <c r="Q43" s="963"/>
      <c r="R43" s="1060"/>
      <c r="T43" s="3"/>
      <c r="U43" s="895"/>
      <c r="V43" s="3"/>
      <c r="W43" s="3"/>
      <c r="X43" s="3"/>
      <c r="Y43" s="3"/>
      <c r="Z43" s="3"/>
      <c r="AA43" s="3"/>
    </row>
    <row r="44" spans="1:27" x14ac:dyDescent="0.2">
      <c r="A44" s="873"/>
      <c r="B44" s="131"/>
      <c r="C44" s="36"/>
      <c r="D44" s="36"/>
      <c r="E44" s="36" t="s">
        <v>123</v>
      </c>
      <c r="F44" s="36"/>
      <c r="G44" s="36"/>
      <c r="H44" s="144"/>
      <c r="I44" s="887" t="s">
        <v>534</v>
      </c>
      <c r="J44" s="36"/>
      <c r="K44" s="888" t="s">
        <v>539</v>
      </c>
      <c r="L44" s="145"/>
      <c r="M44" s="36"/>
      <c r="N44" s="36"/>
      <c r="O44" s="136" t="str">
        <f>IF(S44="","",IF(U44=S44,Q44,0))</f>
        <v/>
      </c>
      <c r="P44" s="3" t="s">
        <v>108</v>
      </c>
      <c r="Q44" s="963">
        <v>1</v>
      </c>
      <c r="R44" s="1060"/>
      <c r="S44" s="976" t="str">
        <f>IF(H44="","",H44)</f>
        <v/>
      </c>
      <c r="T44" s="3"/>
      <c r="U44" s="977">
        <f>IF(Korrektur!D155="","",Korrektur!D155)</f>
        <v>-10646.188073269119</v>
      </c>
      <c r="V44" s="3"/>
      <c r="W44" s="3"/>
      <c r="X44" s="3"/>
      <c r="Y44" s="3"/>
      <c r="Z44" s="3"/>
      <c r="AA44" s="3"/>
    </row>
    <row r="45" spans="1:27" ht="3.95" customHeight="1" x14ac:dyDescent="0.2">
      <c r="A45" s="873"/>
      <c r="B45" s="131"/>
      <c r="C45" s="36"/>
      <c r="D45" s="36"/>
      <c r="E45" s="36"/>
      <c r="F45" s="36"/>
      <c r="G45" s="36"/>
      <c r="H45" s="146"/>
      <c r="I45" s="36"/>
      <c r="J45" s="36"/>
      <c r="K45" s="145"/>
      <c r="L45" s="145"/>
      <c r="M45" s="36"/>
      <c r="N45" s="36"/>
      <c r="O45" s="132"/>
      <c r="P45" s="3"/>
      <c r="Q45" s="963"/>
      <c r="R45" s="1060"/>
      <c r="T45" s="3"/>
      <c r="U45" s="895"/>
      <c r="V45" s="3"/>
      <c r="W45" s="3"/>
      <c r="X45" s="3"/>
      <c r="Y45" s="3"/>
      <c r="Z45" s="3"/>
      <c r="AA45" s="3"/>
    </row>
    <row r="46" spans="1:27" x14ac:dyDescent="0.2">
      <c r="A46" s="873"/>
      <c r="B46" s="131"/>
      <c r="C46" s="36"/>
      <c r="D46" s="36"/>
      <c r="E46" s="147" t="s">
        <v>124</v>
      </c>
      <c r="F46" s="147"/>
      <c r="G46" s="148"/>
      <c r="H46" s="149"/>
      <c r="I46" s="36"/>
      <c r="J46" s="36"/>
      <c r="K46" s="145"/>
      <c r="L46" s="145"/>
      <c r="M46" s="36"/>
      <c r="N46" s="36"/>
      <c r="O46" s="136" t="str">
        <f>IF(S46="","",IF(U46=S46,Q46,0))</f>
        <v/>
      </c>
      <c r="P46" s="3" t="s">
        <v>108</v>
      </c>
      <c r="Q46" s="963">
        <v>1</v>
      </c>
      <c r="R46" s="1060"/>
      <c r="S46" s="976" t="str">
        <f>IF(H46="","",H46)</f>
        <v/>
      </c>
      <c r="T46" s="3"/>
      <c r="U46" s="977">
        <f>IF(Korrektur!D163="","",Korrektur!D163)</f>
        <v>-2498.4476726856155</v>
      </c>
      <c r="V46" s="3"/>
      <c r="W46" s="3"/>
      <c r="X46" s="3"/>
      <c r="Y46" s="3"/>
      <c r="Z46" s="3"/>
      <c r="AA46" s="3"/>
    </row>
    <row r="47" spans="1:27" x14ac:dyDescent="0.2">
      <c r="A47" s="873"/>
      <c r="B47" s="131"/>
      <c r="C47" s="36"/>
      <c r="D47" s="36"/>
      <c r="E47" s="145"/>
      <c r="F47" s="145"/>
      <c r="G47" s="145"/>
      <c r="H47" s="145"/>
      <c r="I47" s="145"/>
      <c r="J47" s="145"/>
      <c r="K47" s="145"/>
      <c r="L47" s="145"/>
      <c r="M47" s="36"/>
      <c r="N47" s="36"/>
      <c r="O47" s="132"/>
      <c r="P47" s="3"/>
      <c r="Q47" s="963"/>
      <c r="R47" s="975"/>
      <c r="S47" s="895"/>
      <c r="T47" s="3"/>
      <c r="U47" s="3"/>
      <c r="V47" s="3"/>
      <c r="W47" s="3"/>
      <c r="X47" s="3"/>
      <c r="Y47" s="3"/>
      <c r="Z47" s="3"/>
      <c r="AA47" s="3"/>
    </row>
    <row r="48" spans="1:27" x14ac:dyDescent="0.2">
      <c r="A48" s="873"/>
      <c r="B48" s="131"/>
      <c r="C48" s="36"/>
      <c r="D48" s="36"/>
      <c r="E48" s="36" t="s">
        <v>125</v>
      </c>
      <c r="F48" s="36"/>
      <c r="G48" s="36"/>
      <c r="H48" s="36"/>
      <c r="I48" s="36"/>
      <c r="J48" s="36"/>
      <c r="K48" s="36"/>
      <c r="L48" s="36"/>
      <c r="M48" s="36"/>
      <c r="N48" s="36"/>
      <c r="O48" s="132"/>
      <c r="P48" s="3"/>
      <c r="Q48" s="963"/>
      <c r="R48" s="975"/>
      <c r="S48" s="895"/>
      <c r="T48" s="3"/>
      <c r="U48" s="3"/>
      <c r="V48" s="3"/>
      <c r="W48" s="3"/>
      <c r="X48" s="3"/>
      <c r="Y48" s="3"/>
      <c r="Z48" s="3"/>
      <c r="AA48" s="3"/>
    </row>
    <row r="49" spans="1:27" ht="12.75" customHeight="1" x14ac:dyDescent="0.2">
      <c r="A49" s="873"/>
      <c r="B49" s="131"/>
      <c r="C49" s="36"/>
      <c r="D49" s="36"/>
      <c r="E49" s="1034"/>
      <c r="F49" s="1035"/>
      <c r="G49" s="1035"/>
      <c r="H49" s="1035"/>
      <c r="I49" s="1035"/>
      <c r="J49" s="1035"/>
      <c r="K49" s="1035"/>
      <c r="L49" s="1035"/>
      <c r="M49" s="1036"/>
      <c r="N49" s="139"/>
      <c r="O49" s="136" t="str">
        <f>IF(S49="","",IF(U49=S49,Q49,0))</f>
        <v/>
      </c>
      <c r="P49" s="3" t="s">
        <v>108</v>
      </c>
      <c r="Q49" s="963">
        <v>1</v>
      </c>
      <c r="R49" s="975"/>
      <c r="S49" s="970" t="str">
        <f>IF(E49="","",E49)</f>
        <v/>
      </c>
      <c r="T49" s="137"/>
      <c r="U49" s="974" t="str">
        <f>IF(U42&gt;-U44,U51,IF(U42=-U44,U50,IF(U42&lt;-U44,U52,"")))</f>
        <v>Kapitalkosten (10 646,19 €) &gt; Leistung der Investition (8 147,74 €)</v>
      </c>
      <c r="V49" s="3"/>
      <c r="W49" s="3"/>
      <c r="X49" s="3"/>
      <c r="Y49" s="3"/>
      <c r="Z49" s="3"/>
      <c r="AA49" s="3"/>
    </row>
    <row r="50" spans="1:27" ht="12.75" customHeight="1" x14ac:dyDescent="0.2">
      <c r="A50" s="873"/>
      <c r="B50" s="131"/>
      <c r="C50" s="36"/>
      <c r="D50" s="36"/>
      <c r="E50" s="858" t="s">
        <v>531</v>
      </c>
      <c r="F50" s="220"/>
      <c r="G50" s="220"/>
      <c r="H50" s="220"/>
      <c r="I50" s="220"/>
      <c r="J50" s="220"/>
      <c r="K50" s="220"/>
      <c r="L50" s="220"/>
      <c r="M50" s="220"/>
      <c r="N50" s="139"/>
      <c r="O50" s="150"/>
      <c r="P50" s="3"/>
      <c r="Q50" s="3"/>
      <c r="R50" s="975"/>
      <c r="S50" s="972" t="str">
        <f>IF(OR(H44="",H42=""),"Daten fehlen!","Kapitalkosten ("&amp;FIXED(-H44,2)&amp;" €) = Leistung der Investition ("&amp;FIXED(H42,2)&amp;" €)")</f>
        <v>Daten fehlen!</v>
      </c>
      <c r="U50" s="895" t="str">
        <f>IF(OR(U44="",U42=""),"Daten fehlen!","Kapitalkosten ("&amp;FIXED(-U44,2)&amp;" €) = Leistung der Investition ("&amp;FIXED(U42,2)&amp;" €)")</f>
        <v>Kapitalkosten (10 646,19 €) = Leistung der Investition (8 147,74 €)</v>
      </c>
      <c r="V50" s="3"/>
      <c r="W50" s="3"/>
      <c r="X50" s="3"/>
      <c r="Y50" s="3"/>
      <c r="Z50" s="3"/>
      <c r="AA50" s="3"/>
    </row>
    <row r="51" spans="1:27" ht="12.75" customHeight="1" x14ac:dyDescent="0.2">
      <c r="A51" s="873"/>
      <c r="B51" s="131"/>
      <c r="C51" s="36"/>
      <c r="D51" s="36"/>
      <c r="E51" s="142"/>
      <c r="F51" s="1033" t="str">
        <f>IF(OR(H44="",H42=""),"Daten fehlen!","Das Projekt ist nicht wirtschaftlich! Die Leistung der Investition ist zwar positiv. Sie kann aber die entstehenden Kosten nicht abdecken!")</f>
        <v>Daten fehlen!</v>
      </c>
      <c r="G51" s="1033"/>
      <c r="H51" s="1033"/>
      <c r="I51" s="1033"/>
      <c r="J51" s="1033"/>
      <c r="K51" s="1033"/>
      <c r="L51" s="1033"/>
      <c r="M51" s="1033"/>
      <c r="N51" s="139"/>
      <c r="O51" s="136" t="str">
        <f>IF(AND(S54="",S55="",S56="",S57=""),"",IF(AND(S54=U54,S55=U55,S56=U56,S57=U57),Q51,0))</f>
        <v/>
      </c>
      <c r="P51" s="3" t="s">
        <v>108</v>
      </c>
      <c r="Q51" s="963">
        <v>1</v>
      </c>
      <c r="R51" s="975"/>
      <c r="S51" s="972" t="str">
        <f>IF(OR(H44="",H42=""),"Daten fehlen!","Kapitalkosten ("&amp;FIXED(-H44,2)&amp;" €) &lt; Leistung der Investition ("&amp;FIXED(H42,2)&amp;" €)")</f>
        <v>Daten fehlen!</v>
      </c>
      <c r="U51" s="895" t="str">
        <f>IF(OR(U44="",U42=""),"Daten fehlen!","Kapitalkosten ("&amp;FIXED(-U44,2)&amp;" €) &lt; Leistung der Investition ("&amp;FIXED(U42,2)&amp;" €)")</f>
        <v>Kapitalkosten (10 646,19 €) &lt; Leistung der Investition (8 147,74 €)</v>
      </c>
      <c r="V51" s="3"/>
      <c r="W51" s="3"/>
      <c r="X51" s="3"/>
      <c r="Y51" s="3"/>
      <c r="Z51" s="3"/>
      <c r="AA51" s="3"/>
    </row>
    <row r="52" spans="1:27" ht="12.75" customHeight="1" x14ac:dyDescent="0.2">
      <c r="A52" s="873"/>
      <c r="B52" s="131"/>
      <c r="C52" s="36"/>
      <c r="D52" s="36"/>
      <c r="E52" s="859"/>
      <c r="F52" s="1033"/>
      <c r="G52" s="1033"/>
      <c r="H52" s="1033"/>
      <c r="I52" s="1033"/>
      <c r="J52" s="1033"/>
      <c r="K52" s="1033"/>
      <c r="L52" s="1033"/>
      <c r="M52" s="1033"/>
      <c r="N52" s="139"/>
      <c r="O52" s="132"/>
      <c r="P52" s="3"/>
      <c r="Q52" s="963"/>
      <c r="R52" s="975"/>
      <c r="S52" s="972" t="str">
        <f>IF(OR(H44="",H42=""),"Daten fehlen!","Kapitalkosten ("&amp;FIXED(-H44,2)&amp;" €) &gt; Leistung der Investition ("&amp;FIXED(H42,2)&amp;" €)")</f>
        <v>Daten fehlen!</v>
      </c>
      <c r="U52" s="895" t="str">
        <f>IF(OR(U44="",U42=""),"Daten fehlen!","Kapitalkosten ("&amp;FIXED(-U44,2)&amp;" €) &gt; Leistung der Investition ("&amp;FIXED(U42,2)&amp;" €)")</f>
        <v>Kapitalkosten (10 646,19 €) &gt; Leistung der Investition (8 147,74 €)</v>
      </c>
      <c r="V52" s="3"/>
      <c r="W52" s="3"/>
      <c r="X52" s="3"/>
      <c r="Y52" s="3"/>
      <c r="Z52" s="3"/>
      <c r="AA52" s="3"/>
    </row>
    <row r="53" spans="1:27" ht="12.75" customHeight="1" x14ac:dyDescent="0.2">
      <c r="A53" s="873"/>
      <c r="B53" s="131"/>
      <c r="C53" s="36"/>
      <c r="D53" s="36"/>
      <c r="E53" s="142"/>
      <c r="F53" s="1033" t="str">
        <f>IF(OR(H44="",H42=""),"Daten fehlen!","Die Leistung der Investition ist gleich hoch wie ihre Kosten. Da die Kosten mit der Annuitätenmethode etwas überbewertet werden, kann das Projekt durchaus als wirtschaftlich eingestuft werden!")</f>
        <v>Daten fehlen!</v>
      </c>
      <c r="G53" s="1033"/>
      <c r="H53" s="1033"/>
      <c r="I53" s="1033"/>
      <c r="J53" s="1033"/>
      <c r="K53" s="1033"/>
      <c r="L53" s="1033"/>
      <c r="M53" s="1033"/>
      <c r="N53" s="139"/>
      <c r="O53" s="132"/>
      <c r="P53" s="3"/>
      <c r="Q53" s="963"/>
      <c r="R53" s="3"/>
      <c r="S53" s="895"/>
      <c r="T53" s="137"/>
      <c r="U53" s="3"/>
      <c r="V53" s="3"/>
      <c r="W53" s="3"/>
      <c r="X53" s="3"/>
      <c r="Y53" s="3"/>
      <c r="Z53" s="3"/>
      <c r="AA53" s="3"/>
    </row>
    <row r="54" spans="1:27" ht="12.75" customHeight="1" x14ac:dyDescent="0.2">
      <c r="A54" s="873"/>
      <c r="B54" s="131"/>
      <c r="C54" s="36"/>
      <c r="D54" s="36"/>
      <c r="E54" s="859"/>
      <c r="F54" s="1033"/>
      <c r="G54" s="1033"/>
      <c r="H54" s="1033"/>
      <c r="I54" s="1033"/>
      <c r="J54" s="1033"/>
      <c r="K54" s="1033"/>
      <c r="L54" s="1033"/>
      <c r="M54" s="1033"/>
      <c r="N54" s="139"/>
      <c r="O54" s="132"/>
      <c r="P54" s="3"/>
      <c r="Q54" s="963"/>
      <c r="R54" s="3"/>
      <c r="S54" s="967" t="str">
        <f>IF(E51="","",E51)</f>
        <v/>
      </c>
      <c r="T54" s="3"/>
      <c r="U54" s="973" t="str">
        <f>IF(AND(U42&gt;=0,U42&lt;-U44),"x","")</f>
        <v>x</v>
      </c>
      <c r="V54" s="3"/>
      <c r="W54" s="3"/>
      <c r="X54" s="3"/>
      <c r="Y54" s="3"/>
      <c r="Z54" s="3"/>
      <c r="AA54" s="3"/>
    </row>
    <row r="55" spans="1:27" ht="12.75" customHeight="1" x14ac:dyDescent="0.2">
      <c r="A55" s="873"/>
      <c r="B55" s="131"/>
      <c r="C55" s="36"/>
      <c r="D55" s="36"/>
      <c r="E55" s="142"/>
      <c r="F55" s="1033" t="str">
        <f>IF(OR(H44="",H42=""),"Daten fehlen!","Das Projekt ist nicht wirtschaftlich! Die Leistung des Projektes ist negativ. Das Einkommen sinkt also nach Umsetzung des Projektes. An die Abdeckung der entstehenden Kosten ist gar nicht zu denken!")</f>
        <v>Daten fehlen!</v>
      </c>
      <c r="G55" s="1033"/>
      <c r="H55" s="1033"/>
      <c r="I55" s="1033"/>
      <c r="J55" s="1033"/>
      <c r="K55" s="1033"/>
      <c r="L55" s="1033"/>
      <c r="M55" s="1033"/>
      <c r="N55" s="139"/>
      <c r="O55" s="132"/>
      <c r="P55" s="3"/>
      <c r="Q55" s="963"/>
      <c r="R55" s="3"/>
      <c r="S55" s="967" t="str">
        <f>IF(E53="","",E53)</f>
        <v/>
      </c>
      <c r="T55" s="137"/>
      <c r="U55" s="973" t="str">
        <f>IF(U42=-U44,"x","")</f>
        <v/>
      </c>
      <c r="V55" s="3"/>
      <c r="W55" s="3"/>
      <c r="X55" s="3"/>
      <c r="Y55" s="3"/>
      <c r="Z55" s="3"/>
      <c r="AA55" s="3"/>
    </row>
    <row r="56" spans="1:27" ht="12.75" customHeight="1" x14ac:dyDescent="0.2">
      <c r="A56" s="873"/>
      <c r="B56" s="131"/>
      <c r="C56" s="36"/>
      <c r="D56" s="36"/>
      <c r="E56" s="859"/>
      <c r="F56" s="1033"/>
      <c r="G56" s="1033"/>
      <c r="H56" s="1033"/>
      <c r="I56" s="1033"/>
      <c r="J56" s="1033"/>
      <c r="K56" s="1033"/>
      <c r="L56" s="1033"/>
      <c r="M56" s="1033"/>
      <c r="N56" s="139"/>
      <c r="O56" s="132"/>
      <c r="P56" s="3"/>
      <c r="Q56" s="963"/>
      <c r="R56" s="3"/>
      <c r="S56" s="967" t="str">
        <f>IF(E55="","",E55)</f>
        <v/>
      </c>
      <c r="T56" s="137"/>
      <c r="U56" s="973" t="str">
        <f>IF(U42&lt;0,"x","")</f>
        <v/>
      </c>
      <c r="V56" s="3"/>
      <c r="W56" s="3"/>
      <c r="X56" s="3"/>
      <c r="Y56" s="3"/>
      <c r="Z56" s="3"/>
      <c r="AA56" s="3"/>
    </row>
    <row r="57" spans="1:27" ht="12.75" customHeight="1" x14ac:dyDescent="0.2">
      <c r="A57" s="873"/>
      <c r="B57" s="131"/>
      <c r="C57" s="36"/>
      <c r="D57" s="36"/>
      <c r="E57" s="142"/>
      <c r="F57" s="1033" t="str">
        <f>IF(OR(H44="",H42=""),"Daten fehlen!","Das Projekt ist wirtschaftlich! Die Leistung der Investition ist deutlich höher als deren Kosten.")</f>
        <v>Daten fehlen!</v>
      </c>
      <c r="G57" s="1033"/>
      <c r="H57" s="1033"/>
      <c r="I57" s="1033"/>
      <c r="J57" s="1033"/>
      <c r="K57" s="1033"/>
      <c r="L57" s="1033"/>
      <c r="M57" s="1033"/>
      <c r="N57" s="139"/>
      <c r="O57" s="132"/>
      <c r="P57" s="3"/>
      <c r="Q57" s="963"/>
      <c r="R57" s="3"/>
      <c r="S57" s="967" t="str">
        <f>IF(E57="","",E57)</f>
        <v/>
      </c>
      <c r="T57" s="137"/>
      <c r="U57" s="973" t="str">
        <f>IF(U42&gt;-U44,"x","")</f>
        <v/>
      </c>
      <c r="V57" s="3"/>
      <c r="W57" s="3"/>
      <c r="X57" s="3"/>
      <c r="Y57" s="3"/>
      <c r="Z57" s="3"/>
      <c r="AA57" s="3"/>
    </row>
    <row r="58" spans="1:27" ht="12.75" customHeight="1" x14ac:dyDescent="0.2">
      <c r="A58" s="873"/>
      <c r="B58" s="131"/>
      <c r="C58" s="36"/>
      <c r="D58" s="859"/>
      <c r="E58" s="859"/>
      <c r="F58" s="859"/>
      <c r="G58" s="859"/>
      <c r="H58" s="859"/>
      <c r="I58" s="859"/>
      <c r="J58" s="859"/>
      <c r="K58" s="859"/>
      <c r="L58" s="859"/>
      <c r="M58" s="859"/>
      <c r="N58" s="859"/>
      <c r="O58" s="132"/>
      <c r="P58" s="3"/>
      <c r="Q58" s="963"/>
      <c r="R58" s="3"/>
      <c r="S58" s="895"/>
      <c r="T58" s="140"/>
      <c r="U58" s="3"/>
      <c r="V58" s="3"/>
      <c r="W58" s="3"/>
      <c r="X58" s="3"/>
      <c r="Y58" s="3"/>
      <c r="Z58" s="3"/>
      <c r="AA58" s="3"/>
    </row>
    <row r="59" spans="1:27" ht="12.75" customHeight="1" x14ac:dyDescent="0.2">
      <c r="A59" s="873"/>
      <c r="B59" s="131"/>
      <c r="C59" s="36"/>
      <c r="D59" s="36" t="s">
        <v>105</v>
      </c>
      <c r="E59" s="36" t="s">
        <v>127</v>
      </c>
      <c r="F59" s="36"/>
      <c r="G59" s="36"/>
      <c r="H59" s="36"/>
      <c r="I59" s="36"/>
      <c r="J59" s="36"/>
      <c r="K59" s="36"/>
      <c r="L59" s="36"/>
      <c r="M59" s="36"/>
      <c r="N59" s="36"/>
      <c r="O59" s="132"/>
      <c r="P59" s="3"/>
      <c r="Q59" s="963"/>
      <c r="R59" s="1060" t="s">
        <v>130</v>
      </c>
      <c r="S59" s="965" t="s">
        <v>672</v>
      </c>
      <c r="T59" s="3"/>
      <c r="U59" s="966" t="s">
        <v>673</v>
      </c>
      <c r="V59" s="3"/>
      <c r="W59" s="3"/>
      <c r="X59" s="3"/>
      <c r="Y59" s="3"/>
      <c r="Z59" s="3"/>
      <c r="AA59" s="3"/>
    </row>
    <row r="60" spans="1:27" x14ac:dyDescent="0.2">
      <c r="A60" s="873"/>
      <c r="B60" s="131"/>
      <c r="C60" s="36"/>
      <c r="D60" s="36"/>
      <c r="E60" s="142"/>
      <c r="F60" s="36" t="s">
        <v>120</v>
      </c>
      <c r="G60" s="36"/>
      <c r="H60" s="36"/>
      <c r="I60" s="36"/>
      <c r="J60" s="36"/>
      <c r="K60" s="36"/>
      <c r="L60" s="36"/>
      <c r="M60" s="36"/>
      <c r="N60" s="36"/>
      <c r="O60" s="136" t="str">
        <f>IF(AND(S60="",S62=""),"",IF(AND(S60=U60,S62=U62),Q60,0))</f>
        <v/>
      </c>
      <c r="P60" s="3" t="s">
        <v>108</v>
      </c>
      <c r="Q60" s="963">
        <v>1</v>
      </c>
      <c r="R60" s="1060"/>
      <c r="S60" s="976" t="str">
        <f>IF(E60="","",E60)</f>
        <v/>
      </c>
      <c r="U60" s="973" t="str">
        <f>IF($U$64&gt;=-$U$66,"x","")</f>
        <v/>
      </c>
      <c r="V60" s="3"/>
      <c r="W60" s="3"/>
      <c r="X60" s="3"/>
      <c r="Y60" s="3"/>
      <c r="Z60" s="3"/>
      <c r="AA60" s="3"/>
    </row>
    <row r="61" spans="1:27" ht="3.95" customHeight="1" x14ac:dyDescent="0.2">
      <c r="A61" s="873"/>
      <c r="B61" s="131"/>
      <c r="C61" s="36"/>
      <c r="D61" s="36"/>
      <c r="E61" s="36"/>
      <c r="F61" s="36"/>
      <c r="G61" s="36"/>
      <c r="H61" s="36"/>
      <c r="I61" s="36"/>
      <c r="J61" s="36"/>
      <c r="K61" s="36"/>
      <c r="L61" s="36"/>
      <c r="M61" s="36"/>
      <c r="N61" s="36"/>
      <c r="O61" s="132"/>
      <c r="P61" s="3"/>
      <c r="Q61" s="963"/>
      <c r="R61" s="1060"/>
      <c r="S61" s="895"/>
      <c r="T61" s="140"/>
      <c r="U61" s="895"/>
      <c r="V61" s="3"/>
      <c r="W61" s="3"/>
      <c r="X61" s="3"/>
      <c r="Y61" s="3"/>
      <c r="Z61" s="3"/>
      <c r="AA61" s="3"/>
    </row>
    <row r="62" spans="1:27" x14ac:dyDescent="0.2">
      <c r="A62" s="873"/>
      <c r="B62" s="131"/>
      <c r="C62" s="36"/>
      <c r="D62" s="36"/>
      <c r="E62" s="142"/>
      <c r="F62" s="36" t="s">
        <v>121</v>
      </c>
      <c r="G62" s="36"/>
      <c r="H62" s="36"/>
      <c r="I62" s="36"/>
      <c r="J62" s="36"/>
      <c r="K62" s="36"/>
      <c r="L62" s="36"/>
      <c r="M62" s="36"/>
      <c r="N62" s="36"/>
      <c r="O62" s="150"/>
      <c r="P62" s="3"/>
      <c r="Q62" s="3"/>
      <c r="R62" s="1060"/>
      <c r="S62" s="976" t="str">
        <f>IF(E62="","",E62)</f>
        <v/>
      </c>
      <c r="T62" s="140"/>
      <c r="U62" s="973" t="str">
        <f>IF($U$64&lt;-$U$66,"x","")</f>
        <v>x</v>
      </c>
      <c r="V62" s="3"/>
      <c r="W62" s="3"/>
      <c r="X62" s="3"/>
      <c r="Y62" s="3"/>
      <c r="Z62" s="3"/>
      <c r="AA62" s="3"/>
    </row>
    <row r="63" spans="1:27" ht="8.1" customHeight="1" x14ac:dyDescent="0.2">
      <c r="A63" s="873"/>
      <c r="B63" s="131"/>
      <c r="C63" s="36"/>
      <c r="D63" s="36"/>
      <c r="E63" s="36"/>
      <c r="F63" s="36"/>
      <c r="G63" s="36"/>
      <c r="H63" s="36"/>
      <c r="I63" s="36"/>
      <c r="J63" s="36"/>
      <c r="K63" s="36"/>
      <c r="L63" s="36"/>
      <c r="M63" s="36"/>
      <c r="N63" s="36"/>
      <c r="O63" s="132"/>
      <c r="P63" s="3"/>
      <c r="Q63" s="963"/>
      <c r="R63" s="1060"/>
      <c r="S63" s="895"/>
      <c r="T63" s="3"/>
      <c r="U63" s="3"/>
      <c r="V63" s="3"/>
      <c r="W63" s="3"/>
      <c r="X63" s="3"/>
      <c r="Y63" s="3"/>
      <c r="Z63" s="3"/>
      <c r="AA63" s="3"/>
    </row>
    <row r="64" spans="1:27" x14ac:dyDescent="0.2">
      <c r="A64" s="873"/>
      <c r="B64" s="131"/>
      <c r="C64" s="36"/>
      <c r="D64" s="36"/>
      <c r="E64" s="36" t="s">
        <v>128</v>
      </c>
      <c r="F64" s="36"/>
      <c r="G64" s="36"/>
      <c r="H64" s="36"/>
      <c r="I64" s="36"/>
      <c r="J64" s="36"/>
      <c r="K64" s="144"/>
      <c r="L64" s="887" t="s">
        <v>534</v>
      </c>
      <c r="M64" s="36"/>
      <c r="N64" s="36"/>
      <c r="O64" s="136" t="str">
        <f>IF(S64="","",IF(U64=S64,Q64,0))</f>
        <v/>
      </c>
      <c r="P64" s="3" t="s">
        <v>108</v>
      </c>
      <c r="Q64" s="963">
        <v>1</v>
      </c>
      <c r="R64" s="1060"/>
      <c r="S64" s="976" t="str">
        <f>IF(K64="","",K64)</f>
        <v/>
      </c>
      <c r="T64" s="3"/>
      <c r="U64" s="977">
        <f>IF(OR(Korrektur!D65="",Ist!I30="",Ist!I31="",Ist!I33="",Korrektur!D159=""),"",SUM(Korrektur!D65,Ist!I30,Ist!I31,Ist!I33,Korrektur!D159))</f>
        <v>6560.7320941318922</v>
      </c>
      <c r="V64" s="3"/>
      <c r="W64" s="3"/>
      <c r="X64" s="3"/>
      <c r="Y64" s="3"/>
      <c r="Z64" s="3"/>
      <c r="AA64" s="3"/>
    </row>
    <row r="65" spans="1:27" ht="3.95" customHeight="1" x14ac:dyDescent="0.2">
      <c r="A65" s="873"/>
      <c r="B65" s="131"/>
      <c r="C65" s="36"/>
      <c r="D65" s="36"/>
      <c r="E65" s="36"/>
      <c r="F65" s="36"/>
      <c r="G65" s="36"/>
      <c r="H65" s="36"/>
      <c r="I65" s="36"/>
      <c r="J65" s="36"/>
      <c r="K65" s="36"/>
      <c r="L65" s="36"/>
      <c r="M65" s="36"/>
      <c r="N65" s="36"/>
      <c r="O65" s="132"/>
      <c r="P65" s="3"/>
      <c r="Q65" s="963"/>
      <c r="R65" s="1060"/>
      <c r="T65" s="3"/>
      <c r="U65" s="895"/>
      <c r="V65" s="3"/>
      <c r="W65" s="3"/>
      <c r="X65" s="3"/>
      <c r="Y65" s="3"/>
      <c r="Z65" s="3"/>
      <c r="AA65" s="3"/>
    </row>
    <row r="66" spans="1:27" x14ac:dyDescent="0.2">
      <c r="A66" s="873"/>
      <c r="B66" s="131"/>
      <c r="C66" s="36"/>
      <c r="D66" s="36"/>
      <c r="E66" s="36" t="s">
        <v>129</v>
      </c>
      <c r="F66" s="36"/>
      <c r="G66" s="36"/>
      <c r="H66" s="36"/>
      <c r="I66" s="36"/>
      <c r="J66" s="36"/>
      <c r="K66" s="144"/>
      <c r="L66" s="887" t="s">
        <v>534</v>
      </c>
      <c r="M66" s="36"/>
      <c r="N66" s="36"/>
      <c r="O66" s="136" t="str">
        <f>IF(S66="","",IF(U66=S66,Q66,0))</f>
        <v/>
      </c>
      <c r="P66" s="3" t="s">
        <v>108</v>
      </c>
      <c r="Q66" s="963">
        <v>1</v>
      </c>
      <c r="R66" s="1060"/>
      <c r="S66" s="976" t="str">
        <f>IF(K66="","",K66)</f>
        <v/>
      </c>
      <c r="T66" s="3"/>
      <c r="U66" s="977">
        <f>SUM(IF(OR(Fin!D31="",Fin!F31="",Fin!C31=""),0,PMT(Fin!D31,Fin!F31,Fin!C31)),IF(OR(Fin!D32="",Fin!F32="",Fin!C32=""),0,PMT(Fin!D32,Fin!F32,Fin!C32)),IF(OR(Fin!D33="",Fin!F33="",Fin!C33=""),0,PMT(Fin!D33,Fin!F33,Fin!C33)),IF(OR(Fin!D34="",Fin!F34="",Fin!C34=""),0,PMT(Fin!D34,Fin!F34,Fin!C34)))</f>
        <v>-13827.954852048075</v>
      </c>
      <c r="V66" s="3"/>
      <c r="W66" s="3"/>
      <c r="X66" s="3"/>
      <c r="Y66" s="3"/>
      <c r="Z66" s="3"/>
      <c r="AA66" s="3"/>
    </row>
    <row r="67" spans="1:27" ht="8.1" customHeight="1" x14ac:dyDescent="0.2">
      <c r="A67" s="873"/>
      <c r="B67" s="131"/>
      <c r="C67" s="36"/>
      <c r="D67" s="36"/>
      <c r="E67" s="36"/>
      <c r="F67" s="36"/>
      <c r="G67" s="36"/>
      <c r="H67" s="36"/>
      <c r="I67" s="36"/>
      <c r="J67" s="36"/>
      <c r="K67" s="36"/>
      <c r="L67" s="36"/>
      <c r="M67" s="36"/>
      <c r="N67" s="36"/>
      <c r="O67" s="132"/>
      <c r="P67" s="3"/>
      <c r="Q67" s="963"/>
      <c r="R67" s="975"/>
      <c r="T67" s="3"/>
      <c r="U67" s="895"/>
      <c r="V67" s="3"/>
      <c r="W67" s="3"/>
      <c r="X67" s="3"/>
      <c r="Y67" s="3"/>
      <c r="Z67" s="3"/>
      <c r="AA67" s="3"/>
    </row>
    <row r="68" spans="1:27" x14ac:dyDescent="0.2">
      <c r="A68" s="873"/>
      <c r="B68" s="131"/>
      <c r="C68" s="36"/>
      <c r="D68" s="36"/>
      <c r="E68" s="36" t="s">
        <v>125</v>
      </c>
      <c r="F68" s="36"/>
      <c r="G68" s="36"/>
      <c r="H68" s="36"/>
      <c r="I68" s="36"/>
      <c r="J68" s="36"/>
      <c r="K68" s="36"/>
      <c r="L68" s="36"/>
      <c r="M68" s="36"/>
      <c r="N68" s="36"/>
      <c r="O68" s="132"/>
      <c r="P68" s="3"/>
      <c r="Q68" s="963"/>
      <c r="R68" s="975"/>
      <c r="T68" s="3"/>
      <c r="U68" s="895"/>
      <c r="V68" s="3"/>
      <c r="W68" s="3"/>
      <c r="X68" s="3"/>
      <c r="Y68" s="3"/>
      <c r="Z68" s="3"/>
      <c r="AA68" s="3"/>
    </row>
    <row r="69" spans="1:27" ht="12.75" customHeight="1" x14ac:dyDescent="0.2">
      <c r="A69" s="873"/>
      <c r="B69" s="131"/>
      <c r="C69" s="36"/>
      <c r="D69" s="36"/>
      <c r="E69" s="1034"/>
      <c r="F69" s="1035"/>
      <c r="G69" s="1035"/>
      <c r="H69" s="1035"/>
      <c r="I69" s="1035"/>
      <c r="J69" s="1035"/>
      <c r="K69" s="1035"/>
      <c r="L69" s="1035"/>
      <c r="M69" s="1036"/>
      <c r="N69" s="139"/>
      <c r="O69" s="136" t="str">
        <f>IF(S69="","",IF(U69=S69,Q69,0))</f>
        <v/>
      </c>
      <c r="P69" s="3" t="s">
        <v>108</v>
      </c>
      <c r="Q69" s="963">
        <v>1</v>
      </c>
      <c r="R69" s="975"/>
      <c r="S69" s="970" t="str">
        <f>IF(E69="","",E69)</f>
        <v/>
      </c>
      <c r="U69" s="974" t="str">
        <f>IF(U64&lt;-U66,U70,IF(U64=-U66,U71,IF(U64&gt;-U66,U72,"")))</f>
        <v>Kapitaldienst für die Investition (13 827,95 €) &gt; Kapitaldienstgrenze Planvariante (6 560,73 €)</v>
      </c>
      <c r="V69" s="3"/>
      <c r="W69" s="3"/>
      <c r="X69" s="3"/>
      <c r="Y69" s="3"/>
      <c r="Z69" s="3"/>
      <c r="AA69" s="3"/>
    </row>
    <row r="70" spans="1:27" ht="12.75" customHeight="1" x14ac:dyDescent="0.2">
      <c r="A70" s="873"/>
      <c r="B70" s="131"/>
      <c r="C70" s="36"/>
      <c r="D70" s="36"/>
      <c r="E70" s="858" t="s">
        <v>531</v>
      </c>
      <c r="F70" s="220"/>
      <c r="G70" s="220"/>
      <c r="H70" s="220"/>
      <c r="I70" s="220"/>
      <c r="J70" s="220"/>
      <c r="K70" s="220"/>
      <c r="L70" s="220"/>
      <c r="M70" s="220"/>
      <c r="N70" s="139"/>
      <c r="O70" s="150"/>
      <c r="P70" s="3"/>
      <c r="Q70" s="3"/>
      <c r="R70" s="975"/>
      <c r="S70" s="972" t="str">
        <f>IF(OR(K66="",K64=""),"Daten fehlen!","Kapitaldienst für die Investition ("&amp;FIXED(-K66,2)&amp;" €) &gt; Kapitaldienstgrenze Planvariante ("&amp;FIXED(K64,2)&amp;" €)")</f>
        <v>Daten fehlen!</v>
      </c>
      <c r="U70" s="895" t="str">
        <f>IF(OR(U66="",U64=""),"Daten fehlen!","Kapitaldienst für die Investition ("&amp;FIXED(-U66,2)&amp;" €) &gt; Kapitaldienstgrenze Planvariante ("&amp;FIXED(U64,2)&amp;" €)")</f>
        <v>Kapitaldienst für die Investition (13 827,95 €) &gt; Kapitaldienstgrenze Planvariante (6 560,73 €)</v>
      </c>
      <c r="V70" s="3"/>
      <c r="W70" s="3"/>
      <c r="X70" s="3"/>
      <c r="Y70" s="3"/>
      <c r="Z70" s="3"/>
      <c r="AA70" s="3"/>
    </row>
    <row r="71" spans="1:27" ht="12.75" customHeight="1" x14ac:dyDescent="0.2">
      <c r="A71" s="873"/>
      <c r="B71" s="131"/>
      <c r="C71" s="36"/>
      <c r="D71" s="36"/>
      <c r="E71" s="142"/>
      <c r="F71" s="1038" t="str">
        <f>IF(OR(K66="",K64=""),"Daten fehlen!","Bei Umsetzung des geplanten Projektes würde sich der Betrieb finanziell übernehmen. Die Schulden können vermutlich nicht rechtzeitig zurückbezahlt werden! ACHTUNG: Existenzgefahr für den Betrieb!")</f>
        <v>Daten fehlen!</v>
      </c>
      <c r="G71" s="1038"/>
      <c r="H71" s="1038"/>
      <c r="I71" s="1038"/>
      <c r="J71" s="1038"/>
      <c r="K71" s="1038"/>
      <c r="L71" s="1038"/>
      <c r="M71" s="1038"/>
      <c r="N71" s="139"/>
      <c r="O71" s="136" t="str">
        <f>IF(AND(S74="",S75="",S76=""),"",IF(AND(S74=U74,S75=U75,S76=U76),Q71,0))</f>
        <v/>
      </c>
      <c r="P71" s="3" t="s">
        <v>108</v>
      </c>
      <c r="Q71" s="963">
        <v>1</v>
      </c>
      <c r="R71" s="975"/>
      <c r="S71" s="972" t="str">
        <f>IF(OR(K66="",K64=""),"Daten fehlen!","Kapitaldienst für die Investition ("&amp;FIXED(-K66,2)&amp;" €) = Kapitaldienstgrenze Planvariante ("&amp;FIXED(K64,2)&amp;" €)")</f>
        <v>Daten fehlen!</v>
      </c>
      <c r="U71" s="895" t="str">
        <f>IF(OR(U66="",U64=""),"Daten fehlen!","Kapitaldienst für die Investition ("&amp;FIXED(-U66,2)&amp;" €) = Kapitaldienstgrenze Planvariante ("&amp;FIXED(U64,2)&amp;" €)")</f>
        <v>Kapitaldienst für die Investition (13 827,95 €) = Kapitaldienstgrenze Planvariante (6 560,73 €)</v>
      </c>
      <c r="V71" s="3"/>
      <c r="W71" s="3"/>
      <c r="X71" s="3"/>
      <c r="Y71" s="3"/>
      <c r="Z71" s="3"/>
      <c r="AA71" s="3"/>
    </row>
    <row r="72" spans="1:27" ht="12.75" customHeight="1" x14ac:dyDescent="0.2">
      <c r="A72" s="873"/>
      <c r="B72" s="131"/>
      <c r="C72" s="36"/>
      <c r="D72" s="36"/>
      <c r="E72" s="859"/>
      <c r="F72" s="1038"/>
      <c r="G72" s="1038"/>
      <c r="H72" s="1038"/>
      <c r="I72" s="1038"/>
      <c r="J72" s="1038"/>
      <c r="K72" s="1038"/>
      <c r="L72" s="1038"/>
      <c r="M72" s="1038"/>
      <c r="N72" s="139"/>
      <c r="O72" s="132"/>
      <c r="P72" s="3"/>
      <c r="Q72" s="963"/>
      <c r="R72" s="975"/>
      <c r="S72" s="972" t="str">
        <f>IF(OR(K66="",K64=""),"Daten fehlen!","Kapitaldienst für die Investition ("&amp;FIXED(-K66,2)&amp;" €) &lt; Kapitaldienstgrenze Planvariante ("&amp;FIXED(K64,2)&amp;" €)")</f>
        <v>Daten fehlen!</v>
      </c>
      <c r="U72" s="895" t="str">
        <f>IF(OR(U66="",U64=""),"Daten fehlen!","Kapitaldienst für die Investition ("&amp;FIXED(-U66,2)&amp;" €) &lt; Kapitaldienstgrenze Planvariante ("&amp;FIXED(U64,2)&amp;" €)")</f>
        <v>Kapitaldienst für die Investition (13 827,95 €) &lt; Kapitaldienstgrenze Planvariante (6 560,73 €)</v>
      </c>
      <c r="V72" s="3"/>
      <c r="W72" s="3"/>
      <c r="X72" s="3"/>
      <c r="Y72" s="3"/>
      <c r="Z72" s="3"/>
      <c r="AA72" s="3"/>
    </row>
    <row r="73" spans="1:27" ht="12.75" customHeight="1" x14ac:dyDescent="0.2">
      <c r="A73" s="873"/>
      <c r="B73" s="131"/>
      <c r="C73" s="36"/>
      <c r="D73" s="36"/>
      <c r="E73" s="142"/>
      <c r="F73" s="1033" t="str">
        <f>IF(OR(K66="",K64=""),"Daten fehlen!","Die Ausführung des Projektes kann gerade noch finanziert werden. Es verbleiben jedoch kein Spielraum für die Bildung betrieblicher Rücklagen oder für unerwartete Folge- bzw. Ersatzinvestitionen! Das Projekt reicht an die Grenzen der Belastbarkeit!")</f>
        <v>Daten fehlen!</v>
      </c>
      <c r="G73" s="1033"/>
      <c r="H73" s="1033"/>
      <c r="I73" s="1033"/>
      <c r="J73" s="1033"/>
      <c r="K73" s="1033"/>
      <c r="L73" s="1033"/>
      <c r="M73" s="1033"/>
      <c r="N73" s="139"/>
      <c r="O73" s="132"/>
      <c r="P73" s="3"/>
      <c r="Q73" s="963"/>
      <c r="R73" s="975"/>
      <c r="S73" s="895"/>
      <c r="T73" s="140"/>
      <c r="U73" s="3"/>
      <c r="V73" s="3"/>
      <c r="W73" s="3"/>
      <c r="X73" s="3"/>
      <c r="Y73" s="3"/>
      <c r="Z73" s="3"/>
      <c r="AA73" s="3"/>
    </row>
    <row r="74" spans="1:27" ht="12.75" customHeight="1" x14ac:dyDescent="0.2">
      <c r="A74" s="873"/>
      <c r="B74" s="131"/>
      <c r="C74" s="36"/>
      <c r="D74" s="36"/>
      <c r="E74" s="859"/>
      <c r="F74" s="1033"/>
      <c r="G74" s="1033"/>
      <c r="H74" s="1033"/>
      <c r="I74" s="1033"/>
      <c r="J74" s="1033"/>
      <c r="K74" s="1033"/>
      <c r="L74" s="1033"/>
      <c r="M74" s="1033"/>
      <c r="N74" s="139"/>
      <c r="O74" s="132"/>
      <c r="P74" s="3"/>
      <c r="Q74" s="963"/>
      <c r="R74" s="975"/>
      <c r="S74" s="967" t="str">
        <f>IF(E71="","",E71)</f>
        <v/>
      </c>
      <c r="T74" s="3"/>
      <c r="U74" s="973" t="str">
        <f>IF(U64&lt;-U66,"x","")</f>
        <v>x</v>
      </c>
      <c r="V74" s="3"/>
      <c r="W74" s="3"/>
      <c r="X74" s="3"/>
      <c r="Y74" s="3"/>
      <c r="Z74" s="3"/>
      <c r="AA74" s="3"/>
    </row>
    <row r="75" spans="1:27" ht="12.75" customHeight="1" x14ac:dyDescent="0.2">
      <c r="A75" s="873"/>
      <c r="B75" s="131"/>
      <c r="C75" s="36"/>
      <c r="D75" s="36"/>
      <c r="E75" s="859"/>
      <c r="F75" s="1033"/>
      <c r="G75" s="1033"/>
      <c r="H75" s="1033"/>
      <c r="I75" s="1033"/>
      <c r="J75" s="1033"/>
      <c r="K75" s="1033"/>
      <c r="L75" s="1033"/>
      <c r="M75" s="1033"/>
      <c r="N75" s="139"/>
      <c r="O75" s="132"/>
      <c r="P75" s="3"/>
      <c r="Q75" s="963"/>
      <c r="R75" s="3"/>
      <c r="S75" s="967" t="str">
        <f>IF(E73="","",E73)</f>
        <v/>
      </c>
      <c r="T75" s="137"/>
      <c r="U75" s="973" t="str">
        <f>IF(U64=-U66,"x","")</f>
        <v/>
      </c>
      <c r="V75" s="3"/>
      <c r="W75" s="3"/>
      <c r="X75" s="3"/>
      <c r="Y75" s="3"/>
      <c r="Z75" s="3"/>
      <c r="AA75" s="3"/>
    </row>
    <row r="76" spans="1:27" ht="12.75" customHeight="1" x14ac:dyDescent="0.2">
      <c r="A76" s="873"/>
      <c r="B76" s="131"/>
      <c r="C76" s="36"/>
      <c r="D76" s="36"/>
      <c r="E76" s="142"/>
      <c r="F76" s="1033" t="str">
        <f>IF(OR(K66="",K64=""),"Daten fehlen!","Die Umsetzung des Projektes kann als sinnvoll eingestuft werden. Der anfallende Kapitaldienst sollte ohne Schwierigkeiten zu leisten sein! Es verbleiben noch Reserven für Rücklagen- und private Vermögensbildung.")</f>
        <v>Daten fehlen!</v>
      </c>
      <c r="G76" s="1033"/>
      <c r="H76" s="1033"/>
      <c r="I76" s="1033"/>
      <c r="J76" s="1033"/>
      <c r="K76" s="1033"/>
      <c r="L76" s="1033"/>
      <c r="M76" s="1033"/>
      <c r="N76" s="139"/>
      <c r="O76" s="132"/>
      <c r="P76" s="3"/>
      <c r="Q76" s="963"/>
      <c r="R76" s="3"/>
      <c r="S76" s="967" t="str">
        <f>IF(E76="","",E76)</f>
        <v/>
      </c>
      <c r="T76" s="137"/>
      <c r="U76" s="973" t="str">
        <f>IF(U64&gt;-U66,"x","")</f>
        <v/>
      </c>
      <c r="V76" s="3"/>
      <c r="W76" s="3"/>
      <c r="X76" s="3"/>
      <c r="Y76" s="3"/>
      <c r="Z76" s="3"/>
      <c r="AA76" s="3"/>
    </row>
    <row r="77" spans="1:27" ht="12.75" customHeight="1" x14ac:dyDescent="0.2">
      <c r="A77" s="873"/>
      <c r="B77" s="131"/>
      <c r="C77" s="36"/>
      <c r="D77" s="36"/>
      <c r="E77" s="859"/>
      <c r="F77" s="1033"/>
      <c r="G77" s="1033"/>
      <c r="H77" s="1033"/>
      <c r="I77" s="1033"/>
      <c r="J77" s="1033"/>
      <c r="K77" s="1033"/>
      <c r="L77" s="1033"/>
      <c r="M77" s="1033"/>
      <c r="N77" s="139"/>
      <c r="O77" s="132"/>
      <c r="P77" s="3"/>
      <c r="Q77" s="963"/>
      <c r="R77" s="3"/>
      <c r="V77" s="3"/>
      <c r="W77" s="3"/>
      <c r="X77" s="3"/>
      <c r="Y77" s="3"/>
      <c r="Z77" s="3"/>
      <c r="AA77" s="3"/>
    </row>
    <row r="78" spans="1:27" ht="12.75" customHeight="1" x14ac:dyDescent="0.2">
      <c r="A78" s="873"/>
      <c r="B78" s="131"/>
      <c r="C78" s="36"/>
      <c r="D78" s="36"/>
      <c r="E78" s="859"/>
      <c r="F78" s="1033"/>
      <c r="G78" s="1033"/>
      <c r="H78" s="1033"/>
      <c r="I78" s="1033"/>
      <c r="J78" s="1033"/>
      <c r="K78" s="1033"/>
      <c r="L78" s="1033"/>
      <c r="M78" s="1033"/>
      <c r="N78" s="139"/>
      <c r="O78" s="132"/>
      <c r="P78" s="3"/>
      <c r="Q78" s="963"/>
      <c r="R78" s="3"/>
      <c r="V78" s="3"/>
      <c r="W78" s="3"/>
      <c r="X78" s="3"/>
      <c r="Y78" s="3"/>
      <c r="Z78" s="3"/>
      <c r="AA78" s="3"/>
    </row>
    <row r="79" spans="1:27" x14ac:dyDescent="0.2">
      <c r="A79" s="873"/>
      <c r="B79" s="131"/>
      <c r="C79" s="36"/>
      <c r="D79" s="36"/>
      <c r="E79" s="36"/>
      <c r="F79" s="36"/>
      <c r="G79" s="36"/>
      <c r="H79" s="36"/>
      <c r="I79" s="36"/>
      <c r="J79" s="36"/>
      <c r="K79" s="36"/>
      <c r="L79" s="36"/>
      <c r="M79" s="36"/>
      <c r="N79" s="36"/>
      <c r="O79" s="150"/>
      <c r="P79" s="3"/>
      <c r="Q79" s="3"/>
      <c r="R79" s="3"/>
      <c r="S79" s="895"/>
      <c r="T79" s="140"/>
      <c r="U79" s="895"/>
      <c r="V79" s="3"/>
      <c r="W79" s="3"/>
      <c r="X79" s="3"/>
      <c r="Y79" s="3"/>
      <c r="Z79" s="3"/>
      <c r="AA79" s="3"/>
    </row>
    <row r="80" spans="1:27" ht="48" customHeight="1" x14ac:dyDescent="0.2">
      <c r="A80" s="873"/>
      <c r="B80" s="131"/>
      <c r="C80" s="36"/>
      <c r="D80" s="151" t="s">
        <v>112</v>
      </c>
      <c r="E80" s="1042" t="s">
        <v>668</v>
      </c>
      <c r="F80" s="1042"/>
      <c r="G80" s="1042"/>
      <c r="H80" s="1042"/>
      <c r="I80" s="1042"/>
      <c r="J80" s="1042"/>
      <c r="K80" s="1042"/>
      <c r="L80" s="1042"/>
      <c r="M80" s="1042"/>
      <c r="N80" s="36"/>
      <c r="O80" s="132"/>
      <c r="P80" s="3"/>
      <c r="Q80" s="963"/>
      <c r="R80" s="975" t="s">
        <v>134</v>
      </c>
      <c r="S80" s="965" t="s">
        <v>672</v>
      </c>
      <c r="T80" s="965"/>
      <c r="U80" s="966" t="s">
        <v>673</v>
      </c>
      <c r="V80" s="966"/>
      <c r="W80" s="3"/>
      <c r="X80" s="3"/>
      <c r="Y80" s="3"/>
      <c r="Z80" s="3"/>
      <c r="AA80" s="3"/>
    </row>
    <row r="81" spans="1:27" x14ac:dyDescent="0.2">
      <c r="A81" s="873"/>
      <c r="B81" s="131"/>
      <c r="C81" s="36"/>
      <c r="D81" s="36"/>
      <c r="E81" s="142"/>
      <c r="F81" s="36" t="s">
        <v>120</v>
      </c>
      <c r="G81" s="36"/>
      <c r="H81" s="36"/>
      <c r="I81" s="36"/>
      <c r="J81" s="36"/>
      <c r="K81" s="36"/>
      <c r="L81" s="36"/>
      <c r="M81" s="153"/>
      <c r="N81" s="36"/>
      <c r="O81" s="136" t="str">
        <f>IF(AND(S81="",T81=""),"",IF(AND(S81=U81,T81=V81),Q81,0))</f>
        <v/>
      </c>
      <c r="P81" s="3" t="s">
        <v>108</v>
      </c>
      <c r="Q81" s="963">
        <v>1</v>
      </c>
      <c r="R81" s="975"/>
      <c r="S81" s="976" t="str">
        <f>IF(E81="","",E81)</f>
        <v/>
      </c>
      <c r="T81" s="976" t="str">
        <f>IF(E83="","",E83)</f>
        <v/>
      </c>
      <c r="U81" s="973" t="str">
        <f>IF($U$87&gt;=$U$83,"x","")</f>
        <v>x</v>
      </c>
      <c r="V81" s="973" t="str">
        <f>IF($U$87&lt;$U$83,"x","")</f>
        <v/>
      </c>
      <c r="W81" s="3"/>
      <c r="X81" s="3"/>
      <c r="Y81" s="3"/>
      <c r="Z81" s="3"/>
      <c r="AA81" s="3"/>
    </row>
    <row r="82" spans="1:27" ht="3.95" customHeight="1" x14ac:dyDescent="0.2">
      <c r="A82" s="873"/>
      <c r="B82" s="131"/>
      <c r="C82" s="36"/>
      <c r="D82" s="36"/>
      <c r="E82" s="36"/>
      <c r="F82" s="36"/>
      <c r="G82" s="154"/>
      <c r="H82" s="36"/>
      <c r="I82" s="36"/>
      <c r="J82" s="36"/>
      <c r="K82" s="154"/>
      <c r="L82" s="36"/>
      <c r="M82" s="153"/>
      <c r="N82" s="36"/>
      <c r="O82" s="132"/>
      <c r="P82" s="3"/>
      <c r="Q82" s="963"/>
      <c r="R82" s="975"/>
      <c r="T82" s="140"/>
      <c r="V82" s="3"/>
      <c r="W82" s="3"/>
      <c r="X82" s="3"/>
      <c r="Y82" s="3"/>
      <c r="Z82" s="3"/>
      <c r="AA82" s="3"/>
    </row>
    <row r="83" spans="1:27" x14ac:dyDescent="0.2">
      <c r="A83" s="873"/>
      <c r="B83" s="131"/>
      <c r="C83" s="36"/>
      <c r="D83" s="36"/>
      <c r="E83" s="142"/>
      <c r="F83" s="36" t="s">
        <v>121</v>
      </c>
      <c r="G83" s="154"/>
      <c r="H83" s="152"/>
      <c r="I83" s="887" t="s">
        <v>534</v>
      </c>
      <c r="J83" s="36"/>
      <c r="K83" s="153" t="s">
        <v>131</v>
      </c>
      <c r="L83" s="36"/>
      <c r="M83" s="153"/>
      <c r="N83" s="36"/>
      <c r="O83" s="136" t="str">
        <f>IF(S83="","",IF(U83=S83,Q83,0))</f>
        <v/>
      </c>
      <c r="P83" s="3" t="s">
        <v>108</v>
      </c>
      <c r="Q83" s="963">
        <v>1</v>
      </c>
      <c r="R83" s="975"/>
      <c r="S83" s="976" t="str">
        <f>IF(H83="","",H83)</f>
        <v/>
      </c>
      <c r="T83" s="3"/>
      <c r="U83" s="977">
        <f>IF(Korrektur!D131="","",Korrektur!D131)</f>
        <v>4193.7184400000006</v>
      </c>
      <c r="V83" s="3"/>
      <c r="W83" s="3"/>
      <c r="X83" s="3"/>
      <c r="Y83" s="3"/>
      <c r="Z83" s="3"/>
      <c r="AA83" s="3"/>
    </row>
    <row r="84" spans="1:27" ht="8.1" customHeight="1" x14ac:dyDescent="0.2">
      <c r="A84" s="873"/>
      <c r="B84" s="131"/>
      <c r="C84" s="36"/>
      <c r="D84" s="36"/>
      <c r="E84" s="36"/>
      <c r="F84" s="36"/>
      <c r="G84" s="36"/>
      <c r="H84" s="36"/>
      <c r="I84" s="36"/>
      <c r="J84" s="36"/>
      <c r="K84" s="36"/>
      <c r="L84" s="36"/>
      <c r="M84" s="36"/>
      <c r="N84" s="36"/>
      <c r="O84" s="150"/>
      <c r="P84" s="3"/>
      <c r="Q84" s="3"/>
      <c r="R84" s="975"/>
      <c r="T84" s="3"/>
      <c r="U84" s="895"/>
      <c r="V84" s="3"/>
      <c r="W84" s="3"/>
      <c r="X84" s="3"/>
      <c r="Y84" s="3"/>
      <c r="Z84" s="3"/>
      <c r="AA84" s="3"/>
    </row>
    <row r="85" spans="1:27" x14ac:dyDescent="0.2">
      <c r="A85" s="873"/>
      <c r="B85" s="131"/>
      <c r="C85" s="36"/>
      <c r="D85" s="36"/>
      <c r="E85" s="155" t="s">
        <v>132</v>
      </c>
      <c r="F85" s="36"/>
      <c r="G85" s="36"/>
      <c r="H85" s="152"/>
      <c r="I85" s="884"/>
      <c r="J85" s="36"/>
      <c r="K85" s="36" t="s">
        <v>535</v>
      </c>
      <c r="L85" s="36"/>
      <c r="M85" s="36"/>
      <c r="N85" s="36"/>
      <c r="O85" s="136" t="str">
        <f>IF(S85="","",IF(U85=S85,Q85,0))</f>
        <v/>
      </c>
      <c r="P85" s="3" t="s">
        <v>108</v>
      </c>
      <c r="Q85" s="963">
        <v>1</v>
      </c>
      <c r="R85" s="975"/>
      <c r="S85" s="976" t="str">
        <f>IF(H85="","",H85)</f>
        <v/>
      </c>
      <c r="T85" s="3"/>
      <c r="U85" s="977">
        <f>IF('[1]E-ErgInt'!$H$85="","",'[1]E-ErgInt'!$H$85)</f>
        <v>2.16</v>
      </c>
      <c r="V85" s="3"/>
      <c r="W85" s="3"/>
      <c r="X85" s="3"/>
      <c r="Y85" s="3"/>
      <c r="Z85" s="3"/>
      <c r="AA85" s="3"/>
    </row>
    <row r="86" spans="1:27" ht="3.95" customHeight="1" x14ac:dyDescent="0.2">
      <c r="A86" s="873"/>
      <c r="B86" s="131"/>
      <c r="C86" s="36"/>
      <c r="D86" s="36"/>
      <c r="E86" s="36"/>
      <c r="F86" s="36"/>
      <c r="G86" s="36"/>
      <c r="H86" s="36"/>
      <c r="I86" s="36"/>
      <c r="J86" s="36"/>
      <c r="K86" s="36"/>
      <c r="L86" s="36"/>
      <c r="M86" s="36"/>
      <c r="N86" s="36"/>
      <c r="O86" s="132"/>
      <c r="P86" s="156"/>
      <c r="Q86" s="3"/>
      <c r="R86" s="975"/>
      <c r="T86" s="3"/>
      <c r="U86" s="895"/>
      <c r="V86" s="3"/>
      <c r="W86" s="3"/>
      <c r="X86" s="3"/>
      <c r="Y86" s="3"/>
      <c r="Z86" s="3"/>
      <c r="AA86" s="3"/>
    </row>
    <row r="87" spans="1:27" x14ac:dyDescent="0.2">
      <c r="A87" s="873"/>
      <c r="B87" s="131"/>
      <c r="C87" s="36"/>
      <c r="D87" s="36"/>
      <c r="E87" s="36" t="s">
        <v>133</v>
      </c>
      <c r="F87" s="36"/>
      <c r="G87" s="36"/>
      <c r="H87" s="152"/>
      <c r="I87" s="884"/>
      <c r="J87" s="36"/>
      <c r="K87" s="36" t="s">
        <v>536</v>
      </c>
      <c r="L87" s="36"/>
      <c r="M87" s="36"/>
      <c r="N87" s="36"/>
      <c r="O87" s="136" t="str">
        <f>IF(S87="","",IF(U87=S87,Q87,0))</f>
        <v/>
      </c>
      <c r="P87" s="3" t="s">
        <v>108</v>
      </c>
      <c r="Q87" s="963">
        <v>1</v>
      </c>
      <c r="R87" s="975"/>
      <c r="S87" s="976" t="str">
        <f>IF(H87="","",H87)</f>
        <v/>
      </c>
      <c r="T87" s="3"/>
      <c r="U87" s="977">
        <f>U85*2000</f>
        <v>4320</v>
      </c>
      <c r="V87" s="3"/>
      <c r="W87" s="3"/>
      <c r="X87" s="3"/>
      <c r="Y87" s="3"/>
      <c r="Z87" s="3"/>
      <c r="AA87" s="3"/>
    </row>
    <row r="88" spans="1:27" ht="8.1" customHeight="1" x14ac:dyDescent="0.2">
      <c r="A88" s="873"/>
      <c r="B88" s="131"/>
      <c r="C88" s="36"/>
      <c r="D88" s="36"/>
      <c r="E88" s="36"/>
      <c r="F88" s="36"/>
      <c r="G88" s="36"/>
      <c r="H88" s="146"/>
      <c r="I88" s="36"/>
      <c r="J88" s="36"/>
      <c r="K88" s="36"/>
      <c r="L88" s="36"/>
      <c r="M88" s="36"/>
      <c r="N88" s="36"/>
      <c r="O88" s="132"/>
      <c r="P88" s="156"/>
      <c r="Q88" s="3"/>
      <c r="R88" s="975"/>
      <c r="T88" s="3"/>
      <c r="U88" s="895"/>
      <c r="V88" s="3"/>
      <c r="W88" s="3"/>
      <c r="X88" s="3"/>
      <c r="Y88" s="3"/>
      <c r="Z88" s="3"/>
      <c r="AA88" s="3"/>
    </row>
    <row r="89" spans="1:27" x14ac:dyDescent="0.2">
      <c r="A89" s="873"/>
      <c r="B89" s="131"/>
      <c r="C89" s="36"/>
      <c r="D89" s="36"/>
      <c r="E89" s="36" t="s">
        <v>125</v>
      </c>
      <c r="F89" s="36"/>
      <c r="G89" s="36"/>
      <c r="H89" s="36"/>
      <c r="I89" s="36"/>
      <c r="J89" s="36"/>
      <c r="K89" s="36"/>
      <c r="L89" s="36"/>
      <c r="M89" s="36"/>
      <c r="N89" s="36"/>
      <c r="O89" s="132"/>
      <c r="P89" s="156"/>
      <c r="Q89" s="3"/>
      <c r="R89" s="975"/>
      <c r="T89" s="3"/>
      <c r="U89" s="895"/>
      <c r="V89" s="3"/>
      <c r="W89" s="3"/>
      <c r="X89" s="3"/>
      <c r="Y89" s="3"/>
      <c r="Z89" s="3"/>
      <c r="AA89" s="3"/>
    </row>
    <row r="90" spans="1:27" ht="12.75" customHeight="1" x14ac:dyDescent="0.2">
      <c r="A90" s="873"/>
      <c r="B90" s="131"/>
      <c r="C90" s="36"/>
      <c r="D90" s="36"/>
      <c r="E90" s="1034"/>
      <c r="F90" s="1035"/>
      <c r="G90" s="1035"/>
      <c r="H90" s="1035"/>
      <c r="I90" s="1035"/>
      <c r="J90" s="1035"/>
      <c r="K90" s="1035"/>
      <c r="L90" s="1035"/>
      <c r="M90" s="1036"/>
      <c r="N90" s="36"/>
      <c r="O90" s="136" t="str">
        <f>IF(S90="","",IF(U90=S90,Q90,0))</f>
        <v/>
      </c>
      <c r="P90" s="3" t="s">
        <v>108</v>
      </c>
      <c r="Q90" s="963">
        <v>1</v>
      </c>
      <c r="R90" s="975"/>
      <c r="S90" s="970" t="str">
        <f>IF(E90="","",E90)</f>
        <v/>
      </c>
      <c r="U90" s="974" t="str">
        <f>IF(U83&lt;U87,U92,IF(U83=U87,U91,IF(U83&gt;U87,U93,"")))</f>
        <v>Künftiger AKh-Bedarf (4 194 AKh) &lt; Künftige Ausstattung mit AKh (4 320 AKh)</v>
      </c>
      <c r="V90" s="3"/>
      <c r="W90" s="3"/>
      <c r="X90" s="3"/>
      <c r="Y90" s="3"/>
      <c r="Z90" s="3"/>
      <c r="AA90" s="3"/>
    </row>
    <row r="91" spans="1:27" ht="12.75" customHeight="1" x14ac:dyDescent="0.2">
      <c r="A91" s="873"/>
      <c r="B91" s="131"/>
      <c r="C91" s="36"/>
      <c r="D91" s="36"/>
      <c r="E91" s="858" t="s">
        <v>531</v>
      </c>
      <c r="F91" s="220"/>
      <c r="G91" s="220"/>
      <c r="H91" s="220"/>
      <c r="I91" s="220"/>
      <c r="J91" s="220"/>
      <c r="K91" s="220"/>
      <c r="L91" s="220"/>
      <c r="M91" s="220"/>
      <c r="N91" s="36"/>
      <c r="O91" s="978"/>
      <c r="P91" s="3"/>
      <c r="Q91" s="963"/>
      <c r="R91" s="975"/>
      <c r="S91" s="972" t="str">
        <f>IF(OR(H83="",H87=""),"Daten fehlen!","Künftiger AKh-Bedarf ("&amp;FIXED(H83,0)&amp;" AKh) = Künftige Ausstattung mit AKh ("&amp;FIXED(H87,0)&amp;" AKh)")</f>
        <v>Daten fehlen!</v>
      </c>
      <c r="U91" s="895" t="str">
        <f>IF(OR(U83="",U87=""),"Daten fehlen!","Künftiger AKh-Bedarf ("&amp;FIXED(U83,0)&amp;" AKh) = Künftige Ausstattung mit AKh ("&amp;FIXED(U87,0)&amp;" AKh)")</f>
        <v>Künftiger AKh-Bedarf (4 194 AKh) = Künftige Ausstattung mit AKh (4 320 AKh)</v>
      </c>
      <c r="V91" s="3"/>
      <c r="W91" s="3"/>
      <c r="X91" s="3"/>
      <c r="Y91" s="3"/>
      <c r="Z91" s="3"/>
      <c r="AA91" s="3"/>
    </row>
    <row r="92" spans="1:27" ht="12.75" customHeight="1" x14ac:dyDescent="0.2">
      <c r="A92" s="873"/>
      <c r="B92" s="131"/>
      <c r="C92" s="36"/>
      <c r="D92" s="36"/>
      <c r="E92" s="142"/>
      <c r="F92" s="1033" t="str">
        <f>IF(OR(H83="",H87=""),"Daten fehlen!","Die Bewirtschaftung des Betriebes kann mit der künftigen AK-Ausstattung zwar gewährleistet werden. In Zeiten hoher Arbeitsspitzen kann es allerdings zu Engpässen kommen.")</f>
        <v>Daten fehlen!</v>
      </c>
      <c r="G92" s="1033"/>
      <c r="H92" s="1033"/>
      <c r="I92" s="1033"/>
      <c r="J92" s="1033"/>
      <c r="K92" s="1033"/>
      <c r="L92" s="1033"/>
      <c r="M92" s="1033"/>
      <c r="N92" s="36"/>
      <c r="O92" s="136" t="str">
        <f>IF(AND(S95="",S96="",S97=""),"",IF(AND(S95=U95,S96=U96,S97=U97),Q92,0))</f>
        <v/>
      </c>
      <c r="P92" s="3" t="s">
        <v>108</v>
      </c>
      <c r="Q92" s="963">
        <v>1</v>
      </c>
      <c r="R92" s="975"/>
      <c r="S92" s="972" t="str">
        <f>IF(OR(H83="",H87=""),"Daten fehlen!","Künftiger AKh-Bedarf ("&amp;FIXED(H83,0)&amp;" AKh) &lt; Künftige Ausstattung mit AKh ("&amp;FIXED(H87,0)&amp;" AKh)")</f>
        <v>Daten fehlen!</v>
      </c>
      <c r="U92" s="895" t="str">
        <f>IF(OR(U83="",U87=""),"Daten fehlen!","Künftiger AKh-Bedarf ("&amp;FIXED(U83,0)&amp;" AKh) &lt; Künftige Ausstattung mit AKh ("&amp;FIXED(U87,0)&amp;" AKh)")</f>
        <v>Künftiger AKh-Bedarf (4 194 AKh) &lt; Künftige Ausstattung mit AKh (4 320 AKh)</v>
      </c>
      <c r="V92" s="3"/>
      <c r="W92" s="3"/>
      <c r="X92" s="3"/>
      <c r="Y92" s="3"/>
      <c r="Z92" s="3"/>
      <c r="AA92" s="3"/>
    </row>
    <row r="93" spans="1:27" ht="12.75" customHeight="1" x14ac:dyDescent="0.2">
      <c r="A93" s="873"/>
      <c r="B93" s="131"/>
      <c r="C93" s="36"/>
      <c r="D93" s="36"/>
      <c r="E93" s="859"/>
      <c r="F93" s="1033"/>
      <c r="G93" s="1033"/>
      <c r="H93" s="1033"/>
      <c r="I93" s="1033"/>
      <c r="J93" s="1033"/>
      <c r="K93" s="1033"/>
      <c r="L93" s="1033"/>
      <c r="M93" s="1033"/>
      <c r="N93" s="36"/>
      <c r="O93" s="978"/>
      <c r="P93" s="3"/>
      <c r="Q93" s="963"/>
      <c r="R93" s="975"/>
      <c r="S93" s="972" t="str">
        <f>IF(OR(H83="",H87=""),"Daten fehlen!","Künftiger AKh-Bedarf ("&amp;FIXED(H83,0)&amp;" AKh) &gt; Künftige Ausstattung mit AKh ("&amp;FIXED(H87,0)&amp;" AKh)")</f>
        <v>Daten fehlen!</v>
      </c>
      <c r="U93" s="895" t="str">
        <f>IF(OR(U83="",U87=""),"Daten fehlen!","Künftiger AKh-Bedarf ("&amp;FIXED(U83,0)&amp;" AKh) &gt; Künftige Ausstattung mit AKh ("&amp;FIXED(U87,0)&amp;" AKh)")</f>
        <v>Künftiger AKh-Bedarf (4 194 AKh) &gt; Künftige Ausstattung mit AKh (4 320 AKh)</v>
      </c>
      <c r="V93" s="3"/>
      <c r="W93" s="3"/>
      <c r="X93" s="3"/>
      <c r="Y93" s="3"/>
      <c r="Z93" s="3"/>
      <c r="AA93" s="3"/>
    </row>
    <row r="94" spans="1:27" ht="12.75" customHeight="1" x14ac:dyDescent="0.2">
      <c r="A94" s="873"/>
      <c r="B94" s="131"/>
      <c r="C94" s="36"/>
      <c r="D94" s="36"/>
      <c r="E94" s="142"/>
      <c r="F94" s="1033" t="str">
        <f>IF(OR(H83="",H87=""),"Daten fehlen!","Für die Bewirtschaftung des Betriebes werden künftig genügend Arbeitskräfte zur Verfügung stehen. Es sind sogar Reserven für Zeiten mit hohen Arbeitsspitzen vorhanden.")</f>
        <v>Daten fehlen!</v>
      </c>
      <c r="G94" s="1033"/>
      <c r="H94" s="1033"/>
      <c r="I94" s="1033"/>
      <c r="J94" s="1033"/>
      <c r="K94" s="1033"/>
      <c r="L94" s="1033"/>
      <c r="M94" s="1033"/>
      <c r="N94" s="36"/>
      <c r="O94" s="978"/>
      <c r="P94" s="3"/>
      <c r="Q94" s="963"/>
      <c r="R94" s="979"/>
      <c r="S94" s="895"/>
      <c r="T94" s="140"/>
      <c r="U94" s="3"/>
      <c r="V94" s="3"/>
      <c r="W94" s="3"/>
      <c r="X94" s="3"/>
      <c r="Y94" s="3"/>
      <c r="Z94" s="3"/>
      <c r="AA94" s="3"/>
    </row>
    <row r="95" spans="1:27" ht="12.75" customHeight="1" x14ac:dyDescent="0.2">
      <c r="A95" s="873"/>
      <c r="B95" s="131"/>
      <c r="C95" s="36"/>
      <c r="D95" s="36"/>
      <c r="E95" s="859"/>
      <c r="F95" s="1033"/>
      <c r="G95" s="1033"/>
      <c r="H95" s="1033"/>
      <c r="I95" s="1033"/>
      <c r="J95" s="1033"/>
      <c r="K95" s="1033"/>
      <c r="L95" s="1033"/>
      <c r="M95" s="1033"/>
      <c r="N95" s="36"/>
      <c r="O95" s="978"/>
      <c r="P95" s="3"/>
      <c r="Q95" s="963"/>
      <c r="R95" s="979"/>
      <c r="S95" s="967" t="str">
        <f>IF(E92="","",E92)</f>
        <v/>
      </c>
      <c r="T95" s="3"/>
      <c r="U95" s="973" t="str">
        <f>IF(U83=U87,"x","")</f>
        <v/>
      </c>
      <c r="V95" s="3"/>
      <c r="W95" s="3"/>
      <c r="X95" s="3"/>
      <c r="Y95" s="3"/>
      <c r="Z95" s="3"/>
      <c r="AA95" s="3"/>
    </row>
    <row r="96" spans="1:27" ht="12.75" customHeight="1" x14ac:dyDescent="0.2">
      <c r="A96" s="873"/>
      <c r="B96" s="131"/>
      <c r="C96" s="36"/>
      <c r="D96" s="36"/>
      <c r="E96" s="142"/>
      <c r="F96" s="1033" t="str">
        <f>IF(OR(H83="",H87=""),"Daten fehlen!","Das geplante Projekt erscheint aus arbeitswirtschaftlicher Sicht nicht sinnvoll. Der Betrieb wird mit den vorhandenen Arbeitskräften nicht zu bewirtschaften sein!")</f>
        <v>Daten fehlen!</v>
      </c>
      <c r="G96" s="1033"/>
      <c r="H96" s="1033"/>
      <c r="I96" s="1033"/>
      <c r="J96" s="1033"/>
      <c r="K96" s="1033"/>
      <c r="L96" s="1033"/>
      <c r="M96" s="1033"/>
      <c r="N96" s="36"/>
      <c r="O96" s="132"/>
      <c r="P96" s="156"/>
      <c r="Q96" s="3"/>
      <c r="R96" s="979"/>
      <c r="S96" s="967" t="str">
        <f>IF(E94="","",E94)</f>
        <v/>
      </c>
      <c r="T96" s="137"/>
      <c r="U96" s="973" t="str">
        <f>IF(U83&lt;U87,"x","")</f>
        <v>x</v>
      </c>
      <c r="V96" s="3"/>
      <c r="W96" s="3"/>
      <c r="X96" s="3"/>
      <c r="Y96" s="3"/>
      <c r="Z96" s="3"/>
      <c r="AA96" s="3"/>
    </row>
    <row r="97" spans="1:33" ht="12.75" customHeight="1" x14ac:dyDescent="0.2">
      <c r="A97" s="873"/>
      <c r="B97" s="131"/>
      <c r="C97" s="36"/>
      <c r="D97" s="36"/>
      <c r="E97" s="859"/>
      <c r="F97" s="1033"/>
      <c r="G97" s="1033"/>
      <c r="H97" s="1033"/>
      <c r="I97" s="1033"/>
      <c r="J97" s="1033"/>
      <c r="K97" s="1033"/>
      <c r="L97" s="1033"/>
      <c r="M97" s="1033"/>
      <c r="N97" s="36"/>
      <c r="O97" s="132"/>
      <c r="P97" s="156"/>
      <c r="Q97" s="3"/>
      <c r="R97" s="979"/>
      <c r="S97" s="967" t="str">
        <f>IF(E96="","",E96)</f>
        <v/>
      </c>
      <c r="T97" s="137"/>
      <c r="U97" s="973" t="str">
        <f>IF(U83&gt;U87,"x","")</f>
        <v/>
      </c>
      <c r="V97" s="3"/>
      <c r="W97" s="3"/>
      <c r="X97" s="3"/>
      <c r="Y97" s="3"/>
      <c r="Z97" s="3"/>
      <c r="AA97" s="3"/>
    </row>
    <row r="98" spans="1:33" x14ac:dyDescent="0.2">
      <c r="A98" s="873"/>
      <c r="B98" s="131"/>
      <c r="C98" s="36"/>
      <c r="D98" s="36"/>
      <c r="E98" s="36"/>
      <c r="F98" s="36"/>
      <c r="G98" s="36"/>
      <c r="H98" s="36"/>
      <c r="I98" s="36"/>
      <c r="J98" s="36"/>
      <c r="K98" s="36"/>
      <c r="L98" s="36"/>
      <c r="M98" s="36"/>
      <c r="N98" s="36"/>
      <c r="O98" s="150"/>
      <c r="P98" s="3"/>
      <c r="Q98" s="3"/>
      <c r="R98" s="3"/>
      <c r="S98" s="895"/>
      <c r="T98" s="3"/>
      <c r="U98" s="3"/>
      <c r="V98" s="3"/>
      <c r="W98" s="3"/>
      <c r="X98" s="3"/>
      <c r="Y98" s="3"/>
      <c r="Z98" s="3"/>
      <c r="AA98" s="3"/>
    </row>
    <row r="99" spans="1:33" ht="12.75" customHeight="1" x14ac:dyDescent="0.2">
      <c r="A99" s="873"/>
      <c r="B99" s="131"/>
      <c r="C99" s="36"/>
      <c r="D99" s="151" t="s">
        <v>135</v>
      </c>
      <c r="E99" s="1043" t="s">
        <v>136</v>
      </c>
      <c r="F99" s="1043"/>
      <c r="G99" s="1043"/>
      <c r="H99" s="1043"/>
      <c r="I99" s="1043"/>
      <c r="J99" s="1043"/>
      <c r="K99" s="36"/>
      <c r="L99" s="36"/>
      <c r="M99" s="36"/>
      <c r="N99" s="36"/>
      <c r="O99" s="132"/>
      <c r="P99" s="980"/>
      <c r="Q99" s="3"/>
      <c r="R99" s="975" t="s">
        <v>138</v>
      </c>
      <c r="S99" s="965" t="s">
        <v>672</v>
      </c>
      <c r="T99" s="3"/>
      <c r="U99" s="966" t="s">
        <v>673</v>
      </c>
      <c r="V99" s="3"/>
      <c r="W99" s="3"/>
      <c r="X99" s="3"/>
      <c r="Y99" s="3"/>
      <c r="Z99" s="3"/>
      <c r="AA99" s="3"/>
    </row>
    <row r="100" spans="1:33" x14ac:dyDescent="0.2">
      <c r="A100" s="873"/>
      <c r="B100" s="131"/>
      <c r="C100" s="36"/>
      <c r="D100" s="36"/>
      <c r="E100" s="142"/>
      <c r="F100" s="36" t="s">
        <v>137</v>
      </c>
      <c r="G100" s="36"/>
      <c r="H100" s="36"/>
      <c r="I100" s="36"/>
      <c r="J100" s="36"/>
      <c r="K100" s="36"/>
      <c r="L100" s="36"/>
      <c r="M100" s="36"/>
      <c r="N100" s="36"/>
      <c r="O100" s="136" t="str">
        <f>IF(AND(S100="",S102=""),"",IF(AND(S100=U100,S102=U102),Q100,0))</f>
        <v/>
      </c>
      <c r="P100" s="3" t="s">
        <v>108</v>
      </c>
      <c r="Q100" s="963">
        <v>1</v>
      </c>
      <c r="R100" s="975"/>
      <c r="S100" s="976" t="str">
        <f>IF(E100="","",E100)</f>
        <v/>
      </c>
      <c r="U100" s="973" t="str">
        <f>IF($U$104&gt;=0,"x","")</f>
        <v>x</v>
      </c>
      <c r="V100" s="3"/>
      <c r="W100" s="3"/>
      <c r="X100" s="3"/>
      <c r="Y100" s="3"/>
      <c r="Z100" s="3"/>
      <c r="AA100" s="3"/>
    </row>
    <row r="101" spans="1:33" ht="3.95" customHeight="1" x14ac:dyDescent="0.2">
      <c r="A101" s="873"/>
      <c r="B101" s="131"/>
      <c r="C101" s="36"/>
      <c r="D101" s="36"/>
      <c r="E101" s="36"/>
      <c r="F101" s="36"/>
      <c r="G101" s="36"/>
      <c r="H101" s="36"/>
      <c r="I101" s="36"/>
      <c r="J101" s="36"/>
      <c r="K101" s="156"/>
      <c r="L101" s="36"/>
      <c r="M101" s="153"/>
      <c r="N101" s="36"/>
      <c r="O101" s="132"/>
      <c r="P101" s="3"/>
      <c r="Q101" s="963"/>
      <c r="R101" s="975"/>
      <c r="S101" s="895"/>
      <c r="T101" s="140"/>
      <c r="U101" s="895"/>
      <c r="V101" s="3"/>
      <c r="W101" s="3"/>
      <c r="X101" s="3"/>
      <c r="Y101" s="3"/>
      <c r="Z101" s="3"/>
      <c r="AA101" s="3"/>
    </row>
    <row r="102" spans="1:33" x14ac:dyDescent="0.2">
      <c r="A102" s="873"/>
      <c r="B102" s="131"/>
      <c r="C102" s="36"/>
      <c r="D102" s="36"/>
      <c r="E102" s="142"/>
      <c r="F102" s="36" t="s">
        <v>537</v>
      </c>
      <c r="G102" s="36"/>
      <c r="H102" s="36"/>
      <c r="I102" s="36"/>
      <c r="J102" s="36"/>
      <c r="K102" s="156"/>
      <c r="L102" s="36"/>
      <c r="M102" s="153"/>
      <c r="N102" s="36"/>
      <c r="O102" s="132"/>
      <c r="P102" s="3"/>
      <c r="Q102" s="963"/>
      <c r="R102" s="975"/>
      <c r="S102" s="976" t="str">
        <f>IF(E102="","",E102)</f>
        <v/>
      </c>
      <c r="T102" s="140"/>
      <c r="U102" s="973" t="str">
        <f>IF($U$104&lt;0,"x","")</f>
        <v/>
      </c>
      <c r="V102" s="3"/>
      <c r="W102" s="3"/>
      <c r="X102" s="3"/>
      <c r="Y102" s="3"/>
      <c r="Z102" s="3"/>
      <c r="AA102" s="3"/>
    </row>
    <row r="103" spans="1:33" ht="8.1" customHeight="1" x14ac:dyDescent="0.2">
      <c r="A103" s="873"/>
      <c r="B103" s="131"/>
      <c r="C103" s="36"/>
      <c r="D103" s="36"/>
      <c r="E103" s="36"/>
      <c r="F103" s="36"/>
      <c r="G103" s="36"/>
      <c r="H103" s="36"/>
      <c r="I103" s="36"/>
      <c r="J103" s="36"/>
      <c r="K103" s="36"/>
      <c r="L103" s="36"/>
      <c r="M103" s="36"/>
      <c r="N103" s="36"/>
      <c r="O103" s="150"/>
      <c r="P103" s="3"/>
      <c r="Q103" s="3"/>
      <c r="R103" s="975"/>
      <c r="S103" s="895"/>
      <c r="T103" s="3"/>
      <c r="U103" s="3"/>
      <c r="V103" s="3"/>
      <c r="W103" s="3"/>
      <c r="X103" s="3"/>
      <c r="Y103" s="3"/>
      <c r="Z103" s="3"/>
      <c r="AA103" s="3"/>
    </row>
    <row r="104" spans="1:33" x14ac:dyDescent="0.2">
      <c r="A104" s="873"/>
      <c r="B104" s="131"/>
      <c r="C104" s="36"/>
      <c r="D104" s="36"/>
      <c r="E104" s="155" t="s">
        <v>138</v>
      </c>
      <c r="F104" s="36"/>
      <c r="G104" s="36"/>
      <c r="H104" s="157"/>
      <c r="I104" s="887" t="s">
        <v>534</v>
      </c>
      <c r="J104" s="36" t="s">
        <v>139</v>
      </c>
      <c r="K104" s="36"/>
      <c r="L104" s="36"/>
      <c r="M104" s="36"/>
      <c r="N104" s="36"/>
      <c r="O104" s="136" t="str">
        <f>IF(S104="","",IF(U104=S104,Q104,0))</f>
        <v/>
      </c>
      <c r="P104" s="3" t="s">
        <v>108</v>
      </c>
      <c r="Q104" s="963">
        <v>1</v>
      </c>
      <c r="R104" s="975"/>
      <c r="S104" s="976" t="str">
        <f>IF(H104="","",H104)</f>
        <v/>
      </c>
      <c r="T104" s="3"/>
      <c r="U104" s="977">
        <f>IF(Korrektur!D114="","",Korrektur!D114)</f>
        <v>99168.900000000111</v>
      </c>
      <c r="V104" s="3"/>
      <c r="W104" s="3"/>
      <c r="X104" s="3"/>
      <c r="Y104" s="3"/>
      <c r="Z104" s="3"/>
      <c r="AA104" s="3"/>
      <c r="AD104" s="981">
        <f>U104</f>
        <v>99168.900000000111</v>
      </c>
      <c r="AE104" s="706" t="s">
        <v>675</v>
      </c>
    </row>
    <row r="105" spans="1:33" ht="8.1" customHeight="1" x14ac:dyDescent="0.2">
      <c r="A105" s="873"/>
      <c r="B105" s="131"/>
      <c r="C105" s="36"/>
      <c r="D105" s="36"/>
      <c r="E105" s="36"/>
      <c r="F105" s="36"/>
      <c r="G105" s="36"/>
      <c r="H105" s="146"/>
      <c r="I105" s="36"/>
      <c r="J105" s="36"/>
      <c r="K105" s="36"/>
      <c r="L105" s="36"/>
      <c r="M105" s="36"/>
      <c r="N105" s="36"/>
      <c r="O105" s="132"/>
      <c r="P105" s="156"/>
      <c r="Q105" s="3"/>
      <c r="R105" s="975"/>
      <c r="T105" s="3"/>
      <c r="U105" s="895"/>
      <c r="V105" s="3"/>
      <c r="W105" s="3"/>
      <c r="X105" s="3"/>
      <c r="Y105" s="3"/>
      <c r="Z105" s="3"/>
      <c r="AA105" s="3"/>
      <c r="AE105" s="458"/>
    </row>
    <row r="106" spans="1:33" x14ac:dyDescent="0.2">
      <c r="A106" s="873"/>
      <c r="B106" s="131"/>
      <c r="C106" s="36"/>
      <c r="D106" s="36"/>
      <c r="E106" s="36" t="s">
        <v>125</v>
      </c>
      <c r="F106" s="36"/>
      <c r="G106" s="36"/>
      <c r="H106" s="36"/>
      <c r="I106" s="36"/>
      <c r="J106" s="36"/>
      <c r="K106" s="156"/>
      <c r="L106" s="36"/>
      <c r="M106" s="153"/>
      <c r="N106" s="36"/>
      <c r="O106" s="132"/>
      <c r="P106" s="3"/>
      <c r="Q106" s="963"/>
      <c r="R106" s="975"/>
      <c r="T106" s="137"/>
      <c r="U106" s="895"/>
      <c r="V106" s="3"/>
      <c r="W106" s="3"/>
      <c r="X106" s="3"/>
      <c r="Y106" s="3"/>
      <c r="Z106" s="3"/>
      <c r="AA106" s="3"/>
    </row>
    <row r="107" spans="1:33" ht="12.75" customHeight="1" x14ac:dyDescent="0.2">
      <c r="A107" s="873"/>
      <c r="B107" s="131"/>
      <c r="C107" s="36"/>
      <c r="D107" s="158"/>
      <c r="E107" s="1034"/>
      <c r="F107" s="1035"/>
      <c r="G107" s="1035"/>
      <c r="H107" s="1035"/>
      <c r="I107" s="1035"/>
      <c r="J107" s="1035"/>
      <c r="K107" s="1035"/>
      <c r="L107" s="1035"/>
      <c r="M107" s="1036"/>
      <c r="N107" s="36"/>
      <c r="O107" s="136" t="str">
        <f>IF(S107="","",IF(U107=S107,Q107,0))</f>
        <v/>
      </c>
      <c r="P107" s="3" t="s">
        <v>108</v>
      </c>
      <c r="Q107" s="963">
        <v>1</v>
      </c>
      <c r="R107" s="975"/>
      <c r="S107" s="970" t="str">
        <f>IF(E107="","",E107)</f>
        <v/>
      </c>
      <c r="U107" s="971" t="str">
        <f>IF(U104&lt;0,U108,IF(U104=0,U110,IF(U104&gt;0,U109,"")))</f>
        <v>Die Energiebilanz (99 169) ist positiv!</v>
      </c>
      <c r="V107" s="3"/>
      <c r="W107" s="3"/>
      <c r="X107" s="3"/>
      <c r="Y107" s="3"/>
      <c r="Z107" s="3"/>
      <c r="AA107" s="3"/>
    </row>
    <row r="108" spans="1:33" ht="12.75" customHeight="1" x14ac:dyDescent="0.2">
      <c r="A108" s="873"/>
      <c r="B108" s="131"/>
      <c r="C108" s="36"/>
      <c r="D108" s="158"/>
      <c r="E108" s="858" t="s">
        <v>531</v>
      </c>
      <c r="F108" s="220"/>
      <c r="G108" s="220"/>
      <c r="H108" s="220"/>
      <c r="I108" s="220"/>
      <c r="J108" s="220"/>
      <c r="K108" s="220"/>
      <c r="L108" s="220"/>
      <c r="M108" s="220"/>
      <c r="N108" s="36"/>
      <c r="O108" s="3"/>
      <c r="P108" s="3"/>
      <c r="Q108" s="963"/>
      <c r="R108" s="975"/>
      <c r="S108" s="972" t="str">
        <f>IF(H104="","Daten fehlen!","Die Energiebilanz ("&amp;FIXED(H104,0)&amp;") ist negativ!")</f>
        <v>Daten fehlen!</v>
      </c>
      <c r="U108" s="895" t="str">
        <f>IF(U104="","Daten fehlen!","Die Energiebilanz ("&amp;FIXED(U104,0)&amp;") ist negativ!")</f>
        <v>Die Energiebilanz (99 169) ist negativ!</v>
      </c>
      <c r="V108" s="3"/>
      <c r="W108" s="3"/>
      <c r="X108" s="3"/>
      <c r="Y108" s="3"/>
      <c r="Z108" s="3"/>
      <c r="AA108" s="3"/>
    </row>
    <row r="109" spans="1:33" ht="12.75" customHeight="1" x14ac:dyDescent="0.2">
      <c r="A109" s="873"/>
      <c r="B109" s="131"/>
      <c r="C109" s="36"/>
      <c r="D109" s="36"/>
      <c r="E109" s="142"/>
      <c r="F109" s="1033" t="str">
        <f>IF(H104="","Daten fehlen!","Du erzeugst zuwenig Energie aus deinem Grundfutter. Du musst entweder Grundfutter oder Kraftfutter zukaufen. (Energiemangel von mehr als "&amp;FIXED(Z111,0)&amp;" MJ NEL)")</f>
        <v>Daten fehlen!</v>
      </c>
      <c r="G109" s="1033"/>
      <c r="H109" s="1033"/>
      <c r="I109" s="1033"/>
      <c r="J109" s="1033"/>
      <c r="K109" s="1033"/>
      <c r="L109" s="1033"/>
      <c r="M109" s="1033"/>
      <c r="N109" s="36"/>
      <c r="O109" s="136" t="str">
        <f>IF(AND(S112="",S113="",S114="",S115="",S116=""),"",IF(AND(S112=U112,S113=U113,S114=U114,S115=U115,S116=U116),Q109,0))</f>
        <v/>
      </c>
      <c r="P109" s="3" t="s">
        <v>108</v>
      </c>
      <c r="Q109" s="963">
        <v>1</v>
      </c>
      <c r="R109" s="975"/>
      <c r="S109" s="972" t="str">
        <f>IF(H104="","Daten fehlen!","Die Energiebilanz ("&amp;FIXED(H104,0)&amp;") ist positiv!")</f>
        <v>Daten fehlen!</v>
      </c>
      <c r="U109" s="895" t="str">
        <f>IF(U104="","Daten fehlen!","Die Energiebilanz ("&amp;FIXED(U104,0)&amp;") ist positiv!")</f>
        <v>Die Energiebilanz (99 169) ist positiv!</v>
      </c>
      <c r="V109" s="3"/>
      <c r="W109" s="3"/>
      <c r="X109" s="3"/>
      <c r="Y109" s="3"/>
      <c r="Z109" s="3"/>
      <c r="AA109" s="3"/>
      <c r="AD109" s="982" t="str">
        <f>IF(AD104="","Daten fehlen!","Du erzeugst zuwenig Energie aus deinem Grundfutter. Du musst entweder Grundfutter oder Kraftfutter zukaufen. (Energiemangel von mehr als "&amp;FIXED(Z111,0)&amp;" MJ NEL)")</f>
        <v>Du erzeugst zuwenig Energie aus deinem Grundfutter. Du musst entweder Grundfutter oder Kraftfutter zukaufen. (Energiemangel von mehr als 25 000 MJ NEL)</v>
      </c>
      <c r="AE109" s="982"/>
      <c r="AF109" s="982"/>
      <c r="AG109" s="982"/>
    </row>
    <row r="110" spans="1:33" ht="12.75" customHeight="1" x14ac:dyDescent="0.2">
      <c r="A110" s="873"/>
      <c r="B110" s="131"/>
      <c r="C110" s="36"/>
      <c r="D110" s="36"/>
      <c r="E110" s="859"/>
      <c r="F110" s="1033"/>
      <c r="G110" s="1033"/>
      <c r="H110" s="1033"/>
      <c r="I110" s="1033"/>
      <c r="J110" s="1033"/>
      <c r="K110" s="1033"/>
      <c r="L110" s="1033"/>
      <c r="M110" s="1033"/>
      <c r="N110" s="36"/>
      <c r="O110" s="132"/>
      <c r="P110" s="3"/>
      <c r="Q110" s="963"/>
      <c r="R110" s="975"/>
      <c r="S110" s="972" t="str">
        <f>IF(H104="","Daten fehlen!","Die Energiebilanz ("&amp;FIXED(H104,0)&amp;") ist ausgeglichen!")</f>
        <v>Daten fehlen!</v>
      </c>
      <c r="U110" s="895" t="str">
        <f>IF(U104="","Daten fehlen!","Die Energiebilanz ("&amp;FIXED(U104,0)&amp;") ist ausgeglichen!")</f>
        <v>Die Energiebilanz (99 169) ist ausgeglichen!</v>
      </c>
      <c r="V110" s="3"/>
      <c r="W110" s="3"/>
      <c r="X110" s="3"/>
      <c r="Y110" s="3"/>
      <c r="Z110" s="3"/>
      <c r="AA110" s="3"/>
      <c r="AD110" s="982"/>
      <c r="AE110" s="982"/>
      <c r="AF110" s="982"/>
      <c r="AG110" s="982"/>
    </row>
    <row r="111" spans="1:33" ht="12.75" customHeight="1" x14ac:dyDescent="0.2">
      <c r="A111" s="873"/>
      <c r="B111" s="131"/>
      <c r="C111" s="36"/>
      <c r="D111" s="36"/>
      <c r="E111" s="142"/>
      <c r="F111" s="1033" t="str">
        <f>IF(H104="","Daten fehlen!","Der Energiebedarf ist geringfügig höher als die erzeugte Energie. Das könnte aber vermutlich durch eine Intensivierung des Futterbaues ausgeglichen werden! (Energiemangel bis "&amp;FIXED(Z114,0)&amp;" MJ NEL)")</f>
        <v>Daten fehlen!</v>
      </c>
      <c r="G111" s="1033"/>
      <c r="H111" s="1033"/>
      <c r="I111" s="1033"/>
      <c r="J111" s="1033"/>
      <c r="K111" s="1033"/>
      <c r="L111" s="1033"/>
      <c r="M111" s="1033"/>
      <c r="N111" s="36"/>
      <c r="O111" s="132"/>
      <c r="P111" s="3"/>
      <c r="Q111" s="963"/>
      <c r="R111" s="975"/>
      <c r="S111" s="3"/>
      <c r="X111" s="140" t="str">
        <f>IF('[1]E-ErgInt'!T111="","",'[1]E-ErgInt'!T111)</f>
        <v>1.</v>
      </c>
      <c r="Y111" s="3" t="str">
        <f>IF('[1]E-ErgInt'!U111="","",'[1]E-ErgInt'!U111)</f>
        <v>Kleiner</v>
      </c>
      <c r="Z111" s="3">
        <f>IF('[1]E-ErgInt'!V111="","",'[1]E-ErgInt'!V111)</f>
        <v>25000</v>
      </c>
      <c r="AA111" s="3"/>
      <c r="AD111" s="982" t="str">
        <f>IF(AD104="","Daten fehlen!","Der Energiebedarf ist geringfügig höher als die erzeugte Energie. Das könnte aber vermutlich durch eine Intensivierung des Futterbaues ausgeglichen werden! (Energiemangel bis "&amp;FIXED(Z114,0)&amp;" MJ NEL)")</f>
        <v>Der Energiebedarf ist geringfügig höher als die erzeugte Energie. Das könnte aber vermutlich durch eine Intensivierung des Futterbaues ausgeglichen werden! (Energiemangel bis 25 000 MJ NEL)</v>
      </c>
      <c r="AE111" s="982"/>
      <c r="AF111" s="982"/>
      <c r="AG111" s="982"/>
    </row>
    <row r="112" spans="1:33" ht="12.75" customHeight="1" x14ac:dyDescent="0.2">
      <c r="A112" s="873"/>
      <c r="B112" s="131"/>
      <c r="C112" s="36"/>
      <c r="D112" s="36"/>
      <c r="E112" s="859"/>
      <c r="F112" s="1033"/>
      <c r="G112" s="1033"/>
      <c r="H112" s="1033"/>
      <c r="I112" s="1033"/>
      <c r="J112" s="1033"/>
      <c r="K112" s="1033"/>
      <c r="L112" s="1033"/>
      <c r="M112" s="1033"/>
      <c r="N112" s="36"/>
      <c r="O112" s="132"/>
      <c r="P112" s="3"/>
      <c r="Q112" s="963"/>
      <c r="R112" s="975"/>
      <c r="S112" s="967" t="str">
        <f>IF(E109="","",E109)</f>
        <v/>
      </c>
      <c r="T112" s="3"/>
      <c r="U112" s="973" t="str">
        <f>IF(U104&lt;-Z114,"x","")</f>
        <v/>
      </c>
      <c r="X112" s="140" t="str">
        <f>IF('[1]E-ErgInt'!T112="","",'[1]E-ErgInt'!T112)</f>
        <v/>
      </c>
      <c r="Y112" s="3" t="str">
        <f>IF('[1]E-ErgInt'!U112="","",'[1]E-ErgInt'!U112)</f>
        <v>Größer</v>
      </c>
      <c r="Z112" s="3">
        <v>0</v>
      </c>
      <c r="AA112" s="3"/>
      <c r="AD112" s="982"/>
      <c r="AE112" s="982"/>
      <c r="AF112" s="982"/>
      <c r="AG112" s="982"/>
    </row>
    <row r="113" spans="1:33" ht="12.75" customHeight="1" x14ac:dyDescent="0.2">
      <c r="A113" s="873"/>
      <c r="B113" s="131"/>
      <c r="C113" s="36"/>
      <c r="D113" s="36"/>
      <c r="E113" s="142"/>
      <c r="F113" s="1033" t="str">
        <f>IF(H104="","Daten fehlen!","Es wird ein Energieüberschuss erwirtschaftet. Du könntest Flächen anderwertig nutzen oder Grundfutter verkaufen! (Energieüberschuss von mehr als "&amp;FIXED(Z116,0)&amp;" MJ NEL)")</f>
        <v>Daten fehlen!</v>
      </c>
      <c r="G113" s="1033"/>
      <c r="H113" s="1033"/>
      <c r="I113" s="1033"/>
      <c r="J113" s="1033"/>
      <c r="K113" s="1033"/>
      <c r="L113" s="1033"/>
      <c r="M113" s="1033"/>
      <c r="N113" s="36"/>
      <c r="O113" s="132"/>
      <c r="P113" s="3"/>
      <c r="Q113" s="963"/>
      <c r="R113" s="3"/>
      <c r="S113" s="967" t="str">
        <f>IF(E111="","",E111)</f>
        <v/>
      </c>
      <c r="T113" s="137"/>
      <c r="U113" s="973" t="str">
        <f>IF(AND(U104&lt;0,U104&gt;-Z111),"x","")</f>
        <v/>
      </c>
      <c r="X113" s="140" t="str">
        <f>IF('[1]E-ErgInt'!T113="","",'[1]E-ErgInt'!T113)</f>
        <v>2.</v>
      </c>
      <c r="Y113" s="3" t="str">
        <f>IF('[1]E-ErgInt'!U113="","",'[1]E-ErgInt'!U113)</f>
        <v>Kleiner</v>
      </c>
      <c r="Z113" s="3">
        <f>IF('[1]E-ErgInt'!V113="","",'[1]E-ErgInt'!V113)</f>
        <v>0</v>
      </c>
      <c r="AA113" s="3"/>
      <c r="AD113" s="982" t="str">
        <f>IF(AD104="","Daten fehlen!","Es wird ein Energieüberschuss erwirtschaftet. Du könntest Flächen anderwertig nutzen oder Grundfutter verkaufen! (Energieüberschuss von mehr als "&amp;FIXED(Z116,0)&amp;" MJ NEL)")</f>
        <v>Es wird ein Energieüberschuss erwirtschaftet. Du könntest Flächen anderwertig nutzen oder Grundfutter verkaufen! (Energieüberschuss von mehr als 30 000 MJ NEL)</v>
      </c>
      <c r="AE113" s="982"/>
      <c r="AF113" s="982"/>
      <c r="AG113" s="982"/>
    </row>
    <row r="114" spans="1:33" ht="12.75" customHeight="1" x14ac:dyDescent="0.2">
      <c r="A114" s="873"/>
      <c r="B114" s="131"/>
      <c r="C114" s="36"/>
      <c r="D114" s="36"/>
      <c r="E114" s="859"/>
      <c r="F114" s="1033"/>
      <c r="G114" s="1033"/>
      <c r="H114" s="1033"/>
      <c r="I114" s="1033"/>
      <c r="J114" s="1033"/>
      <c r="K114" s="1033"/>
      <c r="L114" s="1033"/>
      <c r="M114" s="1033"/>
      <c r="N114" s="36"/>
      <c r="O114" s="132"/>
      <c r="P114" s="3"/>
      <c r="Q114" s="963"/>
      <c r="R114" s="3"/>
      <c r="S114" s="967" t="str">
        <f>IF(E113="","",E113)</f>
        <v/>
      </c>
      <c r="T114" s="137"/>
      <c r="U114" s="973" t="str">
        <f>IF(U104&gt;Z116,"x","")</f>
        <v>x</v>
      </c>
      <c r="X114" s="140" t="str">
        <f>IF('[1]E-ErgInt'!T114="","",'[1]E-ErgInt'!T114)</f>
        <v/>
      </c>
      <c r="Y114" s="3" t="str">
        <f>IF('[1]E-ErgInt'!U114="","",'[1]E-ErgInt'!U114)</f>
        <v>Größer</v>
      </c>
      <c r="Z114" s="3">
        <f>IF('[1]E-ErgInt'!V114="","",'[1]E-ErgInt'!V114)</f>
        <v>25000</v>
      </c>
      <c r="AA114" s="3"/>
      <c r="AD114" s="982"/>
      <c r="AE114" s="982"/>
      <c r="AF114" s="982"/>
      <c r="AG114" s="982"/>
    </row>
    <row r="115" spans="1:33" ht="12.75" customHeight="1" x14ac:dyDescent="0.2">
      <c r="A115" s="873"/>
      <c r="B115" s="131"/>
      <c r="C115" s="36"/>
      <c r="D115" s="36"/>
      <c r="E115" s="142"/>
      <c r="F115" s="1033" t="str">
        <f>IF(H104="","Daten fehlen!","Das geringfügige Plus an Energie veschafft dir Reserven für Jahre mit schlechteren Wirtschaftsfuttererträgen. (Energieüberschuss bis "&amp;FIXED(Z117,0)&amp;" MJ NEL)")</f>
        <v>Daten fehlen!</v>
      </c>
      <c r="G115" s="1033"/>
      <c r="H115" s="1033"/>
      <c r="I115" s="1033"/>
      <c r="J115" s="1033"/>
      <c r="K115" s="1033"/>
      <c r="L115" s="1033"/>
      <c r="M115" s="1033"/>
      <c r="N115" s="36"/>
      <c r="O115" s="132"/>
      <c r="P115" s="3"/>
      <c r="Q115" s="963"/>
      <c r="R115" s="3"/>
      <c r="S115" s="967" t="str">
        <f>IF(E115="","",E115)</f>
        <v/>
      </c>
      <c r="T115" s="137"/>
      <c r="U115" s="973" t="str">
        <f>IF(AND(U104&gt;0,U104&lt;Z117),"x","")</f>
        <v/>
      </c>
      <c r="X115" s="140" t="str">
        <f>IF('[1]E-ErgInt'!T115="","",'[1]E-ErgInt'!T115)</f>
        <v>3.</v>
      </c>
      <c r="Y115" s="3" t="str">
        <f>IF('[1]E-ErgInt'!U115="","",'[1]E-ErgInt'!U115)</f>
        <v>Kleiner</v>
      </c>
      <c r="Z115" s="3">
        <v>0</v>
      </c>
      <c r="AA115" s="3"/>
      <c r="AD115" s="982" t="str">
        <f>IF(AD104="","Daten fehlen!","Das geringfügige Plus an Energie veschafft dir Reserven für Jahre mit schlechteren Wirtschaftsfuttererträgen. (Energieüberschuss bis "&amp;FIXED(Z117,0)&amp;" MJ NEL)")</f>
        <v>Das geringfügige Plus an Energie veschafft dir Reserven für Jahre mit schlechteren Wirtschaftsfuttererträgen. (Energieüberschuss bis 30 000 MJ NEL)</v>
      </c>
      <c r="AE115" s="982"/>
      <c r="AF115" s="982"/>
      <c r="AG115" s="982"/>
    </row>
    <row r="116" spans="1:33" ht="12.75" customHeight="1" x14ac:dyDescent="0.2">
      <c r="A116" s="873"/>
      <c r="B116" s="131"/>
      <c r="C116" s="36"/>
      <c r="D116" s="36"/>
      <c r="E116" s="859"/>
      <c r="F116" s="1033"/>
      <c r="G116" s="1033"/>
      <c r="H116" s="1033"/>
      <c r="I116" s="1033"/>
      <c r="J116" s="1033"/>
      <c r="K116" s="1033"/>
      <c r="L116" s="1033"/>
      <c r="M116" s="1033"/>
      <c r="N116" s="36"/>
      <c r="O116" s="132"/>
      <c r="P116" s="3"/>
      <c r="Q116" s="963"/>
      <c r="R116" s="3"/>
      <c r="S116" s="967" t="str">
        <f>IF(E117="","",E117)</f>
        <v/>
      </c>
      <c r="T116" s="137"/>
      <c r="U116" s="983" t="str">
        <f>IF(U104=0,"x","")</f>
        <v/>
      </c>
      <c r="X116" s="140" t="str">
        <f>IF('[1]E-ErgInt'!T116="","",'[1]E-ErgInt'!T116)</f>
        <v/>
      </c>
      <c r="Y116" s="3" t="str">
        <f>IF('[1]E-ErgInt'!U116="","",'[1]E-ErgInt'!U116)</f>
        <v>Größer</v>
      </c>
      <c r="Z116" s="3">
        <f>IF('[1]E-ErgInt'!V116="","",'[1]E-ErgInt'!V116)</f>
        <v>30000</v>
      </c>
      <c r="AA116" s="3"/>
      <c r="AD116" s="982"/>
      <c r="AE116" s="982"/>
      <c r="AF116" s="982"/>
      <c r="AG116" s="982"/>
    </row>
    <row r="117" spans="1:33" ht="12.75" customHeight="1" x14ac:dyDescent="0.2">
      <c r="A117" s="873"/>
      <c r="B117" s="131"/>
      <c r="C117" s="36"/>
      <c r="D117" s="36"/>
      <c r="E117" s="142"/>
      <c r="F117" s="1033" t="str">
        <f>IF(H104="","Daten fehlen!","Du erzeugst gerade soviel Energie wie du benötigst. In ertragsschwachen Jahren könnte es allerdings knapp werden. Dann müsstest du etwas Futter zukaufen. (Energiebilanz ausgeglichen!)")</f>
        <v>Daten fehlen!</v>
      </c>
      <c r="G117" s="1033"/>
      <c r="H117" s="1033"/>
      <c r="I117" s="1033"/>
      <c r="J117" s="1033"/>
      <c r="K117" s="1033"/>
      <c r="L117" s="1033"/>
      <c r="M117" s="1033"/>
      <c r="N117" s="36"/>
      <c r="O117" s="132"/>
      <c r="P117" s="3"/>
      <c r="Q117" s="963"/>
      <c r="R117" s="3"/>
      <c r="S117" s="3"/>
      <c r="X117" s="140" t="str">
        <f>IF('[1]E-ErgInt'!T117="","",'[1]E-ErgInt'!T117)</f>
        <v>4.</v>
      </c>
      <c r="Y117" s="3" t="str">
        <f>IF('[1]E-ErgInt'!U117="","",'[1]E-ErgInt'!U117)</f>
        <v>Kleiner</v>
      </c>
      <c r="Z117" s="3">
        <f>IF('[1]E-ErgInt'!V117="","",'[1]E-ErgInt'!V117)</f>
        <v>30000</v>
      </c>
      <c r="AA117" s="3"/>
      <c r="AD117" s="982" t="str">
        <f>IF(AD104="","Daten fehlen!","Du erzeugst gerade soviel Energie wie du benötigst. In ertragsschwachen Jahren könnte es allerdings knapp werden. Dann müsstest du etwas Futter zukaufen. (Energiebilanz ausgeglichen!)")</f>
        <v>Du erzeugst gerade soviel Energie wie du benötigst. In ertragsschwachen Jahren könnte es allerdings knapp werden. Dann müsstest du etwas Futter zukaufen. (Energiebilanz ausgeglichen!)</v>
      </c>
      <c r="AE117" s="982"/>
      <c r="AF117" s="982"/>
      <c r="AG117" s="982"/>
    </row>
    <row r="118" spans="1:33" ht="12.75" customHeight="1" x14ac:dyDescent="0.2">
      <c r="A118" s="873"/>
      <c r="B118" s="131"/>
      <c r="C118" s="36"/>
      <c r="D118" s="36"/>
      <c r="E118" s="859"/>
      <c r="F118" s="1033"/>
      <c r="G118" s="1033"/>
      <c r="H118" s="1033"/>
      <c r="I118" s="1033"/>
      <c r="J118" s="1033"/>
      <c r="K118" s="1033"/>
      <c r="L118" s="1033"/>
      <c r="M118" s="1033"/>
      <c r="N118" s="36"/>
      <c r="O118" s="132"/>
      <c r="P118" s="3"/>
      <c r="Q118" s="963"/>
      <c r="R118" s="3"/>
      <c r="S118" s="3"/>
      <c r="X118" s="140" t="str">
        <f>IF('[1]E-ErgInt'!T118="","",'[1]E-ErgInt'!T118)</f>
        <v/>
      </c>
      <c r="Y118" s="3" t="str">
        <f>IF('[1]E-ErgInt'!U118="","",'[1]E-ErgInt'!U118)</f>
        <v>Größer</v>
      </c>
      <c r="Z118" s="3">
        <f>IF('[1]E-ErgInt'!V118="","",'[1]E-ErgInt'!V118)</f>
        <v>0</v>
      </c>
      <c r="AA118" s="3"/>
      <c r="AD118" s="982"/>
      <c r="AE118" s="982"/>
      <c r="AF118" s="982"/>
      <c r="AG118" s="982"/>
    </row>
    <row r="119" spans="1:33" ht="12.75" customHeight="1" x14ac:dyDescent="0.2">
      <c r="A119" s="873"/>
      <c r="B119" s="131"/>
      <c r="C119" s="36"/>
      <c r="D119" s="36"/>
      <c r="E119" s="859"/>
      <c r="F119" s="890"/>
      <c r="G119" s="890"/>
      <c r="H119" s="890"/>
      <c r="I119" s="890"/>
      <c r="J119" s="890"/>
      <c r="K119" s="890"/>
      <c r="L119" s="890"/>
      <c r="M119" s="890"/>
      <c r="N119" s="36"/>
      <c r="O119" s="132"/>
      <c r="P119" s="3"/>
      <c r="Q119" s="963"/>
      <c r="R119" s="3"/>
      <c r="S119" s="3"/>
      <c r="X119" s="140" t="str">
        <f>IF('[1]E-ErgInt'!T119="","",'[1]E-ErgInt'!T119)</f>
        <v>5.</v>
      </c>
      <c r="Y119" s="3" t="str">
        <f>IF('[1]E-ErgInt'!U119="","",'[1]E-ErgInt'!U119)</f>
        <v>Gleich</v>
      </c>
      <c r="Z119" s="3">
        <f>IF('[1]E-ErgInt'!V119="","",'[1]E-ErgInt'!V119)</f>
        <v>0</v>
      </c>
      <c r="AA119" s="3"/>
    </row>
    <row r="120" spans="1:33" ht="36" customHeight="1" x14ac:dyDescent="0.2">
      <c r="A120" s="873"/>
      <c r="B120" s="131"/>
      <c r="C120" s="36"/>
      <c r="D120" s="151" t="s">
        <v>562</v>
      </c>
      <c r="E120" s="1043" t="str">
        <f>IF('[1]E-ErgInt'!$E$120="","",'[1]E-ErgInt'!$E$120)</f>
        <v>Hättet ihr im Jahr 2013 die Versicherungssumme für euren Stall auf den damals aktuellen Wert angepasst, hättet ihr von der Versicherung um etwa € 33 000,00 mehr bekommen.
Das hätte sich im Ergebnis der Planungsrechnung wie folgt niedergeschlagen:</v>
      </c>
      <c r="F120" s="1043"/>
      <c r="G120" s="1043"/>
      <c r="H120" s="1043"/>
      <c r="I120" s="1043"/>
      <c r="J120" s="1043"/>
      <c r="K120" s="1043"/>
      <c r="L120" s="1043"/>
      <c r="M120" s="1043"/>
      <c r="N120" s="36"/>
      <c r="O120" s="132"/>
      <c r="P120" s="36"/>
      <c r="Q120" s="133"/>
      <c r="R120" s="36"/>
      <c r="S120" s="36"/>
      <c r="T120" s="917">
        <f>IF('[1]E-ErgInt'!$T$120="","",'[1]E-ErgInt'!$T$120)</f>
        <v>33000</v>
      </c>
      <c r="U120" s="36"/>
      <c r="V120" s="36"/>
      <c r="W120" s="36"/>
      <c r="X120" s="36"/>
      <c r="Y120" s="36"/>
      <c r="Z120" s="36"/>
      <c r="AA120" s="36"/>
    </row>
    <row r="121" spans="1:33" s="458" customFormat="1" ht="12.75" customHeight="1" x14ac:dyDescent="0.2">
      <c r="A121" s="921"/>
      <c r="B121" s="131"/>
      <c r="C121" s="918"/>
      <c r="D121" s="918"/>
      <c r="E121" s="922"/>
      <c r="F121" s="923"/>
      <c r="G121" s="923"/>
      <c r="H121" s="923"/>
      <c r="I121" s="923"/>
      <c r="J121" s="923"/>
      <c r="K121" s="923"/>
      <c r="L121" s="923"/>
      <c r="M121" s="923"/>
      <c r="N121" s="918"/>
      <c r="O121" s="132"/>
      <c r="P121" s="918"/>
      <c r="Q121" s="133"/>
      <c r="R121" s="918"/>
      <c r="S121" s="918"/>
      <c r="T121" s="924"/>
      <c r="U121" s="918"/>
      <c r="V121" s="918"/>
      <c r="W121" s="918"/>
      <c r="X121" s="918"/>
      <c r="Y121" s="918"/>
      <c r="Z121" s="918"/>
      <c r="AA121" s="918"/>
    </row>
    <row r="122" spans="1:33" s="458" customFormat="1" ht="12.75" customHeight="1" x14ac:dyDescent="0.2">
      <c r="A122" s="921"/>
      <c r="B122" s="131"/>
      <c r="C122" s="918"/>
      <c r="D122" s="918"/>
      <c r="E122" s="925" t="s">
        <v>654</v>
      </c>
      <c r="F122" s="923"/>
      <c r="G122" s="923"/>
      <c r="H122" s="923"/>
      <c r="I122" s="923"/>
      <c r="J122" s="923"/>
      <c r="K122" s="923"/>
      <c r="L122" s="923"/>
      <c r="M122" s="923"/>
      <c r="N122" s="918"/>
      <c r="O122" s="132"/>
      <c r="P122" s="918"/>
      <c r="Q122" s="133"/>
      <c r="R122" s="918"/>
      <c r="S122" s="918"/>
      <c r="T122" s="924"/>
      <c r="U122" s="918"/>
      <c r="V122" s="918"/>
      <c r="W122" s="918"/>
      <c r="X122" s="918"/>
      <c r="Y122" s="918"/>
      <c r="Z122" s="918"/>
      <c r="AA122" s="918"/>
    </row>
    <row r="123" spans="1:33" s="458" customFormat="1" ht="12.75" customHeight="1" x14ac:dyDescent="0.2">
      <c r="A123" s="921"/>
      <c r="B123" s="131"/>
      <c r="C123" s="918"/>
      <c r="D123" s="918"/>
      <c r="E123" s="918" t="s">
        <v>669</v>
      </c>
      <c r="F123" s="923"/>
      <c r="G123" s="923"/>
      <c r="H123" s="923"/>
      <c r="I123" s="923"/>
      <c r="J123" s="923"/>
      <c r="K123" s="923"/>
      <c r="L123" s="923"/>
      <c r="M123" s="920">
        <f>IF('[1]E-ErgInt'!$M123="","",'[1]E-ErgInt'!$M123)</f>
        <v>11225</v>
      </c>
      <c r="N123" s="918"/>
      <c r="O123" s="132"/>
      <c r="P123" s="918"/>
      <c r="Q123" s="133"/>
      <c r="R123" s="918"/>
      <c r="S123" s="918"/>
      <c r="T123" s="924"/>
      <c r="U123" s="918"/>
      <c r="V123" s="918"/>
      <c r="W123" s="918"/>
      <c r="X123" s="918"/>
      <c r="Y123" s="918"/>
      <c r="Z123" s="918"/>
      <c r="AA123" s="918"/>
    </row>
    <row r="124" spans="1:33" s="458" customFormat="1" ht="12.75" customHeight="1" x14ac:dyDescent="0.2">
      <c r="A124" s="921"/>
      <c r="B124" s="131"/>
      <c r="C124" s="918"/>
      <c r="D124" s="918"/>
      <c r="E124" s="179" t="s">
        <v>655</v>
      </c>
      <c r="F124" s="926"/>
      <c r="G124" s="926"/>
      <c r="H124" s="926"/>
      <c r="I124" s="926"/>
      <c r="J124" s="926"/>
      <c r="K124" s="926"/>
      <c r="L124" s="923"/>
      <c r="M124" s="920">
        <f>IF('[1]E-ErgInt'!$M124="","",'[1]E-ErgInt'!$M124)</f>
        <v>9881</v>
      </c>
      <c r="N124" s="918"/>
      <c r="O124" s="132"/>
      <c r="P124" s="918"/>
      <c r="Q124" s="133"/>
      <c r="R124" s="918"/>
      <c r="S124" s="918"/>
      <c r="T124" s="924"/>
      <c r="U124" s="918"/>
      <c r="V124" s="918"/>
      <c r="W124" s="918"/>
      <c r="X124" s="918"/>
      <c r="Y124" s="918"/>
      <c r="Z124" s="918"/>
      <c r="AA124" s="918"/>
    </row>
    <row r="125" spans="1:33" s="458" customFormat="1" ht="12.75" customHeight="1" x14ac:dyDescent="0.2">
      <c r="A125" s="921"/>
      <c r="B125" s="131"/>
      <c r="C125" s="918"/>
      <c r="D125" s="918"/>
      <c r="E125" s="645" t="s">
        <v>124</v>
      </c>
      <c r="F125" s="927"/>
      <c r="G125" s="927"/>
      <c r="H125" s="928"/>
      <c r="I125" s="927"/>
      <c r="J125" s="927"/>
      <c r="K125" s="927"/>
      <c r="L125" s="923"/>
      <c r="M125" s="930"/>
      <c r="N125" s="918"/>
      <c r="O125" s="136" t="str">
        <f>IF(M125="","",IF('[1]E-ErgInt'!M125=M125,Q125,0))</f>
        <v/>
      </c>
      <c r="P125" s="918" t="s">
        <v>108</v>
      </c>
      <c r="Q125" s="133">
        <v>1</v>
      </c>
      <c r="R125" s="918"/>
      <c r="S125" s="918"/>
      <c r="T125" s="924"/>
      <c r="U125" s="918"/>
      <c r="V125" s="918"/>
      <c r="W125" s="918"/>
      <c r="X125" s="918"/>
      <c r="Y125" s="918"/>
      <c r="Z125" s="918"/>
      <c r="AA125" s="918"/>
    </row>
    <row r="126" spans="1:33" s="458" customFormat="1" ht="8.1" customHeight="1" x14ac:dyDescent="0.2">
      <c r="A126" s="921"/>
      <c r="B126" s="131"/>
      <c r="C126" s="918"/>
      <c r="D126" s="918"/>
      <c r="E126" s="922"/>
      <c r="F126" s="923"/>
      <c r="G126" s="923"/>
      <c r="H126" s="923"/>
      <c r="I126" s="923"/>
      <c r="J126" s="923"/>
      <c r="K126" s="923"/>
      <c r="L126" s="923"/>
      <c r="M126" s="923"/>
      <c r="N126" s="918"/>
      <c r="O126" s="132"/>
      <c r="P126" s="918"/>
      <c r="Q126" s="133"/>
      <c r="R126" s="918"/>
      <c r="S126" s="918"/>
      <c r="T126" s="924"/>
      <c r="U126" s="918"/>
      <c r="V126" s="918"/>
      <c r="W126" s="918"/>
      <c r="X126" s="918"/>
      <c r="Y126" s="918"/>
      <c r="Z126" s="918"/>
      <c r="AA126" s="918"/>
    </row>
    <row r="127" spans="1:33" s="458" customFormat="1" ht="12.75" customHeight="1" x14ac:dyDescent="0.2">
      <c r="A127" s="921"/>
      <c r="B127" s="131"/>
      <c r="C127" s="918"/>
      <c r="D127" s="918"/>
      <c r="E127" s="925" t="s">
        <v>656</v>
      </c>
      <c r="F127" s="923"/>
      <c r="G127" s="923"/>
      <c r="H127" s="923"/>
      <c r="I127" s="923"/>
      <c r="J127" s="923"/>
      <c r="K127" s="923"/>
      <c r="L127" s="923"/>
      <c r="M127" s="923"/>
      <c r="N127" s="918"/>
      <c r="O127" s="132"/>
      <c r="P127" s="918"/>
      <c r="Q127" s="133"/>
      <c r="R127" s="918"/>
      <c r="S127" s="918"/>
      <c r="T127" s="924"/>
      <c r="U127" s="918"/>
      <c r="V127" s="918"/>
      <c r="W127" s="918"/>
      <c r="X127" s="918"/>
      <c r="Y127" s="918"/>
      <c r="Z127" s="918"/>
      <c r="AA127" s="918"/>
    </row>
    <row r="128" spans="1:33" s="458" customFormat="1" ht="12.75" customHeight="1" x14ac:dyDescent="0.2">
      <c r="A128" s="921"/>
      <c r="B128" s="131"/>
      <c r="C128" s="918"/>
      <c r="D128" s="918"/>
      <c r="E128" s="142"/>
      <c r="F128" s="918" t="s">
        <v>120</v>
      </c>
      <c r="G128" s="923"/>
      <c r="H128" s="923"/>
      <c r="I128" s="923"/>
      <c r="J128" s="923"/>
      <c r="K128" s="923"/>
      <c r="L128" s="923"/>
      <c r="M128" s="923"/>
      <c r="N128" s="918"/>
      <c r="O128" s="136" t="str">
        <f>IF(OR(AND(E128="",E130=""),AND(E128&lt;&gt;"",E130&lt;&gt;"",0)),"",IF(AND(E128='[1]E-ErgInt'!E128,E130='[1]E-ErgInt'!E130),Q128,0))</f>
        <v/>
      </c>
      <c r="P128" s="918" t="s">
        <v>108</v>
      </c>
      <c r="Q128" s="133">
        <v>1</v>
      </c>
      <c r="R128" s="918"/>
      <c r="S128" s="918"/>
      <c r="T128" s="924"/>
      <c r="U128" s="918"/>
      <c r="V128" s="918"/>
      <c r="W128" s="918"/>
      <c r="X128" s="918"/>
      <c r="Y128" s="918"/>
      <c r="Z128" s="918"/>
      <c r="AA128" s="918"/>
    </row>
    <row r="129" spans="1:27" s="458" customFormat="1" ht="3.95" customHeight="1" x14ac:dyDescent="0.2">
      <c r="A129" s="921"/>
      <c r="B129" s="131"/>
      <c r="C129" s="918"/>
      <c r="D129" s="918"/>
      <c r="E129" s="918"/>
      <c r="F129" s="918"/>
      <c r="G129" s="923"/>
      <c r="H129" s="923"/>
      <c r="I129" s="923"/>
      <c r="J129" s="923"/>
      <c r="K129" s="923"/>
      <c r="L129" s="923"/>
      <c r="M129" s="923"/>
      <c r="N129" s="918"/>
      <c r="O129" s="132"/>
      <c r="P129" s="918"/>
      <c r="Q129" s="133"/>
      <c r="R129" s="918"/>
      <c r="S129" s="918"/>
      <c r="T129" s="924"/>
      <c r="U129" s="918"/>
      <c r="V129" s="918"/>
      <c r="W129" s="918"/>
      <c r="X129" s="918"/>
      <c r="Y129" s="918"/>
      <c r="Z129" s="918"/>
      <c r="AA129" s="918"/>
    </row>
    <row r="130" spans="1:27" s="458" customFormat="1" ht="12.75" customHeight="1" x14ac:dyDescent="0.2">
      <c r="A130" s="921"/>
      <c r="B130" s="131"/>
      <c r="C130" s="918"/>
      <c r="D130" s="918"/>
      <c r="E130" s="142"/>
      <c r="F130" s="918" t="s">
        <v>121</v>
      </c>
      <c r="G130" s="923"/>
      <c r="H130" s="923"/>
      <c r="I130" s="923"/>
      <c r="J130" s="923"/>
      <c r="K130" s="923"/>
      <c r="L130" s="923"/>
      <c r="M130" s="923"/>
      <c r="N130" s="918"/>
      <c r="O130" s="132"/>
      <c r="P130" s="918"/>
      <c r="Q130" s="133"/>
      <c r="R130" s="918"/>
      <c r="S130" s="918"/>
      <c r="T130" s="924"/>
      <c r="U130" s="918"/>
      <c r="V130" s="918"/>
      <c r="W130" s="918"/>
      <c r="X130" s="918"/>
      <c r="Y130" s="918"/>
      <c r="Z130" s="918"/>
      <c r="AA130" s="918"/>
    </row>
    <row r="131" spans="1:27" s="458" customFormat="1" ht="12.75" customHeight="1" x14ac:dyDescent="0.2">
      <c r="A131" s="921"/>
      <c r="B131" s="131"/>
      <c r="C131" s="918"/>
      <c r="D131" s="918"/>
      <c r="E131" s="922"/>
      <c r="F131" s="923"/>
      <c r="G131" s="923"/>
      <c r="H131" s="923"/>
      <c r="I131" s="923"/>
      <c r="J131" s="923"/>
      <c r="K131" s="923"/>
      <c r="L131" s="923"/>
      <c r="M131" s="923"/>
      <c r="N131" s="918"/>
      <c r="O131" s="132"/>
      <c r="P131" s="918"/>
      <c r="Q131" s="133"/>
      <c r="R131" s="918"/>
      <c r="S131" s="918"/>
      <c r="T131" s="924"/>
      <c r="U131" s="918"/>
      <c r="V131" s="918"/>
      <c r="W131" s="918"/>
      <c r="X131" s="918"/>
      <c r="Y131" s="918"/>
      <c r="Z131" s="918"/>
      <c r="AA131" s="918"/>
    </row>
    <row r="132" spans="1:27" s="458" customFormat="1" ht="12.75" customHeight="1" x14ac:dyDescent="0.2">
      <c r="A132" s="921"/>
      <c r="B132" s="131"/>
      <c r="C132" s="918"/>
      <c r="D132" s="918"/>
      <c r="E132" s="925" t="s">
        <v>657</v>
      </c>
      <c r="F132" s="923"/>
      <c r="G132" s="923"/>
      <c r="H132" s="923"/>
      <c r="I132" s="923"/>
      <c r="J132" s="923"/>
      <c r="K132" s="923"/>
      <c r="L132" s="923"/>
      <c r="M132" s="923"/>
      <c r="N132" s="918"/>
      <c r="O132" s="132"/>
      <c r="P132" s="918"/>
      <c r="Q132" s="133"/>
      <c r="R132" s="918"/>
      <c r="S132" s="918"/>
      <c r="T132" s="924"/>
      <c r="U132" s="918"/>
      <c r="V132" s="918"/>
      <c r="W132" s="918"/>
      <c r="X132" s="918"/>
      <c r="Y132" s="918"/>
      <c r="Z132" s="918"/>
      <c r="AA132" s="918"/>
    </row>
    <row r="133" spans="1:27" s="458" customFormat="1" ht="12.75" customHeight="1" x14ac:dyDescent="0.2">
      <c r="A133" s="921"/>
      <c r="B133" s="131"/>
      <c r="C133" s="918"/>
      <c r="D133" s="918"/>
      <c r="E133" s="918" t="s">
        <v>659</v>
      </c>
      <c r="F133" s="923"/>
      <c r="G133" s="923"/>
      <c r="H133" s="923"/>
      <c r="I133" s="923"/>
      <c r="J133" s="923"/>
      <c r="K133" s="923"/>
      <c r="L133" s="923"/>
      <c r="M133" s="920">
        <f>IF('[1]E-ErgInt'!$M133="","",'[1]E-ErgInt'!$M133)</f>
        <v>10385</v>
      </c>
      <c r="N133" s="918"/>
      <c r="O133" s="132"/>
      <c r="P133" s="918"/>
      <c r="Q133" s="133"/>
      <c r="R133" s="918"/>
      <c r="S133" s="918"/>
      <c r="T133" s="924"/>
      <c r="U133" s="918"/>
      <c r="V133" s="918"/>
      <c r="W133" s="918"/>
      <c r="X133" s="918"/>
      <c r="Y133" s="918"/>
      <c r="Z133" s="918"/>
      <c r="AA133" s="918"/>
    </row>
    <row r="134" spans="1:27" s="458" customFormat="1" ht="12.75" customHeight="1" x14ac:dyDescent="0.2">
      <c r="A134" s="921"/>
      <c r="B134" s="131"/>
      <c r="C134" s="918"/>
      <c r="D134" s="918"/>
      <c r="E134" s="179" t="s">
        <v>660</v>
      </c>
      <c r="F134" s="923"/>
      <c r="G134" s="923"/>
      <c r="H134" s="923"/>
      <c r="I134" s="923"/>
      <c r="J134" s="923"/>
      <c r="K134" s="923"/>
      <c r="L134" s="923"/>
      <c r="M134" s="920">
        <f>IF('[1]E-ErgInt'!$M134="","",'[1]E-ErgInt'!$M134)</f>
        <v>9346</v>
      </c>
      <c r="N134" s="918"/>
      <c r="O134" s="132"/>
      <c r="P134" s="918"/>
      <c r="Q134" s="133"/>
      <c r="R134" s="918"/>
      <c r="T134" s="929" t="s">
        <v>661</v>
      </c>
      <c r="U134" s="918"/>
      <c r="V134" s="918"/>
      <c r="W134" s="918"/>
      <c r="X134" s="918"/>
      <c r="Y134" s="918"/>
      <c r="Z134" s="918"/>
      <c r="AA134" s="918"/>
    </row>
    <row r="135" spans="1:27" s="458" customFormat="1" ht="12.75" customHeight="1" x14ac:dyDescent="0.2">
      <c r="A135" s="921"/>
      <c r="B135" s="131"/>
      <c r="C135" s="918"/>
      <c r="D135" s="918"/>
      <c r="E135" s="1044"/>
      <c r="F135" s="1045"/>
      <c r="G135" s="1045"/>
      <c r="H135" s="1045"/>
      <c r="I135" s="1045"/>
      <c r="J135" s="1045"/>
      <c r="K135" s="1045"/>
      <c r="L135" s="1045"/>
      <c r="M135" s="1046"/>
      <c r="N135" s="918"/>
      <c r="O135" s="136" t="str">
        <f>IF(E135="","",IF('[1]E-ErgInt'!E135=E135,Q135,0))</f>
        <v/>
      </c>
      <c r="P135" s="918" t="s">
        <v>108</v>
      </c>
      <c r="Q135" s="133">
        <v>1</v>
      </c>
      <c r="R135" s="918"/>
      <c r="T135" s="919" t="s">
        <v>664</v>
      </c>
      <c r="U135" s="918"/>
      <c r="V135" s="918"/>
      <c r="W135" s="918"/>
      <c r="X135" s="918"/>
      <c r="Y135" s="918"/>
      <c r="Z135" s="918"/>
      <c r="AA135" s="918"/>
    </row>
    <row r="136" spans="1:27" s="458" customFormat="1" ht="8.1" customHeight="1" x14ac:dyDescent="0.2">
      <c r="A136" s="921"/>
      <c r="B136" s="131"/>
      <c r="C136" s="918"/>
      <c r="D136" s="918"/>
      <c r="E136" s="922"/>
      <c r="F136" s="923"/>
      <c r="G136" s="923"/>
      <c r="H136" s="923"/>
      <c r="I136" s="923"/>
      <c r="J136" s="923"/>
      <c r="K136" s="923"/>
      <c r="L136" s="923"/>
      <c r="M136" s="923"/>
      <c r="N136" s="918"/>
      <c r="O136" s="132"/>
      <c r="P136" s="918"/>
      <c r="Q136" s="133"/>
      <c r="R136" s="918"/>
      <c r="T136" s="919" t="s">
        <v>662</v>
      </c>
      <c r="U136" s="918"/>
      <c r="V136" s="918"/>
      <c r="W136" s="918"/>
      <c r="X136" s="918"/>
      <c r="Y136" s="918"/>
      <c r="Z136" s="918"/>
      <c r="AA136" s="918"/>
    </row>
    <row r="137" spans="1:27" s="458" customFormat="1" ht="12.75" customHeight="1" x14ac:dyDescent="0.2">
      <c r="A137" s="921"/>
      <c r="B137" s="131"/>
      <c r="C137" s="918"/>
      <c r="D137" s="918"/>
      <c r="E137" s="925" t="s">
        <v>658</v>
      </c>
      <c r="F137" s="923"/>
      <c r="G137" s="923"/>
      <c r="H137" s="923"/>
      <c r="I137" s="923"/>
      <c r="J137" s="923"/>
      <c r="K137" s="923"/>
      <c r="L137" s="923"/>
      <c r="M137" s="923"/>
      <c r="N137" s="918"/>
      <c r="O137" s="132"/>
      <c r="P137" s="918"/>
      <c r="Q137" s="133"/>
      <c r="R137" s="918"/>
      <c r="T137" s="919" t="s">
        <v>663</v>
      </c>
      <c r="U137" s="918"/>
      <c r="V137" s="918"/>
      <c r="W137" s="918"/>
      <c r="X137" s="918"/>
      <c r="Y137" s="918"/>
      <c r="Z137" s="918"/>
      <c r="AA137" s="918"/>
    </row>
    <row r="138" spans="1:27" s="458" customFormat="1" ht="12.75" customHeight="1" x14ac:dyDescent="0.2">
      <c r="A138" s="921"/>
      <c r="B138" s="131"/>
      <c r="C138" s="918"/>
      <c r="D138" s="918"/>
      <c r="E138" s="142"/>
      <c r="F138" s="918" t="s">
        <v>120</v>
      </c>
      <c r="G138" s="923"/>
      <c r="H138" s="923"/>
      <c r="I138" s="923"/>
      <c r="J138" s="923"/>
      <c r="K138" s="923"/>
      <c r="L138" s="923"/>
      <c r="M138" s="923"/>
      <c r="N138" s="918"/>
      <c r="O138" s="136" t="str">
        <f>IF(OR(AND(E138="",E140=""),AND(E138&lt;&gt;"",E140&lt;&gt;"",0)),"",IF(AND(E138='[1]E-ErgInt'!E138,E140='[1]E-ErgInt'!E140),Q138,0))</f>
        <v/>
      </c>
      <c r="P138" s="918" t="s">
        <v>108</v>
      </c>
      <c r="Q138" s="133">
        <v>1</v>
      </c>
      <c r="R138" s="918"/>
      <c r="S138" s="918"/>
      <c r="T138" s="924"/>
      <c r="U138" s="918"/>
      <c r="V138" s="918"/>
      <c r="W138" s="918"/>
      <c r="X138" s="918"/>
      <c r="Y138" s="918"/>
      <c r="Z138" s="918"/>
      <c r="AA138" s="918"/>
    </row>
    <row r="139" spans="1:27" s="458" customFormat="1" ht="3.95" customHeight="1" x14ac:dyDescent="0.2">
      <c r="A139" s="921"/>
      <c r="B139" s="131"/>
      <c r="C139" s="918"/>
      <c r="D139" s="918"/>
      <c r="E139" s="918"/>
      <c r="F139" s="918"/>
      <c r="G139" s="923"/>
      <c r="H139" s="923"/>
      <c r="I139" s="923"/>
      <c r="J139" s="923"/>
      <c r="K139" s="923"/>
      <c r="L139" s="923"/>
      <c r="M139" s="923"/>
      <c r="N139" s="918"/>
      <c r="O139" s="132"/>
      <c r="P139" s="918"/>
      <c r="Q139" s="133"/>
      <c r="R139" s="918"/>
      <c r="S139" s="918"/>
      <c r="T139" s="924"/>
      <c r="U139" s="918"/>
      <c r="V139" s="918"/>
      <c r="W139" s="918"/>
      <c r="X139" s="918"/>
      <c r="Y139" s="918"/>
      <c r="Z139" s="918"/>
      <c r="AA139" s="918"/>
    </row>
    <row r="140" spans="1:27" s="458" customFormat="1" ht="12.75" customHeight="1" x14ac:dyDescent="0.2">
      <c r="A140" s="921"/>
      <c r="B140" s="131"/>
      <c r="C140" s="918"/>
      <c r="D140" s="918"/>
      <c r="E140" s="142"/>
      <c r="F140" s="918" t="s">
        <v>121</v>
      </c>
      <c r="G140" s="923"/>
      <c r="H140" s="923"/>
      <c r="I140" s="923"/>
      <c r="J140" s="923"/>
      <c r="K140" s="923"/>
      <c r="L140" s="923"/>
      <c r="M140" s="923"/>
      <c r="N140" s="918"/>
      <c r="O140" s="132"/>
      <c r="P140" s="918"/>
      <c r="Q140" s="133"/>
      <c r="R140" s="918"/>
      <c r="S140" s="918"/>
      <c r="T140" s="924"/>
      <c r="U140" s="918"/>
      <c r="V140" s="918"/>
      <c r="W140" s="918"/>
      <c r="X140" s="918"/>
      <c r="Y140" s="918"/>
      <c r="Z140" s="918"/>
      <c r="AA140" s="918"/>
    </row>
    <row r="141" spans="1:27" s="458" customFormat="1" ht="12.75" customHeight="1" x14ac:dyDescent="0.2">
      <c r="A141" s="921"/>
      <c r="B141" s="131"/>
      <c r="C141" s="918"/>
      <c r="D141" s="918"/>
      <c r="E141" s="922"/>
      <c r="F141" s="923"/>
      <c r="G141" s="923"/>
      <c r="H141" s="923"/>
      <c r="I141" s="923"/>
      <c r="J141" s="923"/>
      <c r="K141" s="923"/>
      <c r="L141" s="923"/>
      <c r="M141" s="923"/>
      <c r="N141" s="918"/>
      <c r="O141" s="132"/>
      <c r="P141" s="918"/>
      <c r="Q141" s="133"/>
      <c r="R141" s="918"/>
      <c r="S141" s="918"/>
      <c r="T141" s="924"/>
      <c r="U141" s="918"/>
      <c r="V141" s="918"/>
      <c r="W141" s="918"/>
      <c r="X141" s="918"/>
      <c r="Y141" s="918"/>
      <c r="Z141" s="918"/>
      <c r="AA141" s="918"/>
    </row>
    <row r="142" spans="1:27" s="458" customFormat="1" x14ac:dyDescent="0.2">
      <c r="A142" s="921"/>
      <c r="B142" s="131"/>
      <c r="C142" s="918"/>
      <c r="D142" s="918"/>
      <c r="E142" s="918"/>
      <c r="F142" s="918"/>
      <c r="G142" s="918"/>
      <c r="H142" s="918"/>
      <c r="I142" s="918"/>
      <c r="J142" s="918"/>
      <c r="K142" s="918"/>
      <c r="L142" s="918"/>
      <c r="M142" s="918"/>
      <c r="N142" s="918"/>
      <c r="O142" s="132"/>
      <c r="P142" s="918"/>
      <c r="Q142" s="133"/>
      <c r="R142" s="918"/>
      <c r="S142" s="918"/>
      <c r="T142" s="918"/>
      <c r="U142" s="918"/>
      <c r="V142" s="918"/>
      <c r="W142" s="918"/>
      <c r="X142" s="918"/>
      <c r="Y142" s="918"/>
      <c r="Z142" s="918"/>
      <c r="AA142" s="918"/>
    </row>
    <row r="143" spans="1:27" x14ac:dyDescent="0.2">
      <c r="A143" s="873"/>
      <c r="B143" s="131"/>
      <c r="C143" s="92" t="s">
        <v>140</v>
      </c>
      <c r="D143" s="92" t="s">
        <v>141</v>
      </c>
      <c r="E143" s="36"/>
      <c r="F143" s="36"/>
      <c r="G143" s="36"/>
      <c r="H143" s="36"/>
      <c r="I143" s="36"/>
      <c r="J143" s="36"/>
      <c r="K143" s="36"/>
      <c r="L143" s="36"/>
      <c r="M143" s="36"/>
      <c r="N143" s="36"/>
      <c r="O143" s="150"/>
      <c r="P143" s="36"/>
      <c r="Q143" s="133"/>
      <c r="R143" s="36"/>
      <c r="S143" s="36"/>
      <c r="T143" s="36"/>
      <c r="U143" s="36"/>
      <c r="V143" s="36"/>
      <c r="W143" s="36"/>
      <c r="X143" s="36"/>
      <c r="Y143" s="36"/>
      <c r="Z143" s="36"/>
      <c r="AA143" s="36"/>
    </row>
    <row r="144" spans="1:27" ht="13.5" customHeight="1" x14ac:dyDescent="0.2">
      <c r="A144" s="873"/>
      <c r="B144" s="131"/>
      <c r="C144" s="36"/>
      <c r="D144" s="36"/>
      <c r="E144" s="36"/>
      <c r="F144" s="36"/>
      <c r="G144" s="36"/>
      <c r="H144" s="36"/>
      <c r="I144" s="36"/>
      <c r="J144" s="36"/>
      <c r="K144" s="36"/>
      <c r="L144" s="36"/>
      <c r="M144" s="36"/>
      <c r="N144" s="36"/>
      <c r="O144" s="132"/>
      <c r="P144" s="36"/>
      <c r="Q144" s="133"/>
      <c r="R144" s="36"/>
      <c r="S144" s="36"/>
      <c r="T144" s="36"/>
      <c r="U144" s="36"/>
      <c r="V144" s="36"/>
      <c r="W144" s="36"/>
      <c r="X144" s="36"/>
      <c r="Y144" s="36"/>
      <c r="Z144" s="36"/>
      <c r="AA144" s="36"/>
    </row>
    <row r="145" spans="1:27" x14ac:dyDescent="0.2">
      <c r="A145" s="873"/>
      <c r="B145" s="131"/>
      <c r="C145" s="36"/>
      <c r="D145" s="159" t="s">
        <v>142</v>
      </c>
      <c r="E145" s="159"/>
      <c r="F145" s="159"/>
      <c r="G145" s="159"/>
      <c r="H145" s="159"/>
      <c r="I145" s="159"/>
      <c r="J145" s="159"/>
      <c r="K145" s="159"/>
      <c r="L145" s="159"/>
      <c r="M145" s="159"/>
      <c r="N145" s="36"/>
      <c r="O145" s="136">
        <f>IF(M1&lt;&gt;"x","",SUM(X148:X169,Y148:Y169,Z148:Z169,AA148:AA169))</f>
        <v>0</v>
      </c>
      <c r="P145" s="3" t="s">
        <v>108</v>
      </c>
      <c r="Q145" s="963">
        <f>IF(M1&lt;&gt;"x","",27)</f>
        <v>27</v>
      </c>
      <c r="R145" s="3"/>
      <c r="S145" s="984" t="s">
        <v>541</v>
      </c>
      <c r="T145" s="984"/>
      <c r="U145" s="984"/>
      <c r="V145" s="984"/>
      <c r="X145" s="985" t="s">
        <v>143</v>
      </c>
      <c r="Y145" s="985"/>
      <c r="Z145" s="986"/>
      <c r="AA145" s="986" t="s">
        <v>144</v>
      </c>
    </row>
    <row r="146" spans="1:27" x14ac:dyDescent="0.2">
      <c r="A146" s="873"/>
      <c r="B146" s="131"/>
      <c r="C146" s="36"/>
      <c r="D146" s="160" t="s">
        <v>143</v>
      </c>
      <c r="E146" s="160"/>
      <c r="F146" s="160"/>
      <c r="G146" s="160"/>
      <c r="H146" s="160"/>
      <c r="I146" s="160"/>
      <c r="J146" s="160"/>
      <c r="K146" s="160"/>
      <c r="L146" s="160"/>
      <c r="M146" s="161" t="s">
        <v>144</v>
      </c>
      <c r="N146" s="36"/>
      <c r="O146" s="132"/>
      <c r="P146" s="3"/>
      <c r="Q146" s="963"/>
      <c r="R146" s="3"/>
      <c r="S146" s="987" t="s">
        <v>143</v>
      </c>
      <c r="T146" s="988"/>
      <c r="U146" s="988"/>
      <c r="V146" s="989" t="s">
        <v>144</v>
      </c>
      <c r="X146" s="990" t="s">
        <v>542</v>
      </c>
      <c r="Y146" s="990" t="s">
        <v>543</v>
      </c>
      <c r="Z146" s="990" t="s">
        <v>544</v>
      </c>
      <c r="AA146" s="990" t="s">
        <v>545</v>
      </c>
    </row>
    <row r="147" spans="1:27" x14ac:dyDescent="0.2">
      <c r="A147" s="873"/>
      <c r="B147" s="131"/>
      <c r="C147" s="36"/>
      <c r="D147" s="36" t="s">
        <v>80</v>
      </c>
      <c r="E147" s="36"/>
      <c r="F147" s="36"/>
      <c r="G147" s="36"/>
      <c r="H147" s="36"/>
      <c r="I147" s="162"/>
      <c r="J147" s="146"/>
      <c r="K147" s="36" t="s">
        <v>145</v>
      </c>
      <c r="L147" s="36"/>
      <c r="M147" s="36"/>
      <c r="N147" s="36"/>
      <c r="O147" s="132"/>
      <c r="P147" s="3"/>
      <c r="Q147" s="963"/>
      <c r="R147" s="3"/>
      <c r="S147" s="991" t="s">
        <v>80</v>
      </c>
      <c r="T147" s="992"/>
      <c r="U147" s="991" t="s">
        <v>145</v>
      </c>
      <c r="V147" s="993"/>
      <c r="X147" s="994" t="s">
        <v>546</v>
      </c>
      <c r="Y147" s="994"/>
      <c r="Z147" s="994" t="s">
        <v>547</v>
      </c>
      <c r="AA147" s="994"/>
    </row>
    <row r="148" spans="1:27" x14ac:dyDescent="0.2">
      <c r="A148" s="873"/>
      <c r="B148" s="131"/>
      <c r="C148" s="36"/>
      <c r="D148" s="1041"/>
      <c r="E148" s="1041"/>
      <c r="F148" s="1041"/>
      <c r="G148" s="861"/>
      <c r="H148" s="144"/>
      <c r="I148" s="862"/>
      <c r="J148" s="146"/>
      <c r="K148" s="163"/>
      <c r="L148" s="861"/>
      <c r="M148" s="144"/>
      <c r="N148" s="861"/>
      <c r="O148" s="132"/>
      <c r="P148" s="3"/>
      <c r="Q148" s="963"/>
      <c r="R148" s="3"/>
      <c r="S148" s="995" t="str">
        <f>IF('[1]E-ErgInt'!D148="","",'[1]E-ErgInt'!D148)</f>
        <v>Grundverbesserungen</v>
      </c>
      <c r="T148" s="996">
        <f>IF('[1]E-ErgInt'!H148="","",'[1]E-ErgInt'!H148)</f>
        <v>1</v>
      </c>
      <c r="U148" s="995" t="str">
        <f>IF('[1]E-ErgInt'!$K$148="","",'[1]E-ErgInt'!$K$148)</f>
        <v>Verbindlichkeiten Futtermittellieferanten</v>
      </c>
      <c r="V148" s="997">
        <f>IF('[1]E-ErgInt'!M148="","",'[1]E-ErgInt'!M148)</f>
        <v>557</v>
      </c>
      <c r="X148" s="998">
        <f>IF(OR(D148=$S$148,D148=$S$150,D148=$S$152),1,0)</f>
        <v>0</v>
      </c>
      <c r="Y148" s="999">
        <f>IF(OR(H148=$T$148,H148=$T$150,H148=$T$152),1,0)</f>
        <v>0</v>
      </c>
      <c r="Z148" s="998">
        <f>IF(OR(K148=$U$148,K148=$U$150),1,0)</f>
        <v>0</v>
      </c>
      <c r="AA148" s="998">
        <f>IF(OR(M148=$V$148,M148=$V$150),1,0)</f>
        <v>0</v>
      </c>
    </row>
    <row r="149" spans="1:27" ht="3.95" customHeight="1" x14ac:dyDescent="0.2">
      <c r="A149" s="873"/>
      <c r="B149" s="131"/>
      <c r="C149" s="36"/>
      <c r="D149" s="36"/>
      <c r="E149" s="36"/>
      <c r="F149" s="36"/>
      <c r="G149" s="861"/>
      <c r="H149" s="36"/>
      <c r="I149" s="862"/>
      <c r="J149" s="146"/>
      <c r="K149" s="36"/>
      <c r="L149" s="861"/>
      <c r="M149" s="36"/>
      <c r="N149" s="861"/>
      <c r="O149" s="132"/>
      <c r="P149" s="3"/>
      <c r="Q149" s="963"/>
      <c r="R149" s="3"/>
      <c r="S149" s="995"/>
      <c r="T149" s="996"/>
      <c r="U149" s="995"/>
      <c r="V149" s="997"/>
      <c r="X149" s="998"/>
      <c r="Y149" s="999"/>
      <c r="Z149" s="998"/>
      <c r="AA149" s="998"/>
    </row>
    <row r="150" spans="1:27" x14ac:dyDescent="0.2">
      <c r="A150" s="873"/>
      <c r="B150" s="131"/>
      <c r="C150" s="36"/>
      <c r="D150" s="1041"/>
      <c r="E150" s="1041"/>
      <c r="F150" s="1041"/>
      <c r="G150" s="861"/>
      <c r="H150" s="144"/>
      <c r="I150" s="862"/>
      <c r="J150" s="146"/>
      <c r="K150" s="163"/>
      <c r="L150" s="861"/>
      <c r="M150" s="144"/>
      <c r="N150" s="861"/>
      <c r="O150" s="132"/>
      <c r="P150" s="3"/>
      <c r="Q150" s="963"/>
      <c r="R150" s="3"/>
      <c r="S150" s="995" t="str">
        <f>IF('[1]E-ErgInt'!D150="","",'[1]E-ErgInt'!D150)</f>
        <v>Gebäude und bauliche Anlagen</v>
      </c>
      <c r="T150" s="996">
        <f>IF('[1]E-ErgInt'!H150="","",'[1]E-ErgInt'!H150)</f>
        <v>120297.39806451614</v>
      </c>
      <c r="U150" s="995" t="str">
        <f>IF('[1]E-ErgInt'!$K$150="","",'[1]E-ErgInt'!$K$150)</f>
        <v>Darlehen</v>
      </c>
      <c r="V150" s="997">
        <f>IF('[1]E-ErgInt'!M150="","",'[1]E-ErgInt'!M150)</f>
        <v>14196</v>
      </c>
      <c r="X150" s="998">
        <f>IF(OR(D150=$S$148,D150=$S$150,D150=$S$152),1,0)</f>
        <v>0</v>
      </c>
      <c r="Y150" s="999">
        <f>IF(OR(H150=$T$148,H150=$T$150,H150=$T$152),1,0)</f>
        <v>0</v>
      </c>
      <c r="Z150" s="998">
        <f>IF(OR(K150=$U$148,K150=$U$150),1,0)</f>
        <v>0</v>
      </c>
      <c r="AA150" s="998">
        <f>IF(OR(M150=$V$148,M150=$V$150),1,0)</f>
        <v>0</v>
      </c>
    </row>
    <row r="151" spans="1:27" ht="3.95" customHeight="1" x14ac:dyDescent="0.2">
      <c r="A151" s="873"/>
      <c r="B151" s="131"/>
      <c r="C151" s="36"/>
      <c r="D151" s="36"/>
      <c r="E151" s="36"/>
      <c r="F151" s="36"/>
      <c r="G151" s="861"/>
      <c r="H151" s="36"/>
      <c r="I151" s="862"/>
      <c r="J151" s="146"/>
      <c r="K151" s="36"/>
      <c r="L151" s="861"/>
      <c r="M151" s="36"/>
      <c r="N151" s="861"/>
      <c r="O151" s="132"/>
      <c r="P151" s="3"/>
      <c r="Q151" s="963"/>
      <c r="R151" s="3"/>
      <c r="S151" s="995"/>
      <c r="T151" s="996"/>
      <c r="U151" s="3"/>
      <c r="V151" s="993"/>
      <c r="X151" s="998"/>
      <c r="Y151" s="999"/>
      <c r="Z151" s="1000"/>
      <c r="AA151" s="1000"/>
    </row>
    <row r="152" spans="1:27" x14ac:dyDescent="0.2">
      <c r="A152" s="873"/>
      <c r="B152" s="131"/>
      <c r="C152" s="36"/>
      <c r="D152" s="1041"/>
      <c r="E152" s="1041"/>
      <c r="F152" s="1041"/>
      <c r="G152" s="861"/>
      <c r="H152" s="144"/>
      <c r="I152" s="862"/>
      <c r="J152" s="146"/>
      <c r="K152" s="36"/>
      <c r="L152" s="861"/>
      <c r="M152" s="36"/>
      <c r="N152" s="861"/>
      <c r="O152" s="132"/>
      <c r="P152" s="3"/>
      <c r="Q152" s="963"/>
      <c r="R152" s="3"/>
      <c r="S152" s="995" t="str">
        <f>IF('[1]E-ErgInt'!D152="","",'[1]E-ErgInt'!D152)</f>
        <v>Maschinen und Geräte</v>
      </c>
      <c r="T152" s="996">
        <f>IF('[1]E-ErgInt'!H152="","",'[1]E-ErgInt'!H152)</f>
        <v>28323.954166666666</v>
      </c>
      <c r="U152" s="3"/>
      <c r="V152" s="993"/>
      <c r="X152" s="998">
        <f>IF(OR(D152=$S$148,D152=$S$150,D152=$S$152),1,0)</f>
        <v>0</v>
      </c>
      <c r="Y152" s="999">
        <f>IF(OR(H152=$T$148,H152=$T$150,H152=$T$152),1,0)</f>
        <v>0</v>
      </c>
      <c r="Z152" s="1000"/>
      <c r="AA152" s="1000"/>
    </row>
    <row r="153" spans="1:27" x14ac:dyDescent="0.2">
      <c r="A153" s="873"/>
      <c r="B153" s="131"/>
      <c r="C153" s="36"/>
      <c r="D153" s="36" t="s">
        <v>84</v>
      </c>
      <c r="E153" s="36"/>
      <c r="F153" s="36"/>
      <c r="G153" s="861"/>
      <c r="H153" s="36"/>
      <c r="I153" s="862"/>
      <c r="J153" s="146"/>
      <c r="K153" s="36"/>
      <c r="L153" s="861"/>
      <c r="M153" s="36"/>
      <c r="N153" s="861"/>
      <c r="O153" s="132"/>
      <c r="P153" s="3"/>
      <c r="Q153" s="963"/>
      <c r="R153" s="3"/>
      <c r="S153" s="1001" t="s">
        <v>84</v>
      </c>
      <c r="T153" s="1002"/>
      <c r="U153" s="3"/>
      <c r="V153" s="993"/>
      <c r="X153" s="994" t="s">
        <v>548</v>
      </c>
      <c r="Y153" s="1003"/>
      <c r="Z153" s="1000"/>
      <c r="AA153" s="1000"/>
    </row>
    <row r="154" spans="1:27" x14ac:dyDescent="0.2">
      <c r="A154" s="873"/>
      <c r="B154" s="131"/>
      <c r="C154" s="36"/>
      <c r="D154" s="1041"/>
      <c r="E154" s="1041"/>
      <c r="F154" s="1041"/>
      <c r="G154" s="861"/>
      <c r="H154" s="144"/>
      <c r="I154" s="862"/>
      <c r="J154" s="146"/>
      <c r="K154" s="36"/>
      <c r="L154" s="861"/>
      <c r="M154" s="36"/>
      <c r="N154" s="861"/>
      <c r="O154" s="132"/>
      <c r="P154" s="3"/>
      <c r="Q154" s="963"/>
      <c r="R154" s="3"/>
      <c r="S154" s="995" t="str">
        <f>IF('[1]E-ErgInt'!D154="","",'[1]E-ErgInt'!D154)</f>
        <v>RINDER</v>
      </c>
      <c r="T154" s="996">
        <f>IF('[1]E-ErgInt'!H154="","",'[1]E-ErgInt'!H154)</f>
        <v>26000</v>
      </c>
      <c r="U154" s="3"/>
      <c r="V154" s="993"/>
      <c r="X154" s="998">
        <f>IF(OR(D154=$S$154,D154=$S$156,D154=$S$158,D154=$S$160,D154=$S$162,D154=$S$164,D154=$S$166),1,0)</f>
        <v>0</v>
      </c>
      <c r="Y154" s="999">
        <f>IF(OR(H154=$T$154,H154=$T$156,H154=$T$158,H154=$T$160,H154=$T$162,H154=$T$164,H154=$T$166),1,0)</f>
        <v>0</v>
      </c>
      <c r="Z154" s="1000"/>
      <c r="AA154" s="1000"/>
    </row>
    <row r="155" spans="1:27" ht="3.95" customHeight="1" x14ac:dyDescent="0.2">
      <c r="A155" s="873"/>
      <c r="B155" s="131"/>
      <c r="C155" s="36"/>
      <c r="D155" s="36"/>
      <c r="E155" s="36"/>
      <c r="F155" s="36"/>
      <c r="G155" s="861"/>
      <c r="H155" s="36"/>
      <c r="I155" s="862"/>
      <c r="J155" s="146"/>
      <c r="K155" s="36"/>
      <c r="L155" s="861"/>
      <c r="M155" s="36"/>
      <c r="N155" s="861"/>
      <c r="O155" s="132"/>
      <c r="P155" s="3"/>
      <c r="Q155" s="963"/>
      <c r="R155" s="3"/>
      <c r="S155" s="995"/>
      <c r="T155" s="996"/>
      <c r="U155" s="3"/>
      <c r="V155" s="993"/>
      <c r="X155" s="998"/>
      <c r="Y155" s="999"/>
      <c r="Z155" s="1000"/>
      <c r="AA155" s="1000"/>
    </row>
    <row r="156" spans="1:27" x14ac:dyDescent="0.2">
      <c r="A156" s="873"/>
      <c r="B156" s="131"/>
      <c r="C156" s="36"/>
      <c r="D156" s="1041"/>
      <c r="E156" s="1041"/>
      <c r="F156" s="1041"/>
      <c r="G156" s="861"/>
      <c r="H156" s="144"/>
      <c r="I156" s="862"/>
      <c r="J156" s="146"/>
      <c r="K156" s="36"/>
      <c r="L156" s="861"/>
      <c r="M156" s="36"/>
      <c r="N156" s="861"/>
      <c r="O156" s="132"/>
      <c r="P156" s="3"/>
      <c r="Q156" s="963"/>
      <c r="R156" s="3"/>
      <c r="S156" s="995" t="str">
        <f>IF('[1]E-ErgInt'!D156="","",'[1]E-ErgInt'!D156)</f>
        <v>HÜHNER</v>
      </c>
      <c r="T156" s="996">
        <f>IF('[1]E-ErgInt'!H156="","",'[1]E-ErgInt'!H156)</f>
        <v>215.59999999999997</v>
      </c>
      <c r="U156" s="3"/>
      <c r="V156" s="993"/>
      <c r="X156" s="998">
        <f>IF(OR(D156=$S$154,D156=$S$156,D156=$S$158,D156=$S$160,D156=$S$162,D156=$S$164,D156=$S$166),1,0)</f>
        <v>0</v>
      </c>
      <c r="Y156" s="999">
        <f>IF(OR(H156=$T$154,H156=$T$156,H156=$T$158,H156=$T$160,H156=$T$162,H156=$T$164,H156=$T$166),1,0)</f>
        <v>0</v>
      </c>
      <c r="Z156" s="1000"/>
      <c r="AA156" s="1000"/>
    </row>
    <row r="157" spans="1:27" ht="3.95" customHeight="1" x14ac:dyDescent="0.2">
      <c r="A157" s="873"/>
      <c r="B157" s="131"/>
      <c r="C157" s="36"/>
      <c r="D157" s="36"/>
      <c r="E157" s="36"/>
      <c r="F157" s="36"/>
      <c r="G157" s="861"/>
      <c r="H157" s="36"/>
      <c r="I157" s="862"/>
      <c r="J157" s="146"/>
      <c r="K157" s="36"/>
      <c r="L157" s="861"/>
      <c r="M157" s="36"/>
      <c r="N157" s="861"/>
      <c r="O157" s="132"/>
      <c r="P157" s="3"/>
      <c r="Q157" s="963"/>
      <c r="R157" s="3"/>
      <c r="S157" s="995"/>
      <c r="T157" s="996"/>
      <c r="U157" s="3"/>
      <c r="V157" s="993"/>
      <c r="X157" s="998"/>
      <c r="Y157" s="999"/>
      <c r="Z157" s="1000"/>
      <c r="AA157" s="1000"/>
    </row>
    <row r="158" spans="1:27" x14ac:dyDescent="0.2">
      <c r="A158" s="873"/>
      <c r="B158" s="131"/>
      <c r="C158" s="36"/>
      <c r="D158" s="1041"/>
      <c r="E158" s="1041"/>
      <c r="F158" s="1041"/>
      <c r="G158" s="861"/>
      <c r="H158" s="144"/>
      <c r="I158" s="862"/>
      <c r="J158" s="146"/>
      <c r="K158" s="36"/>
      <c r="L158" s="861"/>
      <c r="M158" s="164"/>
      <c r="N158" s="861"/>
      <c r="O158" s="132"/>
      <c r="P158" s="3"/>
      <c r="Q158" s="963"/>
      <c r="R158" s="3"/>
      <c r="S158" s="995" t="str">
        <f>IF('[1]E-ErgInt'!D158="","",'[1]E-ErgInt'!D158)</f>
        <v>Selbst erzeugte Vorräte</v>
      </c>
      <c r="T158" s="996">
        <f>IF('[1]E-ErgInt'!H158="","",'[1]E-ErgInt'!H158)</f>
        <v>458.87</v>
      </c>
      <c r="U158" s="3"/>
      <c r="V158" s="993"/>
      <c r="X158" s="998">
        <f>IF(OR(D158=$S$154,D158=$S$156,D158=$S$158,D158=$S$160,D158=$S$162,D158=$S$164,D158=$S$166),1,0)</f>
        <v>0</v>
      </c>
      <c r="Y158" s="999">
        <f>IF(OR(H158=$T$154,H158=$T$156,H158=$T$158,H158=$T$160,H158=$T$162,H158=$T$164,H158=$T$166),1,0)</f>
        <v>0</v>
      </c>
      <c r="Z158" s="1000"/>
      <c r="AA158" s="1000"/>
    </row>
    <row r="159" spans="1:27" ht="3.95" customHeight="1" x14ac:dyDescent="0.2">
      <c r="A159" s="873"/>
      <c r="B159" s="131"/>
      <c r="C159" s="36"/>
      <c r="D159" s="36"/>
      <c r="E159" s="36"/>
      <c r="F159" s="36"/>
      <c r="G159" s="861"/>
      <c r="H159" s="36"/>
      <c r="I159" s="862"/>
      <c r="J159" s="146"/>
      <c r="K159" s="36"/>
      <c r="L159" s="861"/>
      <c r="M159" s="36"/>
      <c r="N159" s="861"/>
      <c r="O159" s="132"/>
      <c r="P159" s="3"/>
      <c r="Q159" s="963"/>
      <c r="R159" s="3"/>
      <c r="S159" s="995"/>
      <c r="T159" s="996"/>
      <c r="U159" s="3"/>
      <c r="V159" s="993"/>
      <c r="X159" s="998"/>
      <c r="Y159" s="999"/>
      <c r="Z159" s="1000"/>
      <c r="AA159" s="1000"/>
    </row>
    <row r="160" spans="1:27" x14ac:dyDescent="0.2">
      <c r="A160" s="873"/>
      <c r="B160" s="131"/>
      <c r="C160" s="36"/>
      <c r="D160" s="1041"/>
      <c r="E160" s="1041"/>
      <c r="F160" s="1041"/>
      <c r="G160" s="861"/>
      <c r="H160" s="144"/>
      <c r="I160" s="862"/>
      <c r="J160" s="146"/>
      <c r="K160" s="36"/>
      <c r="L160" s="861"/>
      <c r="M160" s="36"/>
      <c r="N160" s="861"/>
      <c r="O160" s="132"/>
      <c r="P160" s="3"/>
      <c r="Q160" s="963"/>
      <c r="R160" s="3"/>
      <c r="S160" s="995" t="str">
        <f>IF('[1]E-ErgInt'!D160="","",'[1]E-ErgInt'!D160)</f>
        <v>Zugekaufte Vorräte</v>
      </c>
      <c r="T160" s="996">
        <f>IF('[1]E-ErgInt'!H160="","",'[1]E-ErgInt'!H160)</f>
        <v>363.01</v>
      </c>
      <c r="U160" s="3"/>
      <c r="V160" s="993"/>
      <c r="X160" s="998">
        <f>IF(OR(D160=$S$154,D160=$S$156,D160=$S$158,D160=$S$160,D160=$S$162,D160=$S$164,D160=$S$166),1,0)</f>
        <v>0</v>
      </c>
      <c r="Y160" s="999">
        <f>IF(OR(H160=$T$154,H160=$T$156,H160=$T$158,H160=$T$160,H160=$T$162,H160=$T$164,H160=$T$166),1,0)</f>
        <v>0</v>
      </c>
      <c r="Z160" s="1000"/>
      <c r="AA160" s="1000"/>
    </row>
    <row r="161" spans="1:30" ht="3.95" customHeight="1" x14ac:dyDescent="0.2">
      <c r="A161" s="873"/>
      <c r="B161" s="131"/>
      <c r="C161" s="36"/>
      <c r="D161" s="36"/>
      <c r="E161" s="36"/>
      <c r="F161" s="36"/>
      <c r="G161" s="861"/>
      <c r="H161" s="36"/>
      <c r="I161" s="862"/>
      <c r="J161" s="146"/>
      <c r="K161" s="36"/>
      <c r="L161" s="861"/>
      <c r="M161" s="36"/>
      <c r="N161" s="861"/>
      <c r="O161" s="132"/>
      <c r="P161" s="3"/>
      <c r="Q161" s="963"/>
      <c r="R161" s="3"/>
      <c r="S161" s="995"/>
      <c r="T161" s="996"/>
      <c r="U161" s="3"/>
      <c r="V161" s="993"/>
      <c r="X161" s="998"/>
      <c r="Y161" s="999"/>
      <c r="Z161" s="1000"/>
      <c r="AA161" s="1000"/>
    </row>
    <row r="162" spans="1:30" x14ac:dyDescent="0.2">
      <c r="A162" s="873"/>
      <c r="B162" s="131"/>
      <c r="C162" s="36"/>
      <c r="D162" s="1041"/>
      <c r="E162" s="1041"/>
      <c r="F162" s="1041"/>
      <c r="G162" s="861"/>
      <c r="H162" s="144"/>
      <c r="I162" s="862"/>
      <c r="J162" s="146"/>
      <c r="K162" s="36"/>
      <c r="L162" s="861"/>
      <c r="M162" s="36"/>
      <c r="N162" s="861"/>
      <c r="O162" s="132"/>
      <c r="P162" s="3"/>
      <c r="Q162" s="963"/>
      <c r="R162" s="3"/>
      <c r="S162" s="995" t="str">
        <f>IF('[1]E-ErgInt'!D162="","",'[1]E-ErgInt'!D162)</f>
        <v>Kassa</v>
      </c>
      <c r="T162" s="996">
        <f>IF('[1]E-ErgInt'!H162="","",'[1]E-ErgInt'!H162)</f>
        <v>899</v>
      </c>
      <c r="U162" s="3"/>
      <c r="V162" s="993"/>
      <c r="X162" s="998">
        <f>IF(OR(D162=$S$154,D162=$S$156,D162=$S$158,D162=$S$160,D162=$S$162,D162=$S$164,D162=$S$166),1,0)</f>
        <v>0</v>
      </c>
      <c r="Y162" s="999">
        <f>IF(OR(H162=$T$154,H162=$T$156,H162=$T$158,H162=$T$160,H162=$T$162,H162=$T$164,H162=$T$166),1,0)</f>
        <v>0</v>
      </c>
      <c r="Z162" s="1000"/>
      <c r="AA162" s="1000"/>
    </row>
    <row r="163" spans="1:30" ht="3.95" customHeight="1" x14ac:dyDescent="0.2">
      <c r="A163" s="873"/>
      <c r="B163" s="131"/>
      <c r="C163" s="36"/>
      <c r="D163" s="36"/>
      <c r="E163" s="36"/>
      <c r="F163" s="36"/>
      <c r="G163" s="861"/>
      <c r="H163" s="36"/>
      <c r="I163" s="862"/>
      <c r="J163" s="146"/>
      <c r="K163" s="36"/>
      <c r="L163" s="861"/>
      <c r="M163" s="36"/>
      <c r="N163" s="861"/>
      <c r="O163" s="132"/>
      <c r="P163" s="3"/>
      <c r="Q163" s="963"/>
      <c r="R163" s="3"/>
      <c r="S163" s="995"/>
      <c r="T163" s="996"/>
      <c r="U163" s="3"/>
      <c r="V163" s="993"/>
      <c r="X163" s="998"/>
      <c r="Y163" s="999"/>
      <c r="Z163" s="1000"/>
      <c r="AA163" s="1000"/>
    </row>
    <row r="164" spans="1:30" x14ac:dyDescent="0.2">
      <c r="A164" s="873"/>
      <c r="B164" s="131"/>
      <c r="C164" s="36"/>
      <c r="D164" s="1041"/>
      <c r="E164" s="1041"/>
      <c r="F164" s="1041"/>
      <c r="G164" s="861"/>
      <c r="H164" s="144"/>
      <c r="I164" s="862"/>
      <c r="J164" s="146"/>
      <c r="K164" s="36"/>
      <c r="L164" s="861"/>
      <c r="M164" s="36"/>
      <c r="N164" s="861"/>
      <c r="O164" s="132"/>
      <c r="P164" s="3"/>
      <c r="Q164" s="963"/>
      <c r="R164" s="3"/>
      <c r="S164" s="995" t="str">
        <f>IF('[1]E-ErgInt'!D164="","",'[1]E-ErgInt'!D164)</f>
        <v>Girokonto</v>
      </c>
      <c r="T164" s="996">
        <f>IF('[1]E-ErgInt'!H164="","",'[1]E-ErgInt'!H164)</f>
        <v>3914</v>
      </c>
      <c r="U164" s="3"/>
      <c r="V164" s="993"/>
      <c r="X164" s="998">
        <f>IF(OR(D164=$S$154,D164=$S$156,D164=$S$158,D164=$S$160,D164=$S$162,D164=$S$164,D164=$S$166),1,0)</f>
        <v>0</v>
      </c>
      <c r="Y164" s="999">
        <f>IF(OR(H164=$T$154,H164=$T$156,H164=$T$158,H164=$T$160,H164=$T$162,H164=$T$164,H164=$T$166),1,0)</f>
        <v>0</v>
      </c>
      <c r="Z164" s="1000"/>
      <c r="AA164" s="1000"/>
    </row>
    <row r="165" spans="1:30" ht="3.95" customHeight="1" x14ac:dyDescent="0.2">
      <c r="A165" s="873"/>
      <c r="B165" s="131"/>
      <c r="C165" s="36"/>
      <c r="D165" s="36"/>
      <c r="E165" s="36"/>
      <c r="F165" s="36"/>
      <c r="G165" s="861"/>
      <c r="H165" s="36"/>
      <c r="I165" s="862"/>
      <c r="J165" s="146"/>
      <c r="K165" s="36"/>
      <c r="L165" s="861"/>
      <c r="M165" s="36"/>
      <c r="N165" s="861"/>
      <c r="O165" s="132"/>
      <c r="P165" s="3"/>
      <c r="Q165" s="963"/>
      <c r="R165" s="3"/>
      <c r="S165" s="995"/>
      <c r="T165" s="996"/>
      <c r="U165" s="3"/>
      <c r="V165" s="993"/>
      <c r="X165" s="998"/>
      <c r="Y165" s="999"/>
      <c r="Z165" s="1000"/>
      <c r="AA165" s="1000"/>
    </row>
    <row r="166" spans="1:30" x14ac:dyDescent="0.2">
      <c r="A166" s="873"/>
      <c r="B166" s="131"/>
      <c r="C166" s="36"/>
      <c r="D166" s="1041"/>
      <c r="E166" s="1041"/>
      <c r="F166" s="1041"/>
      <c r="G166" s="861"/>
      <c r="H166" s="144"/>
      <c r="I166" s="862"/>
      <c r="J166" s="146"/>
      <c r="K166" s="36" t="s">
        <v>146</v>
      </c>
      <c r="L166" s="861"/>
      <c r="M166" s="165"/>
      <c r="N166" s="861"/>
      <c r="O166" s="132"/>
      <c r="P166" s="3"/>
      <c r="Q166" s="963"/>
      <c r="R166" s="3"/>
      <c r="S166" s="995" t="str">
        <f>IF('[1]E-ErgInt'!D166="","",'[1]E-ErgInt'!D166)</f>
        <v>Offene Kundenforderungen</v>
      </c>
      <c r="T166" s="996">
        <f>IF('[1]E-ErgInt'!H166="","",'[1]E-ErgInt'!H166)</f>
        <v>1395</v>
      </c>
      <c r="U166" s="3" t="s">
        <v>146</v>
      </c>
      <c r="V166" s="997">
        <f>V169-SUM(V148:V150)</f>
        <v>167114.83223118281</v>
      </c>
      <c r="X166" s="998">
        <f>IF(OR(D166=$S$154,D166=$S$156,D166=$S$158,D166=$S$160,D166=$S$162,D166=$S$164,D166=$S$166),1,0)</f>
        <v>0</v>
      </c>
      <c r="Y166" s="999">
        <f>IF(OR(H166=$T$154,H166=$T$156,H166=$T$158,H166=$T$160,H166=$T$162,H166=$T$164,H166=$T$166),1,0)</f>
        <v>0</v>
      </c>
      <c r="Z166" s="1000" t="s">
        <v>549</v>
      </c>
      <c r="AA166" s="998">
        <f>IF(M166=V166,1,0)</f>
        <v>0</v>
      </c>
    </row>
    <row r="167" spans="1:30" ht="3.95" customHeight="1" x14ac:dyDescent="0.2">
      <c r="A167" s="873"/>
      <c r="B167" s="131"/>
      <c r="C167" s="36"/>
      <c r="D167" s="36"/>
      <c r="E167" s="36"/>
      <c r="F167" s="36"/>
      <c r="G167" s="36"/>
      <c r="H167" s="36"/>
      <c r="I167" s="862"/>
      <c r="J167" s="146"/>
      <c r="K167" s="36"/>
      <c r="L167" s="861"/>
      <c r="M167" s="36"/>
      <c r="N167" s="861"/>
      <c r="O167" s="132"/>
      <c r="P167" s="3"/>
      <c r="Q167" s="963"/>
      <c r="R167" s="3"/>
      <c r="S167" s="3"/>
      <c r="T167" s="1002"/>
      <c r="U167" s="3"/>
      <c r="V167" s="993"/>
      <c r="X167" s="1000"/>
      <c r="Y167" s="1003"/>
      <c r="Z167" s="1000"/>
      <c r="AA167" s="1000"/>
    </row>
    <row r="168" spans="1:30" ht="3.95" customHeight="1" x14ac:dyDescent="0.2">
      <c r="A168" s="873"/>
      <c r="B168" s="131"/>
      <c r="C168" s="36"/>
      <c r="D168" s="166"/>
      <c r="E168" s="166"/>
      <c r="F168" s="166"/>
      <c r="G168" s="166"/>
      <c r="H168" s="166"/>
      <c r="I168" s="863"/>
      <c r="J168" s="166"/>
      <c r="K168" s="166"/>
      <c r="L168" s="864"/>
      <c r="M168" s="166"/>
      <c r="N168" s="861"/>
      <c r="O168" s="132"/>
      <c r="P168" s="3"/>
      <c r="Q168" s="963"/>
      <c r="R168" s="3"/>
      <c r="S168" s="3"/>
      <c r="T168" s="1002"/>
      <c r="U168" s="3"/>
      <c r="V168" s="993"/>
      <c r="X168" s="1000"/>
      <c r="Y168" s="1003"/>
      <c r="Z168" s="1000"/>
      <c r="AA168" s="1000"/>
    </row>
    <row r="169" spans="1:30" ht="13.5" thickBot="1" x14ac:dyDescent="0.25">
      <c r="A169" s="873"/>
      <c r="B169" s="131"/>
      <c r="C169" s="36"/>
      <c r="D169" s="145" t="s">
        <v>147</v>
      </c>
      <c r="E169" s="145"/>
      <c r="F169" s="145"/>
      <c r="G169" s="145"/>
      <c r="H169" s="149"/>
      <c r="I169" s="862"/>
      <c r="J169" s="145"/>
      <c r="K169" s="145" t="s">
        <v>148</v>
      </c>
      <c r="L169" s="865"/>
      <c r="M169" s="149"/>
      <c r="N169" s="861"/>
      <c r="O169" s="132"/>
      <c r="P169" s="3"/>
      <c r="Q169" s="963"/>
      <c r="R169" s="3"/>
      <c r="S169" s="1004" t="s">
        <v>550</v>
      </c>
      <c r="T169" s="1005">
        <f>SUM(T148:T166)</f>
        <v>181867.83223118281</v>
      </c>
      <c r="U169" s="1004" t="s">
        <v>551</v>
      </c>
      <c r="V169" s="1006">
        <f>T169</f>
        <v>181867.83223118281</v>
      </c>
      <c r="X169" s="891" t="s">
        <v>587</v>
      </c>
      <c r="Y169" s="1007">
        <f>IF(H169=T169,1,0)</f>
        <v>0</v>
      </c>
      <c r="Z169" s="891" t="s">
        <v>588</v>
      </c>
      <c r="AA169" s="1008">
        <f>IF(M169=V169,1,0)</f>
        <v>0</v>
      </c>
    </row>
    <row r="170" spans="1:30" ht="3.95" customHeight="1" thickTop="1" thickBot="1" x14ac:dyDescent="0.25">
      <c r="A170" s="873"/>
      <c r="B170" s="131"/>
      <c r="C170" s="36"/>
      <c r="D170" s="167"/>
      <c r="E170" s="167"/>
      <c r="F170" s="167"/>
      <c r="G170" s="167"/>
      <c r="H170" s="167"/>
      <c r="I170" s="168"/>
      <c r="J170" s="167"/>
      <c r="K170" s="167"/>
      <c r="L170" s="167"/>
      <c r="M170" s="167"/>
      <c r="N170" s="36"/>
      <c r="O170" s="132"/>
      <c r="P170" s="3"/>
      <c r="Q170" s="963"/>
      <c r="R170" s="3"/>
      <c r="S170" s="3"/>
      <c r="T170" s="3"/>
      <c r="U170" s="3"/>
      <c r="V170" s="3"/>
      <c r="W170" s="3"/>
      <c r="X170" s="3"/>
      <c r="Y170" s="3"/>
      <c r="Z170" s="3"/>
      <c r="AA170" s="3"/>
    </row>
    <row r="171" spans="1:30" ht="13.5" thickTop="1" x14ac:dyDescent="0.2">
      <c r="A171" s="873"/>
      <c r="B171" s="131"/>
      <c r="C171" s="36"/>
      <c r="D171" s="36"/>
      <c r="E171" s="36"/>
      <c r="F171" s="36"/>
      <c r="G171" s="36"/>
      <c r="H171" s="36"/>
      <c r="I171" s="36"/>
      <c r="J171" s="36"/>
      <c r="K171" s="36"/>
      <c r="L171" s="36"/>
      <c r="M171" s="36"/>
      <c r="N171" s="36"/>
      <c r="O171" s="132"/>
      <c r="P171" s="3"/>
      <c r="Q171" s="963"/>
      <c r="R171" s="3"/>
      <c r="S171" s="3"/>
      <c r="T171" s="3"/>
      <c r="U171" s="3"/>
      <c r="V171" s="3"/>
      <c r="W171" s="3"/>
      <c r="X171" s="3"/>
      <c r="Y171" s="3"/>
      <c r="Z171" s="3"/>
      <c r="AA171" s="3"/>
    </row>
    <row r="172" spans="1:30" ht="12.75" customHeight="1" x14ac:dyDescent="0.2">
      <c r="A172" s="873"/>
      <c r="B172" s="131"/>
      <c r="C172" s="36"/>
      <c r="D172" s="36"/>
      <c r="E172" s="36"/>
      <c r="F172" s="36"/>
      <c r="G172" s="36"/>
      <c r="H172" s="36"/>
      <c r="I172" s="36"/>
      <c r="J172" s="36"/>
      <c r="K172" s="36"/>
      <c r="L172" s="36"/>
      <c r="M172" s="36"/>
      <c r="N172" s="36"/>
      <c r="O172" s="150"/>
      <c r="P172" s="3"/>
      <c r="Q172" s="3"/>
      <c r="R172" s="3"/>
      <c r="S172" s="3"/>
      <c r="T172" s="3"/>
      <c r="U172" s="3"/>
      <c r="V172" s="3"/>
      <c r="W172" s="3"/>
      <c r="X172" s="3"/>
      <c r="Y172" s="3"/>
      <c r="Z172" s="3"/>
      <c r="AA172" s="3"/>
    </row>
    <row r="173" spans="1:30" s="1" customFormat="1" x14ac:dyDescent="0.2">
      <c r="A173" s="873"/>
      <c r="B173" s="131"/>
      <c r="C173" s="92" t="s">
        <v>17</v>
      </c>
      <c r="D173" s="92" t="s">
        <v>552</v>
      </c>
      <c r="E173" s="36"/>
      <c r="F173" s="36"/>
      <c r="G173" s="36"/>
      <c r="H173" s="36"/>
      <c r="I173" s="36"/>
      <c r="J173" s="36"/>
      <c r="K173" s="36"/>
      <c r="L173" s="36"/>
      <c r="M173" s="36"/>
      <c r="N173" s="36"/>
      <c r="O173" s="150"/>
      <c r="P173" s="3"/>
      <c r="Q173" s="963"/>
      <c r="R173" s="3"/>
      <c r="S173" s="3"/>
      <c r="T173" s="3"/>
      <c r="U173" s="3"/>
      <c r="V173" s="3"/>
      <c r="W173" s="3"/>
      <c r="X173" s="3"/>
      <c r="Y173" s="3"/>
      <c r="Z173" s="3"/>
      <c r="AA173" s="3"/>
      <c r="AB173"/>
      <c r="AC173"/>
    </row>
    <row r="174" spans="1:30" s="1" customFormat="1" ht="12.75" customHeight="1" x14ac:dyDescent="0.2">
      <c r="A174" s="873"/>
      <c r="B174" s="131"/>
      <c r="C174" s="36"/>
      <c r="D174" s="36" t="s">
        <v>117</v>
      </c>
      <c r="E174" s="36" t="s">
        <v>589</v>
      </c>
      <c r="F174" s="36"/>
      <c r="G174" s="36"/>
      <c r="H174" s="36"/>
      <c r="I174" s="36"/>
      <c r="J174" s="36"/>
      <c r="K174" s="36"/>
      <c r="L174" s="36"/>
      <c r="M174" s="36"/>
      <c r="N174" s="36"/>
      <c r="O174" s="150"/>
      <c r="P174" s="3"/>
      <c r="Q174" s="3"/>
      <c r="R174" s="3"/>
      <c r="S174" s="965" t="s">
        <v>672</v>
      </c>
      <c r="T174" s="3"/>
      <c r="U174" s="966" t="s">
        <v>673</v>
      </c>
      <c r="V174" s="3"/>
      <c r="W174" s="3"/>
      <c r="X174" s="1009" t="s">
        <v>553</v>
      </c>
      <c r="Y174" s="1010"/>
      <c r="Z174" s="1010"/>
      <c r="AA174" s="1010"/>
      <c r="AB174"/>
      <c r="AC174" s="1009" t="s">
        <v>119</v>
      </c>
      <c r="AD174" s="1009"/>
    </row>
    <row r="175" spans="1:30" s="1" customFormat="1" ht="12.75" customHeight="1" x14ac:dyDescent="0.2">
      <c r="A175" s="873"/>
      <c r="B175" s="131"/>
      <c r="C175" s="138"/>
      <c r="D175" s="36"/>
      <c r="E175" s="142"/>
      <c r="F175" s="1018" t="str">
        <f>IF(X175="","",X175)</f>
        <v>BEZIRKSGERICHT Landeck, GRUNDBUCH 84012 KG – See</v>
      </c>
      <c r="G175" s="890"/>
      <c r="H175" s="890"/>
      <c r="I175" s="890"/>
      <c r="J175" s="890"/>
      <c r="K175" s="890"/>
      <c r="L175" s="890"/>
      <c r="M175" s="890"/>
      <c r="N175" s="36"/>
      <c r="O175" s="136" t="str">
        <f>IF(AND(S175="",S177="",S179="",S181=""),"",IF(AND(S175=U175,S177=U177,S179=U179,S181=U181),Q175,0))</f>
        <v/>
      </c>
      <c r="P175" s="3" t="s">
        <v>108</v>
      </c>
      <c r="Q175" s="963">
        <v>1</v>
      </c>
      <c r="R175" s="3"/>
      <c r="S175" s="976" t="str">
        <f>IF(E175="","",E175)</f>
        <v/>
      </c>
      <c r="T175" s="3"/>
      <c r="U175" s="973"/>
      <c r="V175" s="3"/>
      <c r="W175" s="3"/>
      <c r="X175" s="1011" t="str">
        <f>IF('[1]E-ErgInt'!S175="","",'[1]E-ErgInt'!S175)</f>
        <v>BEZIRKSGERICHT Landeck, GRUNDBUCH 84012 KG – See</v>
      </c>
      <c r="Y175" s="1011"/>
      <c r="Z175" s="1011"/>
      <c r="AA175" s="1011"/>
      <c r="AB175"/>
      <c r="AC175" s="1020" t="s">
        <v>11</v>
      </c>
      <c r="AD175" s="3"/>
    </row>
    <row r="176" spans="1:30" s="1" customFormat="1" ht="3.95" customHeight="1" x14ac:dyDescent="0.2">
      <c r="A176" s="873"/>
      <c r="B176" s="131"/>
      <c r="C176" s="138"/>
      <c r="D176" s="36"/>
      <c r="E176" s="893"/>
      <c r="F176" s="1019"/>
      <c r="G176" s="890"/>
      <c r="H176" s="890"/>
      <c r="I176" s="890"/>
      <c r="J176" s="890"/>
      <c r="K176" s="890"/>
      <c r="L176" s="890"/>
      <c r="M176" s="890"/>
      <c r="N176" s="36"/>
      <c r="O176" s="150"/>
      <c r="P176" s="3"/>
      <c r="Q176" s="3"/>
      <c r="R176" s="3"/>
      <c r="S176" s="895"/>
      <c r="T176" s="3"/>
      <c r="U176" s="895"/>
      <c r="V176" s="3"/>
      <c r="W176" s="3"/>
      <c r="X176" s="1011"/>
      <c r="Y176" s="1011"/>
      <c r="Z176" s="1011"/>
      <c r="AA176" s="1011"/>
      <c r="AB176"/>
      <c r="AC176"/>
      <c r="AD176" s="3"/>
    </row>
    <row r="177" spans="1:30" s="1" customFormat="1" ht="12.75" customHeight="1" x14ac:dyDescent="0.2">
      <c r="A177" s="873"/>
      <c r="B177" s="131"/>
      <c r="C177" s="138"/>
      <c r="D177" s="36"/>
      <c r="E177" s="142"/>
      <c r="F177" s="1018" t="str">
        <f>IF(X177="","",X177)</f>
        <v>BEZIRKSGERICHT Imst, GRUNDBUCH 80006 KG – Karrösten</v>
      </c>
      <c r="G177" s="890"/>
      <c r="H177" s="890"/>
      <c r="I177" s="890"/>
      <c r="J177" s="890"/>
      <c r="K177" s="890"/>
      <c r="L177" s="890"/>
      <c r="M177" s="890"/>
      <c r="N177" s="36"/>
      <c r="O177" s="150"/>
      <c r="P177" s="3"/>
      <c r="Q177" s="3"/>
      <c r="R177" s="3"/>
      <c r="S177" s="976" t="str">
        <f>IF(E177="","",E177)</f>
        <v/>
      </c>
      <c r="T177" s="3"/>
      <c r="U177" s="973"/>
      <c r="V177" s="3"/>
      <c r="W177" s="3"/>
      <c r="X177" s="1011" t="str">
        <f>IF('[1]E-ErgInt'!S177="","",'[1]E-ErgInt'!S177)</f>
        <v>BEZIRKSGERICHT Imst, GRUNDBUCH 80006 KG – Karrösten</v>
      </c>
      <c r="Y177" s="1012"/>
      <c r="Z177" s="1012"/>
      <c r="AA177" s="1012"/>
      <c r="AB177"/>
      <c r="AC177"/>
      <c r="AD177" s="3"/>
    </row>
    <row r="178" spans="1:30" s="1" customFormat="1" ht="3.95" customHeight="1" x14ac:dyDescent="0.2">
      <c r="A178" s="873"/>
      <c r="B178" s="131"/>
      <c r="C178" s="138"/>
      <c r="D178" s="36"/>
      <c r="E178" s="893"/>
      <c r="F178" s="1019"/>
      <c r="G178" s="890"/>
      <c r="H178" s="890"/>
      <c r="I178" s="890"/>
      <c r="J178" s="890"/>
      <c r="K178" s="890"/>
      <c r="L178" s="890"/>
      <c r="M178" s="890"/>
      <c r="N178" s="36"/>
      <c r="O178" s="150"/>
      <c r="P178" s="3"/>
      <c r="Q178" s="3"/>
      <c r="R178" s="3"/>
      <c r="S178"/>
      <c r="T178" s="3"/>
      <c r="U178" s="3"/>
      <c r="V178" s="3"/>
      <c r="W178" s="3"/>
      <c r="X178" s="1012"/>
      <c r="Y178" s="1011"/>
      <c r="Z178" s="1011"/>
      <c r="AA178" s="1011"/>
      <c r="AB178"/>
      <c r="AC178"/>
      <c r="AD178" s="3"/>
    </row>
    <row r="179" spans="1:30" s="1" customFormat="1" ht="12.75" customHeight="1" x14ac:dyDescent="0.2">
      <c r="A179" s="873"/>
      <c r="B179" s="131"/>
      <c r="C179" s="138"/>
      <c r="D179" s="36"/>
      <c r="E179" s="142"/>
      <c r="F179" s="1018" t="str">
        <f>IF(X179="","",X179)</f>
        <v>BEZIRKSGERICHT Landeck, GRUNDBUCH 84006 KG – Kappl</v>
      </c>
      <c r="G179" s="890"/>
      <c r="H179" s="890"/>
      <c r="I179" s="890"/>
      <c r="J179" s="890"/>
      <c r="K179" s="890"/>
      <c r="L179" s="890"/>
      <c r="M179" s="890"/>
      <c r="N179" s="36"/>
      <c r="O179" s="150"/>
      <c r="P179" s="3"/>
      <c r="Q179" s="3"/>
      <c r="R179" s="3"/>
      <c r="S179" s="976" t="str">
        <f>IF(E179="","",E179)</f>
        <v/>
      </c>
      <c r="T179" s="3"/>
      <c r="U179" s="973" t="s">
        <v>11</v>
      </c>
      <c r="V179" s="3"/>
      <c r="W179" s="3"/>
      <c r="X179" s="1012" t="str">
        <f>IF('[1]E-ErgInt'!S179="","",'[1]E-ErgInt'!S179)</f>
        <v>BEZIRKSGERICHT Landeck, GRUNDBUCH 84006 KG – Kappl</v>
      </c>
      <c r="Y179" s="1011"/>
      <c r="Z179" s="1011"/>
      <c r="AA179" s="1011"/>
      <c r="AB179"/>
      <c r="AC179"/>
      <c r="AD179" s="3"/>
    </row>
    <row r="180" spans="1:30" s="1" customFormat="1" ht="3.95" customHeight="1" x14ac:dyDescent="0.2">
      <c r="A180" s="873"/>
      <c r="B180" s="131"/>
      <c r="C180" s="138"/>
      <c r="D180" s="36"/>
      <c r="E180" s="893"/>
      <c r="F180" s="1019"/>
      <c r="G180" s="890"/>
      <c r="H180" s="890"/>
      <c r="I180" s="890"/>
      <c r="J180" s="890"/>
      <c r="K180" s="890"/>
      <c r="L180" s="890"/>
      <c r="M180" s="890"/>
      <c r="N180" s="36"/>
      <c r="O180" s="150"/>
      <c r="P180" s="3"/>
      <c r="Q180" s="3"/>
      <c r="R180" s="3"/>
      <c r="S180"/>
      <c r="T180" s="3"/>
      <c r="U180" s="3"/>
      <c r="V180" s="3"/>
      <c r="W180" s="3"/>
      <c r="X180" s="1011"/>
      <c r="Y180" s="1011"/>
      <c r="Z180" s="1011"/>
      <c r="AA180" s="1011"/>
      <c r="AB180"/>
      <c r="AC180"/>
      <c r="AD180" s="3"/>
    </row>
    <row r="181" spans="1:30" s="1" customFormat="1" ht="12.75" customHeight="1" x14ac:dyDescent="0.2">
      <c r="A181" s="873"/>
      <c r="B181" s="131"/>
      <c r="C181" s="138"/>
      <c r="D181" s="36"/>
      <c r="E181" s="142"/>
      <c r="F181" s="1018" t="str">
        <f>IF(X181="","",X181)</f>
        <v>BEZIRKSGERICHT Imst, GRUNDBUCH 80101 KG – Haiming</v>
      </c>
      <c r="G181" s="890"/>
      <c r="H181" s="890"/>
      <c r="I181" s="890"/>
      <c r="J181" s="890"/>
      <c r="K181" s="890"/>
      <c r="L181" s="890"/>
      <c r="M181" s="890"/>
      <c r="N181" s="36"/>
      <c r="O181" s="150"/>
      <c r="P181" s="3"/>
      <c r="Q181" s="3"/>
      <c r="R181" s="3"/>
      <c r="S181" s="976" t="str">
        <f>IF(E181="","",E181)</f>
        <v/>
      </c>
      <c r="T181" s="3"/>
      <c r="U181" s="973"/>
      <c r="V181" s="3"/>
      <c r="W181" s="3"/>
      <c r="X181" s="1011" t="str">
        <f>IF('[1]E-ErgInt'!S181="","",'[1]E-ErgInt'!S181)</f>
        <v>BEZIRKSGERICHT Imst, GRUNDBUCH 80101 KG – Haiming</v>
      </c>
      <c r="Y181" s="1011"/>
      <c r="Z181" s="1011"/>
      <c r="AA181" s="1011"/>
      <c r="AB181"/>
      <c r="AC181"/>
      <c r="AD181" s="3"/>
    </row>
    <row r="182" spans="1:30" s="1" customFormat="1" ht="12.75" customHeight="1" x14ac:dyDescent="0.2">
      <c r="A182" s="873"/>
      <c r="B182" s="131"/>
      <c r="C182" s="36"/>
      <c r="D182" s="36"/>
      <c r="E182" s="36"/>
      <c r="F182" s="36"/>
      <c r="G182" s="890"/>
      <c r="H182" s="890"/>
      <c r="I182" s="890"/>
      <c r="J182" s="890"/>
      <c r="K182" s="890"/>
      <c r="L182" s="890"/>
      <c r="M182" s="890"/>
      <c r="N182" s="36"/>
      <c r="O182" s="150"/>
      <c r="P182" s="3"/>
      <c r="Q182" s="3"/>
      <c r="R182" s="3"/>
      <c r="S182" s="3"/>
      <c r="T182" s="3"/>
      <c r="U182" s="3"/>
      <c r="V182" s="3"/>
      <c r="W182" s="3"/>
      <c r="X182" s="3"/>
      <c r="Y182" s="3"/>
      <c r="Z182" s="3"/>
      <c r="AA182" s="3"/>
      <c r="AB182"/>
      <c r="AC182"/>
      <c r="AD182" s="3"/>
    </row>
    <row r="183" spans="1:30" s="1" customFormat="1" ht="12.75" customHeight="1" x14ac:dyDescent="0.2">
      <c r="A183" s="873"/>
      <c r="B183" s="131"/>
      <c r="C183" s="36"/>
      <c r="D183" s="36" t="s">
        <v>105</v>
      </c>
      <c r="E183" s="36" t="s">
        <v>554</v>
      </c>
      <c r="F183" s="36"/>
      <c r="G183" s="36"/>
      <c r="H183" s="36"/>
      <c r="I183" s="36"/>
      <c r="J183" s="36"/>
      <c r="K183" s="36"/>
      <c r="L183" s="36"/>
      <c r="M183" s="36"/>
      <c r="N183" s="36"/>
      <c r="O183" s="150"/>
      <c r="P183" s="3"/>
      <c r="Q183" s="3"/>
      <c r="R183" s="3"/>
      <c r="S183" s="3"/>
      <c r="T183" s="3"/>
      <c r="U183" s="3"/>
      <c r="V183" s="3"/>
      <c r="W183" s="3"/>
      <c r="X183" s="3"/>
      <c r="Y183" s="3"/>
      <c r="Z183" s="3"/>
      <c r="AA183" s="3"/>
      <c r="AB183"/>
      <c r="AC183"/>
      <c r="AD183" s="3"/>
    </row>
    <row r="184" spans="1:30" s="1" customFormat="1" ht="12.75" customHeight="1" x14ac:dyDescent="0.2">
      <c r="A184" s="873"/>
      <c r="B184" s="131"/>
      <c r="C184" s="36"/>
      <c r="D184" s="36"/>
      <c r="E184" s="153" t="s">
        <v>555</v>
      </c>
      <c r="F184" s="36"/>
      <c r="G184" s="36"/>
      <c r="H184" s="36"/>
      <c r="I184" s="36"/>
      <c r="J184" s="36"/>
      <c r="K184" s="36"/>
      <c r="L184" s="36"/>
      <c r="M184" s="36"/>
      <c r="N184" s="36"/>
      <c r="O184" s="150"/>
      <c r="P184" s="3"/>
      <c r="Q184" s="3"/>
      <c r="R184" s="3"/>
      <c r="S184" s="3"/>
      <c r="T184" s="3"/>
      <c r="U184" s="3"/>
      <c r="V184" s="3"/>
      <c r="W184" s="3"/>
      <c r="X184" s="3"/>
      <c r="Y184" s="3"/>
      <c r="Z184" s="3"/>
      <c r="AA184" s="3"/>
      <c r="AB184"/>
      <c r="AC184"/>
      <c r="AD184" s="3"/>
    </row>
    <row r="185" spans="1:30" s="1" customFormat="1" ht="12.75" customHeight="1" x14ac:dyDescent="0.2">
      <c r="A185" s="873"/>
      <c r="B185" s="131"/>
      <c r="C185" s="36"/>
      <c r="D185" s="36"/>
      <c r="E185" s="1050"/>
      <c r="F185" s="1051"/>
      <c r="G185" s="36"/>
      <c r="H185" s="896" t="s">
        <v>556</v>
      </c>
      <c r="I185" s="36"/>
      <c r="J185" s="36"/>
      <c r="K185" s="36"/>
      <c r="L185" s="36"/>
      <c r="M185" s="36"/>
      <c r="N185" s="36"/>
      <c r="O185" s="136" t="str">
        <f>IF(S185="","",IF(U185=S185,Q185,0))</f>
        <v/>
      </c>
      <c r="P185" s="3" t="s">
        <v>108</v>
      </c>
      <c r="Q185" s="963">
        <v>1</v>
      </c>
      <c r="R185" s="3"/>
      <c r="S185" s="976" t="str">
        <f>IF(E185="","",E185)</f>
        <v/>
      </c>
      <c r="T185" s="3"/>
      <c r="U185" s="1013">
        <f>IF('[1]E-ErgInt'!E185="","",'[1]E-ErgInt'!E185)</f>
        <v>236</v>
      </c>
      <c r="V185" s="3"/>
      <c r="W185" s="3"/>
      <c r="X185" s="3"/>
      <c r="Y185" s="3"/>
      <c r="Z185" s="3"/>
      <c r="AA185" s="3"/>
      <c r="AB185"/>
      <c r="AC185"/>
      <c r="AD185" s="3"/>
    </row>
    <row r="186" spans="1:30" s="1" customFormat="1" ht="12.75" customHeight="1" x14ac:dyDescent="0.2">
      <c r="A186" s="873"/>
      <c r="B186" s="131"/>
      <c r="C186" s="36"/>
      <c r="D186" s="36"/>
      <c r="E186" s="155"/>
      <c r="F186" s="146"/>
      <c r="G186" s="36"/>
      <c r="H186" s="36"/>
      <c r="I186" s="36"/>
      <c r="J186" s="36"/>
      <c r="K186" s="36"/>
      <c r="L186" s="36"/>
      <c r="M186" s="36"/>
      <c r="N186" s="36"/>
      <c r="O186" s="150"/>
      <c r="P186" s="3"/>
      <c r="Q186" s="3"/>
      <c r="R186" s="3"/>
      <c r="S186" s="3"/>
      <c r="T186" s="3"/>
      <c r="U186" s="3"/>
      <c r="V186" s="3"/>
      <c r="W186" s="3"/>
      <c r="X186" s="3"/>
      <c r="Y186" s="3"/>
      <c r="Z186" s="3"/>
      <c r="AA186" s="3"/>
      <c r="AB186"/>
      <c r="AC186"/>
      <c r="AD186" s="3"/>
    </row>
    <row r="187" spans="1:30" s="1" customFormat="1" ht="12.75" customHeight="1" x14ac:dyDescent="0.2">
      <c r="A187" s="873"/>
      <c r="B187" s="131"/>
      <c r="C187" s="36"/>
      <c r="D187" s="36" t="s">
        <v>112</v>
      </c>
      <c r="E187" s="155" t="s">
        <v>557</v>
      </c>
      <c r="F187" s="146"/>
      <c r="G187" s="36"/>
      <c r="H187" s="36"/>
      <c r="I187" s="36"/>
      <c r="J187" s="36"/>
      <c r="K187" s="36"/>
      <c r="L187" s="36"/>
      <c r="M187" s="36"/>
      <c r="N187" s="36"/>
      <c r="O187" s="150"/>
      <c r="P187" s="3"/>
      <c r="Q187" s="3"/>
      <c r="R187" s="3"/>
      <c r="S187" s="3"/>
      <c r="T187" s="3"/>
      <c r="U187" s="3"/>
      <c r="V187" s="3"/>
      <c r="W187" s="3"/>
      <c r="X187" s="3"/>
      <c r="Y187" s="3"/>
      <c r="Z187" s="3"/>
      <c r="AA187" s="3"/>
      <c r="AB187"/>
      <c r="AC187"/>
      <c r="AD187" s="3"/>
    </row>
    <row r="188" spans="1:30" s="1" customFormat="1" ht="12.75" customHeight="1" x14ac:dyDescent="0.2">
      <c r="A188" s="873"/>
      <c r="B188" s="131"/>
      <c r="C188" s="36"/>
      <c r="D188" s="36"/>
      <c r="E188" s="36"/>
      <c r="F188" s="36" t="s">
        <v>461</v>
      </c>
      <c r="G188" s="36"/>
      <c r="H188" s="897"/>
      <c r="I188" s="36"/>
      <c r="J188" s="36"/>
      <c r="K188" s="896" t="s">
        <v>558</v>
      </c>
      <c r="L188" s="36"/>
      <c r="M188" s="36"/>
      <c r="N188" s="36"/>
      <c r="O188" s="136" t="str">
        <f>IF(S188="","",IF(U188=S188,Q188,0))</f>
        <v/>
      </c>
      <c r="P188" s="3" t="s">
        <v>108</v>
      </c>
      <c r="Q188" s="963">
        <v>1</v>
      </c>
      <c r="R188" s="3"/>
      <c r="S188" s="976" t="str">
        <f>IF(H188="","",H188)</f>
        <v/>
      </c>
      <c r="T188" s="3"/>
      <c r="U188" s="1013">
        <f>IF('[1]E-ErgInt'!H188="","",'[1]E-ErgInt'!H188)</f>
        <v>2015</v>
      </c>
      <c r="V188" s="3"/>
      <c r="W188" s="3"/>
      <c r="X188" s="3"/>
      <c r="Y188" s="3"/>
      <c r="Z188" s="3"/>
      <c r="AA188" s="3"/>
      <c r="AB188"/>
      <c r="AC188"/>
      <c r="AD188" s="3"/>
    </row>
    <row r="189" spans="1:30" s="1" customFormat="1" ht="12.75" customHeight="1" x14ac:dyDescent="0.2">
      <c r="A189" s="873"/>
      <c r="B189" s="131"/>
      <c r="C189" s="36"/>
      <c r="D189" s="36"/>
      <c r="E189" s="36"/>
      <c r="F189" s="36"/>
      <c r="G189" s="36"/>
      <c r="H189" s="36"/>
      <c r="I189" s="36"/>
      <c r="J189" s="36"/>
      <c r="K189" s="36"/>
      <c r="L189" s="36"/>
      <c r="M189" s="36"/>
      <c r="N189" s="36"/>
      <c r="O189" s="150"/>
      <c r="P189" s="3"/>
      <c r="Q189" s="3"/>
      <c r="R189" s="3"/>
      <c r="S189" s="3"/>
      <c r="T189" s="3"/>
      <c r="U189" s="3"/>
      <c r="V189" s="3"/>
      <c r="W189" s="3"/>
      <c r="X189" s="3"/>
      <c r="Y189" s="3"/>
      <c r="Z189" s="3"/>
      <c r="AA189" s="3"/>
      <c r="AB189"/>
      <c r="AC189"/>
      <c r="AD189" s="3"/>
    </row>
    <row r="190" spans="1:30" s="1" customFormat="1" ht="12.75" customHeight="1" x14ac:dyDescent="0.2">
      <c r="A190" s="873"/>
      <c r="B190" s="131"/>
      <c r="C190" s="36"/>
      <c r="D190" s="36"/>
      <c r="E190" s="155" t="s">
        <v>590</v>
      </c>
      <c r="F190" s="36"/>
      <c r="G190" s="36"/>
      <c r="H190" s="36"/>
      <c r="I190" s="36"/>
      <c r="J190" s="36"/>
      <c r="K190" s="36"/>
      <c r="L190" s="36"/>
      <c r="M190" s="36"/>
      <c r="N190" s="36"/>
      <c r="O190" s="3"/>
      <c r="P190" s="3"/>
      <c r="Q190" s="3"/>
      <c r="R190" s="3"/>
      <c r="S190" s="3"/>
      <c r="T190" s="3"/>
      <c r="U190" s="3"/>
      <c r="V190" s="3"/>
      <c r="W190" s="3"/>
      <c r="X190" s="3"/>
      <c r="Y190" s="3"/>
      <c r="Z190" s="3"/>
      <c r="AA190" s="3"/>
      <c r="AB190"/>
      <c r="AC190"/>
      <c r="AD190" s="3"/>
    </row>
    <row r="191" spans="1:30" s="1" customFormat="1" x14ac:dyDescent="0.2">
      <c r="A191" s="873"/>
      <c r="B191" s="131"/>
      <c r="C191" s="36"/>
      <c r="D191" s="36"/>
      <c r="E191" s="142"/>
      <c r="F191" s="894" t="str">
        <f>IF('[1]E-ErgInt'!$F191="","",'[1]E-ErgInt'!$F191)</f>
        <v>Einlagezahl</v>
      </c>
      <c r="G191" s="898"/>
      <c r="H191" s="898"/>
      <c r="I191" s="898"/>
      <c r="J191" s="898"/>
      <c r="K191" s="898"/>
      <c r="L191" s="898"/>
      <c r="M191" s="898"/>
      <c r="N191" s="36"/>
      <c r="O191" s="136" t="str">
        <f>IF(AND(S191="",S193="",S195="",S197="",S199=""),"",IF(AND(S191=U191,S193=U193,S195=U195,S197=U197,S199=U199),Q191,0))</f>
        <v/>
      </c>
      <c r="P191" s="3" t="s">
        <v>108</v>
      </c>
      <c r="Q191" s="963">
        <v>1</v>
      </c>
      <c r="R191" s="3"/>
      <c r="S191" s="976" t="str">
        <f>IF(E191="","",E191)</f>
        <v/>
      </c>
      <c r="T191" s="3"/>
      <c r="U191" s="973"/>
      <c r="V191" s="3"/>
      <c r="W191" s="3"/>
      <c r="X191" s="3"/>
      <c r="Y191" s="3"/>
      <c r="Z191" s="3"/>
      <c r="AA191" s="3"/>
      <c r="AB191"/>
      <c r="AC191"/>
      <c r="AD191" s="3"/>
    </row>
    <row r="192" spans="1:30" s="1" customFormat="1" ht="3.95" customHeight="1" x14ac:dyDescent="0.2">
      <c r="A192" s="873"/>
      <c r="B192" s="131"/>
      <c r="C192" s="36"/>
      <c r="D192" s="36"/>
      <c r="E192" s="898"/>
      <c r="F192" s="894"/>
      <c r="G192" s="898"/>
      <c r="H192" s="898"/>
      <c r="I192" s="898"/>
      <c r="J192" s="898"/>
      <c r="K192" s="898"/>
      <c r="L192" s="898"/>
      <c r="M192" s="898"/>
      <c r="N192" s="36"/>
      <c r="O192" s="150"/>
      <c r="P192" s="3"/>
      <c r="Q192" s="3"/>
      <c r="R192" s="3"/>
      <c r="S192" s="895"/>
      <c r="T192" s="3"/>
      <c r="U192" s="895"/>
      <c r="V192" s="3"/>
      <c r="W192" s="3"/>
      <c r="X192" s="3"/>
      <c r="Y192" s="3"/>
      <c r="Z192" s="3"/>
      <c r="AA192" s="3"/>
      <c r="AB192"/>
      <c r="AC192"/>
      <c r="AD192" s="3"/>
    </row>
    <row r="193" spans="1:30" s="1" customFormat="1" x14ac:dyDescent="0.2">
      <c r="A193" s="873"/>
      <c r="B193" s="131"/>
      <c r="C193" s="36"/>
      <c r="D193" s="36"/>
      <c r="E193" s="142"/>
      <c r="F193" s="894" t="str">
        <f>IF('[1]E-ErgInt'!$F193="","",'[1]E-ErgInt'!$F193)</f>
        <v>Laufende Nummer</v>
      </c>
      <c r="G193" s="898"/>
      <c r="H193" s="898"/>
      <c r="I193" s="898"/>
      <c r="J193" s="898"/>
      <c r="K193" s="898"/>
      <c r="L193" s="898"/>
      <c r="M193" s="898"/>
      <c r="N193" s="36"/>
      <c r="O193" s="150"/>
      <c r="P193" s="3"/>
      <c r="Q193" s="3"/>
      <c r="R193" s="3"/>
      <c r="S193" s="976" t="str">
        <f>IF(E193="","",E193)</f>
        <v/>
      </c>
      <c r="T193" s="3"/>
      <c r="U193" s="973"/>
      <c r="V193" s="3"/>
      <c r="W193" s="3"/>
      <c r="X193" s="3"/>
      <c r="Y193" s="3"/>
      <c r="Z193" s="3"/>
      <c r="AA193" s="3"/>
      <c r="AB193"/>
      <c r="AC193"/>
      <c r="AD193" s="3"/>
    </row>
    <row r="194" spans="1:30" s="1" customFormat="1" ht="3.95" customHeight="1" x14ac:dyDescent="0.2">
      <c r="A194" s="873"/>
      <c r="B194" s="131"/>
      <c r="C194" s="36"/>
      <c r="D194" s="36"/>
      <c r="E194" s="898"/>
      <c r="F194" s="894"/>
      <c r="G194" s="898"/>
      <c r="H194" s="898"/>
      <c r="I194" s="898"/>
      <c r="J194" s="898"/>
      <c r="K194" s="898"/>
      <c r="L194" s="898"/>
      <c r="M194" s="898"/>
      <c r="N194" s="36"/>
      <c r="O194" s="150"/>
      <c r="P194" s="3"/>
      <c r="Q194" s="3"/>
      <c r="R194" s="3"/>
      <c r="S194"/>
      <c r="T194" s="3"/>
      <c r="U194" s="3"/>
      <c r="V194" s="3"/>
      <c r="W194" s="3"/>
      <c r="X194" s="3"/>
      <c r="Y194" s="3"/>
      <c r="Z194" s="3"/>
      <c r="AA194" s="3"/>
      <c r="AB194"/>
      <c r="AC194"/>
      <c r="AD194" s="3"/>
    </row>
    <row r="195" spans="1:30" s="1" customFormat="1" x14ac:dyDescent="0.2">
      <c r="A195" s="873"/>
      <c r="B195" s="131"/>
      <c r="C195" s="36"/>
      <c r="D195" s="36"/>
      <c r="E195" s="142"/>
      <c r="F195" s="894" t="str">
        <f>IF('[1]E-ErgInt'!$F195="","",'[1]E-ErgInt'!$F195)</f>
        <v>Plombe</v>
      </c>
      <c r="G195" s="898"/>
      <c r="H195" s="898"/>
      <c r="I195" s="898"/>
      <c r="J195" s="898"/>
      <c r="K195" s="898"/>
      <c r="L195" s="898"/>
      <c r="M195" s="898"/>
      <c r="N195" s="36"/>
      <c r="O195" s="150"/>
      <c r="P195" s="3"/>
      <c r="Q195" s="3"/>
      <c r="R195" s="3"/>
      <c r="S195" s="976" t="str">
        <f>IF(E195="","",E195)</f>
        <v/>
      </c>
      <c r="T195" s="3"/>
      <c r="U195" s="973"/>
      <c r="V195" s="3"/>
      <c r="W195" s="3"/>
      <c r="X195" s="3"/>
      <c r="Y195" s="3"/>
      <c r="Z195" s="3"/>
      <c r="AA195" s="3"/>
      <c r="AB195"/>
      <c r="AC195"/>
      <c r="AD195" s="3"/>
    </row>
    <row r="196" spans="1:30" s="1" customFormat="1" ht="3.95" customHeight="1" x14ac:dyDescent="0.2">
      <c r="A196" s="873"/>
      <c r="B196" s="131"/>
      <c r="C196" s="36"/>
      <c r="D196" s="36"/>
      <c r="E196" s="898"/>
      <c r="F196" s="894"/>
      <c r="G196" s="898"/>
      <c r="H196" s="898"/>
      <c r="I196" s="898"/>
      <c r="J196" s="898"/>
      <c r="K196" s="898"/>
      <c r="L196" s="898"/>
      <c r="M196" s="898"/>
      <c r="N196" s="36"/>
      <c r="O196" s="150"/>
      <c r="P196" s="3"/>
      <c r="Q196" s="3"/>
      <c r="R196" s="3"/>
      <c r="S196"/>
      <c r="T196" s="3"/>
      <c r="U196" s="3"/>
      <c r="V196" s="3"/>
      <c r="W196" s="3"/>
      <c r="X196" s="3"/>
      <c r="Y196" s="3"/>
      <c r="Z196" s="3"/>
      <c r="AA196" s="3"/>
      <c r="AB196"/>
      <c r="AC196"/>
      <c r="AD196" s="3"/>
    </row>
    <row r="197" spans="1:30" s="1" customFormat="1" x14ac:dyDescent="0.2">
      <c r="A197" s="873"/>
      <c r="B197" s="131"/>
      <c r="C197" s="36"/>
      <c r="D197" s="36"/>
      <c r="E197" s="142"/>
      <c r="F197" s="894" t="str">
        <f>IF('[1]E-ErgInt'!$F197="","",'[1]E-ErgInt'!$F197)</f>
        <v>Letzte Tagebuchzahl</v>
      </c>
      <c r="G197" s="898"/>
      <c r="H197" s="898"/>
      <c r="I197" s="898"/>
      <c r="J197" s="898"/>
      <c r="K197" s="898"/>
      <c r="L197" s="898"/>
      <c r="M197" s="898"/>
      <c r="N197" s="36"/>
      <c r="O197" s="150"/>
      <c r="P197" s="3"/>
      <c r="Q197" s="3"/>
      <c r="R197" s="3"/>
      <c r="S197" s="976" t="str">
        <f>IF(E197="","",E197)</f>
        <v/>
      </c>
      <c r="T197" s="3"/>
      <c r="U197" s="973" t="s">
        <v>676</v>
      </c>
      <c r="V197" s="3"/>
      <c r="W197" s="3"/>
      <c r="X197" s="3"/>
      <c r="Y197" s="3"/>
      <c r="Z197" s="3"/>
      <c r="AA197" s="3"/>
      <c r="AB197"/>
      <c r="AC197"/>
      <c r="AD197" s="3"/>
    </row>
    <row r="198" spans="1:30" s="1" customFormat="1" ht="3.95" customHeight="1" x14ac:dyDescent="0.2">
      <c r="A198" s="873"/>
      <c r="B198" s="131"/>
      <c r="C198" s="36"/>
      <c r="D198" s="36"/>
      <c r="E198" s="898"/>
      <c r="F198" s="894"/>
      <c r="G198" s="898"/>
      <c r="H198" s="898"/>
      <c r="I198" s="898"/>
      <c r="J198" s="898"/>
      <c r="K198" s="898"/>
      <c r="L198" s="898"/>
      <c r="M198" s="898"/>
      <c r="N198" s="36"/>
      <c r="O198" s="150"/>
      <c r="P198" s="3"/>
      <c r="Q198" s="3"/>
      <c r="R198" s="3"/>
      <c r="S198" s="3"/>
      <c r="T198" s="3"/>
      <c r="U198" s="3"/>
      <c r="V198" s="3"/>
      <c r="W198" s="3"/>
      <c r="X198" s="3"/>
      <c r="Y198" s="3"/>
      <c r="Z198" s="3"/>
      <c r="AA198" s="3"/>
      <c r="AB198"/>
      <c r="AC198"/>
      <c r="AD198" s="3"/>
    </row>
    <row r="199" spans="1:30" s="1" customFormat="1" x14ac:dyDescent="0.2">
      <c r="A199" s="873"/>
      <c r="B199" s="131"/>
      <c r="C199" s="36"/>
      <c r="D199" s="92"/>
      <c r="E199" s="142"/>
      <c r="F199" s="894" t="str">
        <f>IF('[1]E-ErgInt'!$F199="","",'[1]E-ErgInt'!$F199)</f>
        <v>Abfragedatum</v>
      </c>
      <c r="G199" s="36"/>
      <c r="H199" s="36"/>
      <c r="I199" s="36"/>
      <c r="J199" s="36"/>
      <c r="K199" s="36"/>
      <c r="L199" s="36"/>
      <c r="M199" s="36"/>
      <c r="N199" s="36"/>
      <c r="O199" s="150"/>
      <c r="P199" s="3"/>
      <c r="Q199" s="3"/>
      <c r="R199" s="3"/>
      <c r="S199" s="976" t="str">
        <f>IF(E199="","",E199)</f>
        <v/>
      </c>
      <c r="T199" s="3"/>
      <c r="U199" s="973"/>
      <c r="V199" s="3"/>
      <c r="W199" s="3"/>
      <c r="X199" s="3"/>
      <c r="Y199" s="3"/>
      <c r="Z199" s="3"/>
      <c r="AA199" s="3"/>
      <c r="AB199"/>
      <c r="AC199"/>
      <c r="AD199" s="3"/>
    </row>
    <row r="200" spans="1:30" s="1" customFormat="1" ht="12.75" customHeight="1" x14ac:dyDescent="0.2">
      <c r="A200" s="873"/>
      <c r="B200" s="131"/>
      <c r="C200" s="36"/>
      <c r="D200" s="92"/>
      <c r="E200" s="893"/>
      <c r="F200" s="898"/>
      <c r="G200" s="36"/>
      <c r="H200" s="36"/>
      <c r="I200" s="36"/>
      <c r="J200" s="36"/>
      <c r="K200" s="36"/>
      <c r="L200" s="36"/>
      <c r="M200" s="36"/>
      <c r="N200" s="36"/>
      <c r="O200" s="150"/>
      <c r="P200" s="3"/>
      <c r="Q200" s="3"/>
      <c r="R200" s="3"/>
      <c r="S200" s="3"/>
      <c r="T200" s="3"/>
      <c r="U200" s="3"/>
      <c r="V200" s="3"/>
      <c r="W200" s="3"/>
      <c r="X200" s="3"/>
      <c r="Y200" s="3"/>
      <c r="Z200" s="3"/>
      <c r="AA200" s="3"/>
      <c r="AB200"/>
      <c r="AC200"/>
      <c r="AD200" s="3"/>
    </row>
    <row r="201" spans="1:30" s="1" customFormat="1" ht="12.75" customHeight="1" x14ac:dyDescent="0.2">
      <c r="A201" s="873"/>
      <c r="B201" s="131"/>
      <c r="C201" s="36"/>
      <c r="D201" s="36" t="s">
        <v>135</v>
      </c>
      <c r="E201" s="36" t="s">
        <v>559</v>
      </c>
      <c r="F201" s="36"/>
      <c r="G201" s="36"/>
      <c r="H201" s="36"/>
      <c r="I201" s="36"/>
      <c r="J201" s="36"/>
      <c r="K201" s="36"/>
      <c r="L201" s="36"/>
      <c r="M201" s="36"/>
      <c r="N201" s="36"/>
      <c r="O201" s="150"/>
      <c r="P201" s="3"/>
      <c r="Q201" s="3"/>
      <c r="R201" s="3"/>
      <c r="S201" s="3"/>
      <c r="T201" s="3"/>
      <c r="U201" s="3"/>
      <c r="V201" s="3"/>
      <c r="W201" s="3"/>
      <c r="X201" s="3"/>
      <c r="Y201" s="3"/>
      <c r="Z201" s="3"/>
      <c r="AA201" s="3"/>
      <c r="AB201"/>
      <c r="AC201"/>
      <c r="AD201" s="3"/>
    </row>
    <row r="202" spans="1:30" s="1" customFormat="1" ht="12.75" customHeight="1" x14ac:dyDescent="0.2">
      <c r="A202" s="873"/>
      <c r="B202" s="131"/>
      <c r="C202" s="36"/>
      <c r="D202" s="36"/>
      <c r="E202" s="1050"/>
      <c r="F202" s="1051"/>
      <c r="G202" s="36"/>
      <c r="H202" s="896" t="s">
        <v>560</v>
      </c>
      <c r="I202" s="36"/>
      <c r="J202" s="36"/>
      <c r="K202" s="36"/>
      <c r="L202" s="36"/>
      <c r="M202" s="36"/>
      <c r="N202" s="36"/>
      <c r="O202" s="136" t="str">
        <f>IF(S202="","",IF(U202=S202,Q202,0))</f>
        <v/>
      </c>
      <c r="P202" s="3" t="s">
        <v>108</v>
      </c>
      <c r="Q202" s="963">
        <v>1</v>
      </c>
      <c r="R202" s="3"/>
      <c r="S202" s="976" t="str">
        <f>IF(E202="","",E202)</f>
        <v/>
      </c>
      <c r="T202" s="3"/>
      <c r="U202" s="1013" t="str">
        <f>IF('[1]E-ErgInt'!E202="","",'[1]E-ErgInt'!E202)</f>
        <v>A1-Blatt</v>
      </c>
      <c r="V202" s="3"/>
      <c r="W202" s="3"/>
      <c r="X202" s="3"/>
      <c r="Y202" s="3"/>
      <c r="Z202" s="3"/>
      <c r="AA202" s="3"/>
      <c r="AB202"/>
      <c r="AC202"/>
      <c r="AD202" s="3"/>
    </row>
    <row r="203" spans="1:30" s="1" customFormat="1" ht="12.75" customHeight="1" x14ac:dyDescent="0.2">
      <c r="A203" s="873"/>
      <c r="B203" s="131"/>
      <c r="C203" s="36"/>
      <c r="D203" s="36"/>
      <c r="E203" s="36" t="s">
        <v>591</v>
      </c>
      <c r="F203" s="36"/>
      <c r="G203" s="36"/>
      <c r="H203" s="36"/>
      <c r="I203" s="36"/>
      <c r="J203" s="36"/>
      <c r="K203" s="36"/>
      <c r="L203" s="36"/>
      <c r="M203" s="36"/>
      <c r="N203" s="36"/>
      <c r="O203" s="150"/>
      <c r="P203" s="3"/>
      <c r="Q203" s="3"/>
      <c r="R203" s="3"/>
      <c r="S203" s="3"/>
      <c r="T203" s="3"/>
      <c r="U203" s="3"/>
      <c r="V203" s="3"/>
      <c r="W203" s="3"/>
      <c r="X203" s="3"/>
      <c r="Y203" s="3"/>
      <c r="Z203" s="3"/>
      <c r="AA203" s="3"/>
      <c r="AB203"/>
      <c r="AC203"/>
      <c r="AD203" s="3"/>
    </row>
    <row r="204" spans="1:30" s="1" customFormat="1" ht="12.75" customHeight="1" x14ac:dyDescent="0.2">
      <c r="A204" s="873"/>
      <c r="B204" s="131"/>
      <c r="C204" s="36"/>
      <c r="D204" s="36"/>
      <c r="E204" s="1050"/>
      <c r="F204" s="1051"/>
      <c r="G204" s="36"/>
      <c r="H204" s="896" t="s">
        <v>560</v>
      </c>
      <c r="I204" s="36"/>
      <c r="J204" s="36"/>
      <c r="K204" s="36"/>
      <c r="L204" s="36"/>
      <c r="M204" s="36"/>
      <c r="N204" s="36"/>
      <c r="O204" s="136" t="str">
        <f>IF(S204="","",IF(U204=S204,Q204,0))</f>
        <v/>
      </c>
      <c r="P204" s="3" t="s">
        <v>108</v>
      </c>
      <c r="Q204" s="963">
        <v>1</v>
      </c>
      <c r="R204" s="3"/>
      <c r="S204" s="976" t="str">
        <f>IF(E204="","",E204)</f>
        <v/>
      </c>
      <c r="T204" s="3"/>
      <c r="U204" s="1013" t="str">
        <f>IF('[1]E-ErgInt'!E204="","",'[1]E-ErgInt'!E204)</f>
        <v>Gutsbestandsblatt</v>
      </c>
      <c r="V204" s="3"/>
      <c r="W204" s="3"/>
      <c r="X204" s="3"/>
      <c r="Y204" s="3"/>
      <c r="Z204" s="3"/>
      <c r="AA204" s="3"/>
      <c r="AB204"/>
      <c r="AC204"/>
      <c r="AD204" s="3"/>
    </row>
    <row r="205" spans="1:30" s="1" customFormat="1" ht="12.75" customHeight="1" x14ac:dyDescent="0.2">
      <c r="A205" s="873"/>
      <c r="B205" s="131"/>
      <c r="C205" s="36"/>
      <c r="D205" s="36"/>
      <c r="E205" s="36"/>
      <c r="F205" s="36"/>
      <c r="G205" s="36"/>
      <c r="H205" s="36"/>
      <c r="I205" s="36"/>
      <c r="J205" s="36"/>
      <c r="K205" s="36"/>
      <c r="L205" s="36"/>
      <c r="M205" s="36"/>
      <c r="N205" s="36"/>
      <c r="O205" s="150"/>
      <c r="P205" s="3"/>
      <c r="Q205" s="3"/>
      <c r="R205" s="3"/>
      <c r="S205" s="3"/>
      <c r="T205" s="3"/>
      <c r="U205" s="3"/>
      <c r="V205" s="3"/>
      <c r="W205" s="3"/>
      <c r="X205" s="3"/>
      <c r="Y205" s="3"/>
      <c r="Z205" s="3"/>
      <c r="AA205" s="3"/>
      <c r="AB205"/>
      <c r="AC205"/>
      <c r="AD205" s="3"/>
    </row>
    <row r="206" spans="1:30" s="1" customFormat="1" ht="12.75" customHeight="1" x14ac:dyDescent="0.2">
      <c r="A206" s="873"/>
      <c r="B206" s="131"/>
      <c r="C206" s="36"/>
      <c r="D206" s="36"/>
      <c r="E206" s="36" t="s">
        <v>561</v>
      </c>
      <c r="F206" s="36"/>
      <c r="G206" s="36"/>
      <c r="H206" s="36"/>
      <c r="I206" s="36"/>
      <c r="J206" s="36"/>
      <c r="K206" s="36"/>
      <c r="L206" s="36"/>
      <c r="M206" s="36"/>
      <c r="N206" s="36"/>
      <c r="O206" s="150"/>
      <c r="P206" s="3"/>
      <c r="Q206" s="3"/>
      <c r="R206" s="3"/>
      <c r="S206" s="3"/>
      <c r="T206" s="3"/>
      <c r="U206" s="3"/>
      <c r="V206" s="3"/>
      <c r="W206" s="3"/>
      <c r="X206" s="3"/>
      <c r="Y206" s="3"/>
      <c r="Z206" s="3"/>
      <c r="AA206" s="3"/>
      <c r="AB206"/>
      <c r="AC206"/>
      <c r="AD206" s="3"/>
    </row>
    <row r="207" spans="1:30" s="1" customFormat="1" ht="12.75" customHeight="1" x14ac:dyDescent="0.2">
      <c r="A207" s="873"/>
      <c r="B207" s="131"/>
      <c r="C207" s="36"/>
      <c r="D207" s="36"/>
      <c r="E207" s="1050"/>
      <c r="F207" s="1051"/>
      <c r="G207" s="36"/>
      <c r="H207" s="896" t="s">
        <v>560</v>
      </c>
      <c r="I207" s="36"/>
      <c r="J207" s="36"/>
      <c r="K207" s="36"/>
      <c r="L207" s="36"/>
      <c r="M207" s="36"/>
      <c r="N207" s="36"/>
      <c r="O207" s="136" t="str">
        <f>IF(S207="","",IF(U207=S207,Q207,0))</f>
        <v/>
      </c>
      <c r="P207" s="3" t="s">
        <v>108</v>
      </c>
      <c r="Q207" s="963">
        <v>1</v>
      </c>
      <c r="R207" s="3"/>
      <c r="S207" s="976" t="str">
        <f>IF(E207="","",E207)</f>
        <v/>
      </c>
      <c r="T207" s="3"/>
      <c r="U207" s="1013" t="str">
        <f>IF('[1]E-ErgInt'!E207="","",'[1]E-ErgInt'!E207)</f>
        <v>A2-Blatt</v>
      </c>
      <c r="V207" s="3"/>
      <c r="W207" s="3"/>
      <c r="X207" s="3"/>
      <c r="Y207" s="3"/>
      <c r="Z207" s="3"/>
      <c r="AA207" s="3"/>
      <c r="AB207"/>
      <c r="AC207"/>
      <c r="AD207" s="3"/>
    </row>
    <row r="208" spans="1:30" s="1" customFormat="1" ht="12.75" customHeight="1" x14ac:dyDescent="0.2">
      <c r="A208" s="873"/>
      <c r="B208" s="131"/>
      <c r="C208" s="36"/>
      <c r="D208" s="36"/>
      <c r="E208" s="36"/>
      <c r="F208" s="36"/>
      <c r="G208" s="36"/>
      <c r="H208" s="36"/>
      <c r="I208" s="36"/>
      <c r="J208" s="36"/>
      <c r="K208" s="36"/>
      <c r="L208" s="36"/>
      <c r="M208" s="36"/>
      <c r="N208" s="36"/>
      <c r="O208" s="150"/>
      <c r="P208" s="3"/>
      <c r="Q208" s="3"/>
      <c r="R208" s="3"/>
      <c r="S208" s="3"/>
      <c r="T208" s="3"/>
      <c r="U208" s="3"/>
      <c r="V208" s="3"/>
      <c r="W208" s="3"/>
      <c r="X208" s="3"/>
      <c r="Y208" s="3"/>
      <c r="Z208" s="3"/>
      <c r="AA208" s="3"/>
      <c r="AB208"/>
      <c r="AC208"/>
      <c r="AD208" s="3"/>
    </row>
    <row r="209" spans="1:30" s="1" customFormat="1" ht="12.75" customHeight="1" x14ac:dyDescent="0.2">
      <c r="A209" s="873"/>
      <c r="B209" s="131"/>
      <c r="C209" s="36"/>
      <c r="D209" s="36" t="s">
        <v>562</v>
      </c>
      <c r="E209" s="899" t="s">
        <v>563</v>
      </c>
      <c r="F209" s="36"/>
      <c r="G209" s="36"/>
      <c r="H209" s="36"/>
      <c r="I209" s="36"/>
      <c r="J209" s="36"/>
      <c r="K209" s="36"/>
      <c r="L209" s="36"/>
      <c r="M209" s="36"/>
      <c r="N209" s="36"/>
      <c r="O209" s="150"/>
      <c r="P209" s="3"/>
      <c r="Q209" s="3"/>
      <c r="R209" s="3"/>
      <c r="S209" s="3"/>
      <c r="T209" s="3"/>
      <c r="U209" s="3"/>
      <c r="V209" s="3"/>
      <c r="W209" s="3"/>
      <c r="X209" s="3"/>
      <c r="Y209" s="3"/>
      <c r="Z209" s="3"/>
      <c r="AA209" s="3"/>
      <c r="AB209"/>
      <c r="AC209"/>
      <c r="AD209" s="3"/>
    </row>
    <row r="210" spans="1:30" s="1" customFormat="1" ht="12.75" customHeight="1" x14ac:dyDescent="0.2">
      <c r="A210" s="873"/>
      <c r="B210" s="131"/>
      <c r="C210" s="36"/>
      <c r="D210" s="36"/>
      <c r="E210" s="1047"/>
      <c r="F210" s="1049"/>
      <c r="G210" s="36"/>
      <c r="H210" s="896" t="s">
        <v>564</v>
      </c>
      <c r="I210" s="36"/>
      <c r="J210" s="36"/>
      <c r="K210" s="36"/>
      <c r="L210" s="36"/>
      <c r="M210" s="36"/>
      <c r="N210" s="36"/>
      <c r="O210" s="136" t="str">
        <f>IF(S210="","",IF(U210=S210,Q210,0))</f>
        <v/>
      </c>
      <c r="P210" s="3" t="s">
        <v>108</v>
      </c>
      <c r="Q210" s="963">
        <v>1</v>
      </c>
      <c r="R210" s="3"/>
      <c r="S210" s="976" t="str">
        <f>IF(E210="","",E210)</f>
        <v/>
      </c>
      <c r="T210" s="3"/>
      <c r="U210" s="1013">
        <f>IF('[1]E-ErgInt'!E210="","",'[1]E-ErgInt'!E210)</f>
        <v>13</v>
      </c>
      <c r="V210" s="3"/>
      <c r="W210" s="3"/>
      <c r="X210" s="3"/>
      <c r="Y210" s="3"/>
      <c r="Z210" s="3"/>
      <c r="AA210" s="3"/>
      <c r="AB210"/>
      <c r="AC210"/>
      <c r="AD210" s="3"/>
    </row>
    <row r="211" spans="1:30" s="1" customFormat="1" ht="12.75" customHeight="1" x14ac:dyDescent="0.2">
      <c r="A211" s="873"/>
      <c r="B211" s="131"/>
      <c r="C211" s="36"/>
      <c r="D211" s="36"/>
      <c r="E211" s="36"/>
      <c r="F211" s="36"/>
      <c r="G211" s="36"/>
      <c r="H211" s="36"/>
      <c r="I211" s="36"/>
      <c r="J211" s="36"/>
      <c r="K211" s="36"/>
      <c r="L211" s="36"/>
      <c r="M211" s="36"/>
      <c r="N211" s="36"/>
      <c r="O211" s="150"/>
      <c r="P211" s="3"/>
      <c r="Q211" s="3"/>
      <c r="R211" s="3"/>
      <c r="S211" s="3"/>
      <c r="T211" s="3"/>
      <c r="U211" s="3"/>
      <c r="V211" s="3"/>
      <c r="W211" s="3"/>
      <c r="X211" s="3"/>
      <c r="Y211" s="3"/>
      <c r="Z211" s="3"/>
      <c r="AA211" s="3"/>
      <c r="AB211"/>
      <c r="AC211"/>
      <c r="AD211" s="3"/>
    </row>
    <row r="212" spans="1:30" s="1" customFormat="1" ht="12.75" customHeight="1" x14ac:dyDescent="0.2">
      <c r="A212" s="873"/>
      <c r="B212" s="131"/>
      <c r="C212" s="36"/>
      <c r="D212" s="36" t="s">
        <v>565</v>
      </c>
      <c r="E212" s="899" t="s">
        <v>566</v>
      </c>
      <c r="F212" s="36"/>
      <c r="G212" s="36"/>
      <c r="H212" s="36"/>
      <c r="I212" s="36"/>
      <c r="J212" s="36"/>
      <c r="K212" s="36"/>
      <c r="L212" s="36"/>
      <c r="M212" s="36"/>
      <c r="N212" s="36"/>
      <c r="O212" s="150"/>
      <c r="P212" s="3"/>
      <c r="Q212" s="3"/>
      <c r="R212" s="3"/>
      <c r="S212" s="3"/>
      <c r="T212" s="3"/>
      <c r="U212" s="3"/>
      <c r="V212" s="3"/>
      <c r="W212" s="3"/>
      <c r="X212" s="3"/>
      <c r="Y212" s="3"/>
      <c r="Z212" s="3"/>
      <c r="AA212" s="3"/>
      <c r="AB212"/>
      <c r="AC212"/>
      <c r="AD212" s="3"/>
    </row>
    <row r="213" spans="1:30" s="1" customFormat="1" ht="12.75" customHeight="1" x14ac:dyDescent="0.2">
      <c r="A213" s="873"/>
      <c r="B213" s="131"/>
      <c r="C213" s="36"/>
      <c r="D213" s="36"/>
      <c r="E213" s="1054"/>
      <c r="F213" s="1055"/>
      <c r="G213" s="146"/>
      <c r="H213" s="36" t="s">
        <v>592</v>
      </c>
      <c r="I213" s="36"/>
      <c r="J213" s="36"/>
      <c r="K213" s="36"/>
      <c r="L213" s="36"/>
      <c r="M213" s="36"/>
      <c r="N213" s="36"/>
      <c r="O213" s="136" t="str">
        <f>IF(S213="","",IF(U213=S213,Q213,0))</f>
        <v/>
      </c>
      <c r="P213" s="3" t="s">
        <v>108</v>
      </c>
      <c r="Q213" s="963">
        <v>1</v>
      </c>
      <c r="R213" s="3"/>
      <c r="S213" s="976" t="str">
        <f>IF(E213="","",E213)</f>
        <v/>
      </c>
      <c r="T213" s="3"/>
      <c r="U213" s="1013">
        <f>IF('[1]E-ErgInt'!E213="","",'[1]E-ErgInt'!E213)</f>
        <v>114623</v>
      </c>
      <c r="V213" s="3"/>
      <c r="W213" s="3"/>
      <c r="X213" s="3"/>
      <c r="Y213" s="3"/>
      <c r="Z213" s="3"/>
      <c r="AA213" s="3"/>
      <c r="AB213"/>
      <c r="AC213"/>
      <c r="AD213" s="3"/>
    </row>
    <row r="214" spans="1:30" s="1" customFormat="1" ht="3.95" customHeight="1" x14ac:dyDescent="0.2">
      <c r="A214" s="873"/>
      <c r="B214" s="131"/>
      <c r="C214" s="36"/>
      <c r="D214" s="36"/>
      <c r="E214" s="36"/>
      <c r="F214" s="36"/>
      <c r="G214" s="36"/>
      <c r="H214" s="36"/>
      <c r="I214" s="36"/>
      <c r="J214" s="36"/>
      <c r="K214" s="36"/>
      <c r="L214" s="36"/>
      <c r="M214" s="36"/>
      <c r="N214" s="36"/>
      <c r="O214" s="150"/>
      <c r="P214" s="3"/>
      <c r="Q214" s="3"/>
      <c r="R214" s="3"/>
      <c r="S214" s="3"/>
      <c r="T214" s="3"/>
      <c r="U214" s="3"/>
      <c r="V214" s="3"/>
      <c r="W214" s="3"/>
      <c r="X214" s="3"/>
      <c r="Y214" s="3"/>
      <c r="Z214" s="3"/>
      <c r="AA214" s="3"/>
      <c r="AB214"/>
      <c r="AC214"/>
      <c r="AD214" s="3"/>
    </row>
    <row r="215" spans="1:30" s="1" customFormat="1" ht="12.75" customHeight="1" x14ac:dyDescent="0.2">
      <c r="A215" s="873"/>
      <c r="B215" s="131"/>
      <c r="C215" s="36"/>
      <c r="D215" s="36"/>
      <c r="E215" s="1052"/>
      <c r="F215" s="1053"/>
      <c r="G215" s="146"/>
      <c r="H215" s="36" t="s">
        <v>593</v>
      </c>
      <c r="I215" s="36"/>
      <c r="J215" s="36"/>
      <c r="K215" s="36"/>
      <c r="L215" s="36"/>
      <c r="M215" s="36"/>
      <c r="N215" s="36"/>
      <c r="O215" s="136" t="str">
        <f>IF(S215="","",IF(U215=S215,Q215,0))</f>
        <v/>
      </c>
      <c r="P215" s="3" t="s">
        <v>108</v>
      </c>
      <c r="Q215" s="963">
        <v>1</v>
      </c>
      <c r="R215" s="3"/>
      <c r="S215" s="976" t="str">
        <f>IF(E215="","",E215)</f>
        <v/>
      </c>
      <c r="T215" s="3"/>
      <c r="U215" s="1013">
        <f>IF('[1]E-ErgInt'!E215="","",'[1]E-ErgInt'!E215)</f>
        <v>11.462300000000001</v>
      </c>
      <c r="V215" s="3"/>
      <c r="W215" s="3"/>
      <c r="X215" s="3"/>
      <c r="Y215" s="3"/>
      <c r="Z215" s="3"/>
      <c r="AA215" s="3"/>
      <c r="AB215"/>
      <c r="AC215"/>
      <c r="AD215" s="3"/>
    </row>
    <row r="216" spans="1:30" s="1" customFormat="1" ht="12.75" customHeight="1" x14ac:dyDescent="0.2">
      <c r="A216" s="873"/>
      <c r="B216" s="131"/>
      <c r="C216" s="36"/>
      <c r="D216" s="36"/>
      <c r="E216" s="36"/>
      <c r="F216" s="36"/>
      <c r="G216" s="36"/>
      <c r="H216" s="36"/>
      <c r="I216" s="36"/>
      <c r="J216" s="36"/>
      <c r="K216" s="36"/>
      <c r="L216" s="36"/>
      <c r="M216" s="36"/>
      <c r="N216" s="36"/>
      <c r="O216" s="150"/>
      <c r="P216" s="3"/>
      <c r="Q216" s="3"/>
      <c r="R216" s="3"/>
      <c r="S216" s="3"/>
      <c r="T216" s="3"/>
      <c r="U216" s="3"/>
      <c r="V216" s="3"/>
      <c r="W216" s="3"/>
      <c r="X216" s="3"/>
      <c r="Y216" s="3"/>
      <c r="Z216" s="3"/>
      <c r="AA216" s="3"/>
      <c r="AB216"/>
      <c r="AC216"/>
      <c r="AD216" s="3"/>
    </row>
    <row r="217" spans="1:30" s="1" customFormat="1" ht="12.75" customHeight="1" x14ac:dyDescent="0.2">
      <c r="A217" s="873"/>
      <c r="B217" s="131"/>
      <c r="C217" s="36"/>
      <c r="D217" s="36" t="s">
        <v>567</v>
      </c>
      <c r="E217" s="899" t="s">
        <v>568</v>
      </c>
      <c r="F217" s="36"/>
      <c r="G217" s="36"/>
      <c r="H217" s="36"/>
      <c r="I217" s="36"/>
      <c r="J217" s="36"/>
      <c r="K217" s="36"/>
      <c r="L217" s="36"/>
      <c r="M217" s="36"/>
      <c r="N217" s="36"/>
      <c r="O217" s="150"/>
      <c r="P217" s="3"/>
      <c r="Q217" s="3"/>
      <c r="R217" s="3"/>
      <c r="S217" s="3"/>
      <c r="T217" s="3"/>
      <c r="U217" s="3"/>
      <c r="V217" s="3"/>
      <c r="W217" s="3"/>
      <c r="X217" s="3"/>
      <c r="Y217" s="3"/>
      <c r="Z217" s="3"/>
      <c r="AA217" s="3"/>
      <c r="AB217"/>
      <c r="AC217"/>
      <c r="AD217" s="3"/>
    </row>
    <row r="218" spans="1:30" s="1" customFormat="1" ht="12.75" customHeight="1" x14ac:dyDescent="0.2">
      <c r="A218" s="873"/>
      <c r="B218" s="131"/>
      <c r="C218" s="36"/>
      <c r="D218" s="36"/>
      <c r="E218" s="1050"/>
      <c r="F218" s="1051"/>
      <c r="G218" s="36"/>
      <c r="H218" s="896" t="s">
        <v>560</v>
      </c>
      <c r="I218" s="36"/>
      <c r="J218" s="36"/>
      <c r="K218" s="36"/>
      <c r="L218" s="36"/>
      <c r="M218" s="36"/>
      <c r="N218" s="36"/>
      <c r="O218" s="136" t="str">
        <f>IF(S218="","",IF(U218=S218,Q218,0))</f>
        <v/>
      </c>
      <c r="P218" s="3" t="s">
        <v>108</v>
      </c>
      <c r="Q218" s="963">
        <v>1</v>
      </c>
      <c r="R218" s="3"/>
      <c r="S218" s="976" t="str">
        <f>IF(E218="","",E218)</f>
        <v/>
      </c>
      <c r="T218" s="3"/>
      <c r="U218" s="1013" t="str">
        <f>IF('[1]E-ErgInt'!E218="","",'[1]E-ErgInt'!E218)</f>
        <v>B-Blatt</v>
      </c>
      <c r="V218" s="3"/>
      <c r="W218" s="3"/>
      <c r="X218" s="3"/>
      <c r="Y218" s="3"/>
      <c r="Z218" s="3"/>
      <c r="AA218" s="3"/>
      <c r="AB218"/>
      <c r="AC218"/>
      <c r="AD218" s="3"/>
    </row>
    <row r="219" spans="1:30" s="1" customFormat="1" ht="12.75" customHeight="1" x14ac:dyDescent="0.2">
      <c r="A219" s="873"/>
      <c r="B219" s="131"/>
      <c r="C219" s="36"/>
      <c r="D219" s="36"/>
      <c r="E219" s="36" t="s">
        <v>591</v>
      </c>
      <c r="F219" s="36"/>
      <c r="G219" s="36"/>
      <c r="H219" s="36"/>
      <c r="I219" s="36"/>
      <c r="J219" s="36"/>
      <c r="K219" s="36"/>
      <c r="L219" s="36"/>
      <c r="M219" s="36"/>
      <c r="N219" s="36"/>
      <c r="O219" s="150"/>
      <c r="P219" s="3"/>
      <c r="Q219" s="3"/>
      <c r="R219" s="3"/>
      <c r="S219" s="3"/>
      <c r="T219" s="3"/>
      <c r="U219" s="3"/>
      <c r="V219" s="3"/>
      <c r="W219" s="3"/>
      <c r="X219" s="3"/>
      <c r="Y219" s="3"/>
      <c r="Z219" s="3"/>
      <c r="AA219" s="3"/>
      <c r="AB219"/>
      <c r="AC219"/>
      <c r="AD219" s="3"/>
    </row>
    <row r="220" spans="1:30" s="1" customFormat="1" ht="12.75" customHeight="1" x14ac:dyDescent="0.2">
      <c r="A220" s="873"/>
      <c r="B220" s="131"/>
      <c r="C220" s="36"/>
      <c r="D220" s="36"/>
      <c r="E220" s="1050"/>
      <c r="F220" s="1051"/>
      <c r="G220" s="36"/>
      <c r="H220" s="896" t="s">
        <v>560</v>
      </c>
      <c r="I220" s="36"/>
      <c r="J220" s="36"/>
      <c r="K220" s="36"/>
      <c r="L220" s="36"/>
      <c r="M220" s="36"/>
      <c r="N220" s="36"/>
      <c r="O220" s="136" t="str">
        <f>IF(S220="","",IF(U220=S220,Q220,0))</f>
        <v/>
      </c>
      <c r="P220" s="3" t="s">
        <v>108</v>
      </c>
      <c r="Q220" s="963">
        <v>1</v>
      </c>
      <c r="R220" s="3"/>
      <c r="S220" s="976" t="str">
        <f>IF(E220="","",E220)</f>
        <v/>
      </c>
      <c r="T220" s="3"/>
      <c r="U220" s="1013" t="str">
        <f>IF('[1]E-ErgInt'!E220="","",'[1]E-ErgInt'!E220)</f>
        <v>Eigentumsblatt</v>
      </c>
      <c r="V220" s="3"/>
      <c r="W220" s="3"/>
      <c r="X220" s="3"/>
      <c r="Y220" s="3"/>
      <c r="Z220" s="3"/>
      <c r="AA220" s="3"/>
      <c r="AB220"/>
      <c r="AC220"/>
      <c r="AD220" s="3"/>
    </row>
    <row r="221" spans="1:30" s="1" customFormat="1" ht="12.75" customHeight="1" x14ac:dyDescent="0.2">
      <c r="A221" s="873"/>
      <c r="B221" s="131"/>
      <c r="C221" s="36"/>
      <c r="D221" s="36"/>
      <c r="E221" s="36"/>
      <c r="F221" s="36"/>
      <c r="G221" s="36"/>
      <c r="H221" s="36"/>
      <c r="I221" s="36"/>
      <c r="J221" s="36"/>
      <c r="K221" s="36"/>
      <c r="L221" s="36"/>
      <c r="M221" s="36"/>
      <c r="N221" s="36"/>
      <c r="O221" s="150"/>
      <c r="P221" s="3"/>
      <c r="Q221" s="3"/>
      <c r="R221" s="3"/>
      <c r="S221" s="3"/>
      <c r="T221" s="3"/>
      <c r="U221" s="3"/>
      <c r="V221" s="3"/>
      <c r="W221" s="3"/>
      <c r="X221" s="3"/>
      <c r="Y221" s="3"/>
      <c r="Z221" s="3"/>
      <c r="AA221" s="3"/>
      <c r="AB221"/>
      <c r="AC221"/>
      <c r="AD221" s="3"/>
    </row>
    <row r="222" spans="1:30" s="1" customFormat="1" ht="12.75" customHeight="1" x14ac:dyDescent="0.2">
      <c r="A222" s="873"/>
      <c r="B222" s="131"/>
      <c r="C222" s="36"/>
      <c r="D222" s="151" t="s">
        <v>569</v>
      </c>
      <c r="E222" s="900" t="s">
        <v>570</v>
      </c>
      <c r="F222" s="900"/>
      <c r="G222" s="900"/>
      <c r="H222" s="900"/>
      <c r="I222" s="900"/>
      <c r="J222" s="900"/>
      <c r="K222" s="900"/>
      <c r="L222" s="900"/>
      <c r="M222" s="900"/>
      <c r="N222" s="36"/>
      <c r="O222" s="150"/>
      <c r="P222" s="3"/>
      <c r="Q222" s="3"/>
      <c r="R222" s="3"/>
      <c r="S222"/>
      <c r="T222" s="3"/>
      <c r="U222" s="3"/>
      <c r="V222" s="3"/>
      <c r="W222" s="3"/>
      <c r="X222" s="1009" t="s">
        <v>571</v>
      </c>
      <c r="Y222" s="1014"/>
      <c r="Z222" s="3"/>
      <c r="AA222" s="3"/>
      <c r="AB222"/>
      <c r="AC222"/>
      <c r="AD222" s="3"/>
    </row>
    <row r="223" spans="1:30" s="1" customFormat="1" ht="12.75" customHeight="1" x14ac:dyDescent="0.2">
      <c r="A223" s="873"/>
      <c r="B223" s="131"/>
      <c r="C223" s="36"/>
      <c r="D223" s="151"/>
      <c r="E223" s="36" t="s">
        <v>594</v>
      </c>
      <c r="F223" s="901"/>
      <c r="G223" s="901"/>
      <c r="H223" s="901"/>
      <c r="I223" s="901"/>
      <c r="J223" s="901"/>
      <c r="K223" s="901"/>
      <c r="L223" s="901"/>
      <c r="M223" s="901"/>
      <c r="N223" s="36"/>
      <c r="O223" s="150"/>
      <c r="P223" s="3"/>
      <c r="Q223" s="3"/>
      <c r="R223" s="3"/>
      <c r="S223"/>
      <c r="T223" s="3"/>
      <c r="U223" s="3"/>
      <c r="V223" s="3"/>
      <c r="W223" s="3"/>
      <c r="X223" s="1011" t="str">
        <f>IF('[1]E-ErgInt'!S223="","",'[1]E-ErgInt'!S223)</f>
        <v>Kerber Hans-Peter</v>
      </c>
      <c r="Y223" s="1011"/>
      <c r="Z223" s="3"/>
      <c r="AA223" s="3"/>
      <c r="AB223"/>
      <c r="AC223"/>
      <c r="AD223" s="3"/>
    </row>
    <row r="224" spans="1:30" s="1" customFormat="1" ht="12.75" customHeight="1" x14ac:dyDescent="0.2">
      <c r="A224" s="873"/>
      <c r="B224" s="131"/>
      <c r="C224" s="36"/>
      <c r="D224" s="151"/>
      <c r="E224" s="1058"/>
      <c r="F224" s="1059"/>
      <c r="G224" s="901"/>
      <c r="H224" s="901"/>
      <c r="I224" s="901"/>
      <c r="J224" s="901"/>
      <c r="K224" s="901"/>
      <c r="L224" s="901"/>
      <c r="M224" s="901"/>
      <c r="N224" s="36"/>
      <c r="O224" s="136" t="str">
        <f>IF(S224="","",IF(U224=S224,Q224,0))</f>
        <v/>
      </c>
      <c r="P224" s="3" t="s">
        <v>108</v>
      </c>
      <c r="Q224" s="963">
        <v>1</v>
      </c>
      <c r="R224" s="3"/>
      <c r="S224" s="976" t="str">
        <f>IF(E224="","",E224)</f>
        <v/>
      </c>
      <c r="T224" s="3"/>
      <c r="U224" s="1013">
        <f>IF('[1]E-ErgInt'!E224="","",'[1]E-ErgInt'!E224)</f>
        <v>3</v>
      </c>
      <c r="V224" s="3"/>
      <c r="W224" s="3"/>
      <c r="X224" s="1011" t="str">
        <f>IF('[1]E-ErgInt'!S224="","",'[1]E-ErgInt'!S224)</f>
        <v>Elisabeth Müller</v>
      </c>
      <c r="Y224" s="1011"/>
      <c r="Z224" s="3"/>
      <c r="AA224" s="3"/>
      <c r="AB224"/>
      <c r="AC224"/>
      <c r="AD224" s="3"/>
    </row>
    <row r="225" spans="1:30" s="1" customFormat="1" ht="12.75" customHeight="1" x14ac:dyDescent="0.2">
      <c r="A225" s="873"/>
      <c r="B225" s="131"/>
      <c r="C225" s="36"/>
      <c r="D225" s="36"/>
      <c r="E225" s="36" t="s">
        <v>595</v>
      </c>
      <c r="F225" s="36"/>
      <c r="G225" s="36"/>
      <c r="H225" s="36"/>
      <c r="I225" s="36"/>
      <c r="J225" s="36"/>
      <c r="K225" s="36"/>
      <c r="L225" s="36"/>
      <c r="M225" s="36"/>
      <c r="N225" s="36"/>
      <c r="O225" s="150"/>
      <c r="P225" s="3"/>
      <c r="Q225" s="3"/>
      <c r="R225" s="3"/>
      <c r="S225"/>
      <c r="T225" s="3"/>
      <c r="U225" s="3"/>
      <c r="V225" s="3"/>
      <c r="W225" s="3"/>
      <c r="X225" s="1011" t="str">
        <f>IF('[1]E-ErgInt'!S225="","",'[1]E-ErgInt'!S225)</f>
        <v>Jäger Franziska</v>
      </c>
      <c r="Y225" s="1011"/>
      <c r="Z225" s="3"/>
      <c r="AA225" s="3"/>
      <c r="AB225"/>
      <c r="AC225"/>
      <c r="AD225" s="3"/>
    </row>
    <row r="226" spans="1:30" s="1" customFormat="1" ht="12.75" customHeight="1" x14ac:dyDescent="0.2">
      <c r="A226" s="873"/>
      <c r="B226" s="131"/>
      <c r="C226" s="36"/>
      <c r="D226" s="36"/>
      <c r="E226" s="1047"/>
      <c r="F226" s="1048"/>
      <c r="G226" s="1048"/>
      <c r="H226" s="1048"/>
      <c r="I226" s="1048"/>
      <c r="J226" s="1048"/>
      <c r="K226" s="1048"/>
      <c r="L226" s="1048"/>
      <c r="M226" s="1049"/>
      <c r="N226" s="36"/>
      <c r="O226" s="136" t="str">
        <f>IF(S226="","",IF(U226=S226,Q226,0))</f>
        <v/>
      </c>
      <c r="P226" s="3" t="s">
        <v>108</v>
      </c>
      <c r="Q226" s="963">
        <v>1</v>
      </c>
      <c r="R226" s="3"/>
      <c r="S226" s="976" t="str">
        <f>IF(E226="","",E226)</f>
        <v/>
      </c>
      <c r="T226" s="3"/>
      <c r="U226" s="1013" t="str">
        <f>IF('[1]E-ErgInt'!E226="","",'[1]E-ErgInt'!E226)</f>
        <v>Karl Kreuzer</v>
      </c>
      <c r="V226" s="3"/>
      <c r="W226" s="3"/>
      <c r="X226" s="1011" t="str">
        <f>IF('[1]E-ErgInt'!S226="","",'[1]E-ErgInt'!S226)</f>
        <v>Silberbauer Hans</v>
      </c>
      <c r="Y226" s="1011"/>
      <c r="Z226" s="3"/>
      <c r="AA226" s="3"/>
      <c r="AB226"/>
      <c r="AC226"/>
      <c r="AD226" s="3"/>
    </row>
    <row r="227" spans="1:30" s="1" customFormat="1" ht="12.75" customHeight="1" x14ac:dyDescent="0.2">
      <c r="A227" s="873"/>
      <c r="B227" s="131"/>
      <c r="C227" s="36"/>
      <c r="D227" s="36"/>
      <c r="E227" s="36" t="s">
        <v>596</v>
      </c>
      <c r="F227" s="36"/>
      <c r="G227" s="36"/>
      <c r="H227" s="36"/>
      <c r="I227" s="36"/>
      <c r="J227" s="36"/>
      <c r="K227" s="36"/>
      <c r="L227" s="36"/>
      <c r="M227" s="36"/>
      <c r="N227" s="36"/>
      <c r="O227" s="150"/>
      <c r="P227" s="3"/>
      <c r="Q227" s="3"/>
      <c r="R227" s="3"/>
      <c r="S227"/>
      <c r="T227" s="3"/>
      <c r="U227" s="3"/>
      <c r="V227" s="3"/>
      <c r="W227" s="3"/>
      <c r="X227" s="1012" t="str">
        <f>IF('[1]E-ErgInt'!S227="","",'[1]E-ErgInt'!S227)</f>
        <v>Karl Kreuzer</v>
      </c>
      <c r="Y227" s="1012"/>
      <c r="Z227" s="3"/>
      <c r="AA227" s="3"/>
      <c r="AB227"/>
      <c r="AC227"/>
      <c r="AD227" s="3"/>
    </row>
    <row r="228" spans="1:30" s="1" customFormat="1" ht="12.75" customHeight="1" x14ac:dyDescent="0.2">
      <c r="A228" s="873"/>
      <c r="B228" s="131"/>
      <c r="C228" s="36"/>
      <c r="D228" s="36"/>
      <c r="E228" s="1056"/>
      <c r="F228" s="1057"/>
      <c r="G228" s="139"/>
      <c r="H228" s="896"/>
      <c r="I228" s="36"/>
      <c r="J228" s="36"/>
      <c r="K228" s="36"/>
      <c r="L228" s="36"/>
      <c r="M228" s="36"/>
      <c r="N228" s="36"/>
      <c r="O228" s="136" t="str">
        <f>IF(S228="","",IF(U228=S228,Q228,0))</f>
        <v/>
      </c>
      <c r="P228" s="3" t="s">
        <v>108</v>
      </c>
      <c r="Q228" s="963">
        <v>1</v>
      </c>
      <c r="R228" s="3"/>
      <c r="S228" s="976" t="str">
        <f>IF(E228="","",E228)</f>
        <v/>
      </c>
      <c r="T228" s="3"/>
      <c r="U228" s="1013" t="str">
        <f>IF('[1]E-ErgInt'!E228="","",'[1]E-ErgInt'!E228)</f>
        <v>236/250</v>
      </c>
      <c r="V228" s="3"/>
      <c r="W228" s="3"/>
      <c r="X228" s="1011" t="str">
        <f>IF('[1]E-ErgInt'!S228="","",'[1]E-ErgInt'!S228)</f>
        <v>Huber Josef</v>
      </c>
      <c r="Y228" s="1011"/>
      <c r="Z228" s="3"/>
      <c r="AA228" s="3"/>
      <c r="AB228"/>
      <c r="AC228"/>
      <c r="AD228" s="3"/>
    </row>
    <row r="229" spans="1:30" s="1" customFormat="1" ht="12.75" customHeight="1" x14ac:dyDescent="0.2">
      <c r="A229" s="873"/>
      <c r="B229" s="131"/>
      <c r="C229" s="36"/>
      <c r="D229" s="36"/>
      <c r="E229" s="36"/>
      <c r="F229" s="36"/>
      <c r="G229" s="36"/>
      <c r="H229" s="36"/>
      <c r="I229" s="36"/>
      <c r="J229" s="36"/>
      <c r="K229" s="36"/>
      <c r="L229" s="36"/>
      <c r="M229" s="36"/>
      <c r="N229" s="36"/>
      <c r="O229" s="150"/>
      <c r="P229" s="3"/>
      <c r="Q229" s="3"/>
      <c r="R229" s="3"/>
      <c r="S229"/>
      <c r="T229" s="3"/>
      <c r="U229" s="3"/>
      <c r="V229" s="3"/>
      <c r="W229" s="3"/>
      <c r="X229" s="1011" t="str">
        <f>IF('[1]E-ErgInt'!S229="","",'[1]E-ErgInt'!S229)</f>
        <v>Neururer Alexandra</v>
      </c>
      <c r="Y229" s="1011"/>
      <c r="Z229" s="3"/>
      <c r="AA229" s="3"/>
      <c r="AB229"/>
      <c r="AC229"/>
      <c r="AD229" s="3"/>
    </row>
    <row r="230" spans="1:30" s="1" customFormat="1" ht="12.75" customHeight="1" x14ac:dyDescent="0.2">
      <c r="A230" s="873"/>
      <c r="B230" s="131"/>
      <c r="C230" s="36"/>
      <c r="D230" s="36" t="s">
        <v>572</v>
      </c>
      <c r="E230" s="899" t="s">
        <v>573</v>
      </c>
      <c r="F230" s="36"/>
      <c r="G230" s="36"/>
      <c r="H230" s="36"/>
      <c r="I230" s="36"/>
      <c r="J230" s="36"/>
      <c r="K230" s="36"/>
      <c r="L230" s="36"/>
      <c r="M230" s="36"/>
      <c r="N230" s="36"/>
      <c r="O230" s="150"/>
      <c r="P230" s="3"/>
      <c r="Q230" s="3"/>
      <c r="R230" s="3"/>
      <c r="S230"/>
      <c r="T230" s="3"/>
      <c r="U230" s="3"/>
      <c r="V230" s="3"/>
      <c r="W230" s="3"/>
      <c r="X230" s="3"/>
      <c r="Y230" s="3"/>
      <c r="Z230" s="3"/>
      <c r="AA230" s="3"/>
      <c r="AB230"/>
      <c r="AC230"/>
      <c r="AD230" s="3"/>
    </row>
    <row r="231" spans="1:30" s="1" customFormat="1" ht="12.75" customHeight="1" x14ac:dyDescent="0.2">
      <c r="A231" s="873"/>
      <c r="B231" s="131"/>
      <c r="C231" s="36"/>
      <c r="D231" s="36"/>
      <c r="E231" s="1050"/>
      <c r="F231" s="1051"/>
      <c r="G231" s="36"/>
      <c r="H231" s="896" t="s">
        <v>560</v>
      </c>
      <c r="I231" s="36"/>
      <c r="J231" s="36"/>
      <c r="K231" s="36"/>
      <c r="L231" s="36"/>
      <c r="M231" s="36"/>
      <c r="N231" s="36"/>
      <c r="O231" s="136" t="str">
        <f>IF(S231="","",IF(U231=S231,Q231,0))</f>
        <v/>
      </c>
      <c r="P231" s="3" t="s">
        <v>108</v>
      </c>
      <c r="Q231" s="963">
        <v>1</v>
      </c>
      <c r="R231" s="3"/>
      <c r="S231" s="976" t="str">
        <f>IF(E231="","",E231)</f>
        <v/>
      </c>
      <c r="T231" s="3"/>
      <c r="U231" s="1013" t="str">
        <f>IF('[1]E-ErgInt'!E231="","",'[1]E-ErgInt'!E231)</f>
        <v>C-Blatt</v>
      </c>
      <c r="V231" s="3"/>
      <c r="W231" s="3"/>
      <c r="X231" s="3"/>
      <c r="Y231" s="3"/>
      <c r="Z231" s="3"/>
      <c r="AA231" s="3"/>
      <c r="AB231"/>
      <c r="AC231"/>
      <c r="AD231" s="3"/>
    </row>
    <row r="232" spans="1:30" s="1" customFormat="1" ht="12.75" customHeight="1" x14ac:dyDescent="0.2">
      <c r="A232" s="873"/>
      <c r="B232" s="131"/>
      <c r="C232" s="36"/>
      <c r="D232" s="36"/>
      <c r="E232" s="36" t="s">
        <v>591</v>
      </c>
      <c r="F232" s="36"/>
      <c r="G232" s="36"/>
      <c r="H232" s="36"/>
      <c r="I232" s="36"/>
      <c r="J232" s="36"/>
      <c r="K232" s="36"/>
      <c r="L232" s="36"/>
      <c r="M232" s="36"/>
      <c r="N232" s="36"/>
      <c r="O232" s="150"/>
      <c r="P232" s="3"/>
      <c r="Q232" s="3"/>
      <c r="R232" s="3"/>
      <c r="S232"/>
      <c r="T232" s="3"/>
      <c r="U232" s="3"/>
      <c r="V232" s="3"/>
      <c r="W232" s="3"/>
      <c r="X232" s="3"/>
      <c r="Y232" s="3"/>
      <c r="Z232" s="3"/>
      <c r="AA232" s="3"/>
      <c r="AB232"/>
      <c r="AC232"/>
      <c r="AD232" s="3"/>
    </row>
    <row r="233" spans="1:30" s="1" customFormat="1" ht="12.75" customHeight="1" x14ac:dyDescent="0.2">
      <c r="A233" s="873"/>
      <c r="B233" s="131"/>
      <c r="C233" s="36"/>
      <c r="D233" s="36"/>
      <c r="E233" s="1050"/>
      <c r="F233" s="1051"/>
      <c r="G233" s="36"/>
      <c r="H233" s="896" t="s">
        <v>560</v>
      </c>
      <c r="I233" s="36"/>
      <c r="J233" s="36"/>
      <c r="K233" s="36"/>
      <c r="L233" s="36"/>
      <c r="M233" s="36"/>
      <c r="N233" s="36"/>
      <c r="O233" s="136" t="str">
        <f>IF(S233="","",IF(U233=S233,Q233,0))</f>
        <v/>
      </c>
      <c r="P233" s="3" t="s">
        <v>108</v>
      </c>
      <c r="Q233" s="963">
        <v>1</v>
      </c>
      <c r="R233" s="3"/>
      <c r="S233" s="976" t="str">
        <f>IF(E233="","",E233)</f>
        <v/>
      </c>
      <c r="T233" s="3"/>
      <c r="U233" s="1013" t="str">
        <f>IF('[1]E-ErgInt'!E233="","",'[1]E-ErgInt'!E233)</f>
        <v>Lastenblatt</v>
      </c>
      <c r="V233" s="3"/>
      <c r="W233" s="3"/>
      <c r="X233" s="1009" t="s">
        <v>574</v>
      </c>
      <c r="Y233" s="1014"/>
      <c r="Z233" s="3"/>
      <c r="AA233" s="3"/>
      <c r="AB233"/>
      <c r="AC233"/>
      <c r="AD233" s="3"/>
    </row>
    <row r="234" spans="1:30" s="1" customFormat="1" ht="12.75" customHeight="1" x14ac:dyDescent="0.2">
      <c r="A234" s="873"/>
      <c r="B234" s="131"/>
      <c r="C234" s="36"/>
      <c r="D234" s="36"/>
      <c r="E234" s="36"/>
      <c r="F234" s="36"/>
      <c r="G234" s="36"/>
      <c r="H234" s="36"/>
      <c r="I234" s="36"/>
      <c r="J234" s="36"/>
      <c r="K234" s="36"/>
      <c r="L234" s="36"/>
      <c r="M234" s="36"/>
      <c r="N234" s="36"/>
      <c r="O234" s="150"/>
      <c r="P234" s="3"/>
      <c r="Q234" s="3"/>
      <c r="R234" s="3"/>
      <c r="S234"/>
      <c r="T234" s="3"/>
      <c r="U234" s="3"/>
      <c r="V234" s="3"/>
      <c r="W234" s="3"/>
      <c r="X234" s="1011" t="str">
        <f>IF('[1]E-ErgInt'!S234="","",'[1]E-ErgInt'!S234)</f>
        <v>Fischereirecht</v>
      </c>
      <c r="Y234" s="1011"/>
      <c r="Z234" s="3"/>
      <c r="AA234" s="3"/>
      <c r="AB234"/>
      <c r="AC234"/>
      <c r="AD234" s="3"/>
    </row>
    <row r="235" spans="1:30" s="1" customFormat="1" ht="12.75" customHeight="1" x14ac:dyDescent="0.2">
      <c r="A235" s="873"/>
      <c r="B235" s="131"/>
      <c r="C235" s="36"/>
      <c r="D235" s="36" t="s">
        <v>575</v>
      </c>
      <c r="E235" s="899" t="s">
        <v>611</v>
      </c>
      <c r="F235" s="36"/>
      <c r="G235" s="36"/>
      <c r="H235" s="36"/>
      <c r="I235" s="36"/>
      <c r="J235" s="36"/>
      <c r="K235" s="36"/>
      <c r="L235" s="36"/>
      <c r="M235" s="36"/>
      <c r="N235" s="36"/>
      <c r="O235" s="150"/>
      <c r="P235" s="3"/>
      <c r="Q235" s="3"/>
      <c r="R235" s="3"/>
      <c r="S235"/>
      <c r="T235" s="3"/>
      <c r="U235" s="3"/>
      <c r="V235" s="3"/>
      <c r="W235" s="3"/>
      <c r="X235" s="1011" t="str">
        <f>IF('[1]E-ErgInt'!S235="","",'[1]E-ErgInt'!S235)</f>
        <v>Wegerecht</v>
      </c>
      <c r="Y235" s="1011"/>
      <c r="Z235" s="3"/>
      <c r="AA235" s="3"/>
      <c r="AB235"/>
      <c r="AC235"/>
      <c r="AD235" s="3"/>
    </row>
    <row r="236" spans="1:30" s="1" customFormat="1" ht="12.75" customHeight="1" x14ac:dyDescent="0.2">
      <c r="A236" s="873"/>
      <c r="B236" s="131"/>
      <c r="C236" s="36"/>
      <c r="D236" s="36"/>
      <c r="E236" s="908" t="s">
        <v>597</v>
      </c>
      <c r="F236" s="36"/>
      <c r="G236" s="36"/>
      <c r="H236" s="36"/>
      <c r="I236" s="36"/>
      <c r="J236" s="36"/>
      <c r="K236" s="36"/>
      <c r="L236" s="36"/>
      <c r="M236" s="36"/>
      <c r="N236" s="36"/>
      <c r="O236" s="150"/>
      <c r="P236" s="3"/>
      <c r="Q236" s="3"/>
      <c r="R236" s="3"/>
      <c r="S236"/>
      <c r="T236" s="3"/>
      <c r="U236" s="3"/>
      <c r="V236" s="3"/>
      <c r="W236" s="3"/>
      <c r="X236" s="1011" t="str">
        <f>IF('[1]E-ErgInt'!S236="","",'[1]E-ErgInt'!S236)</f>
        <v>Nutzungsrecht</v>
      </c>
      <c r="Y236" s="1011"/>
      <c r="Z236" s="3"/>
      <c r="AA236" s="3"/>
      <c r="AB236"/>
      <c r="AC236"/>
      <c r="AD236" s="3"/>
    </row>
    <row r="237" spans="1:30" s="1" customFormat="1" ht="12.75" customHeight="1" x14ac:dyDescent="0.2">
      <c r="A237" s="873"/>
      <c r="B237" s="131"/>
      <c r="C237" s="36"/>
      <c r="D237" s="36"/>
      <c r="E237" s="1047"/>
      <c r="F237" s="1048"/>
      <c r="G237" s="1048"/>
      <c r="H237" s="1048"/>
      <c r="I237" s="1048"/>
      <c r="J237" s="1048"/>
      <c r="K237" s="1048"/>
      <c r="L237" s="1048"/>
      <c r="M237" s="1049"/>
      <c r="N237" s="36"/>
      <c r="O237" s="136" t="str">
        <f>IF(S237="","",IF(U237=S237,Q237,0))</f>
        <v/>
      </c>
      <c r="P237" s="3" t="s">
        <v>108</v>
      </c>
      <c r="Q237" s="963">
        <v>0.5</v>
      </c>
      <c r="R237" s="3"/>
      <c r="S237" s="976" t="str">
        <f>IF(E237="","",E237)</f>
        <v/>
      </c>
      <c r="T237" s="3"/>
      <c r="U237" s="1013" t="str">
        <f>IF('[1]E-ErgInt'!E237="","",'[1]E-ErgInt'!E237)</f>
        <v>Weiderecht</v>
      </c>
      <c r="V237" s="3"/>
      <c r="W237" s="3"/>
      <c r="X237" s="1011" t="str">
        <f>IF('[1]E-ErgInt'!S237="","",'[1]E-ErgInt'!S237)</f>
        <v>Feuerwehrzone</v>
      </c>
      <c r="Y237" s="1011"/>
      <c r="Z237" s="3"/>
      <c r="AA237" s="3"/>
      <c r="AB237"/>
      <c r="AC237"/>
      <c r="AD237" s="3"/>
    </row>
    <row r="238" spans="1:30" s="1" customFormat="1" ht="12.75" customHeight="1" x14ac:dyDescent="0.2">
      <c r="A238" s="873"/>
      <c r="B238" s="131"/>
      <c r="C238" s="36"/>
      <c r="D238" s="36"/>
      <c r="E238" s="899" t="s">
        <v>598</v>
      </c>
      <c r="F238" s="36"/>
      <c r="G238" s="36"/>
      <c r="H238" s="36"/>
      <c r="I238" s="36"/>
      <c r="J238" s="36"/>
      <c r="K238" s="36"/>
      <c r="L238" s="36"/>
      <c r="M238" s="36"/>
      <c r="N238" s="36"/>
      <c r="O238" s="150"/>
      <c r="P238" s="3"/>
      <c r="Q238" s="3"/>
      <c r="R238" s="3"/>
      <c r="S238"/>
      <c r="T238" s="3"/>
      <c r="U238" s="3"/>
      <c r="V238" s="3"/>
      <c r="W238" s="3"/>
      <c r="X238" s="1011" t="str">
        <f>IF('[1]E-ErgInt'!S238="","",'[1]E-ErgInt'!S238)</f>
        <v>Weiderecht</v>
      </c>
      <c r="Y238" s="1011"/>
      <c r="Z238" s="3"/>
      <c r="AA238" s="3"/>
      <c r="AB238"/>
      <c r="AC238"/>
      <c r="AD238" s="3"/>
    </row>
    <row r="239" spans="1:30" s="1" customFormat="1" ht="12.75" customHeight="1" x14ac:dyDescent="0.2">
      <c r="A239" s="873"/>
      <c r="B239" s="131"/>
      <c r="C239" s="36"/>
      <c r="D239" s="36"/>
      <c r="E239" s="899"/>
      <c r="F239" s="902" t="s">
        <v>576</v>
      </c>
      <c r="G239" s="898"/>
      <c r="H239" s="903"/>
      <c r="I239" s="36"/>
      <c r="J239" s="36"/>
      <c r="K239" s="36"/>
      <c r="L239" s="36"/>
      <c r="M239" s="36"/>
      <c r="N239" s="36"/>
      <c r="O239" s="136" t="str">
        <f>IF(AND(S239="",S241=""),"",IF(AND(U239=S239,S241=U241),Q239,0))</f>
        <v/>
      </c>
      <c r="P239" s="3" t="s">
        <v>108</v>
      </c>
      <c r="Q239" s="963">
        <v>0.25</v>
      </c>
      <c r="R239" s="3"/>
      <c r="S239" s="976" t="str">
        <f>IF(H239="","",H239)</f>
        <v/>
      </c>
      <c r="T239" s="3"/>
      <c r="U239" s="1013">
        <f>IF('[1]E-ErgInt'!H239="","",'[1]E-ErgInt'!H239)</f>
        <v>1030</v>
      </c>
      <c r="V239" s="3"/>
      <c r="W239" s="3"/>
      <c r="X239" s="1011" t="str">
        <f>IF('[1]E-ErgInt'!S239="","",'[1]E-ErgInt'!S239)</f>
        <v>Holzbringungsrecht</v>
      </c>
      <c r="Y239" s="1011"/>
      <c r="Z239" s="3"/>
      <c r="AA239" s="3"/>
      <c r="AB239"/>
      <c r="AC239"/>
      <c r="AD239" s="3"/>
    </row>
    <row r="240" spans="1:30" s="1" customFormat="1" ht="3.95" customHeight="1" x14ac:dyDescent="0.2">
      <c r="A240" s="873"/>
      <c r="B240" s="131"/>
      <c r="C240" s="36"/>
      <c r="D240" s="36"/>
      <c r="E240" s="899"/>
      <c r="F240" s="36"/>
      <c r="G240" s="36"/>
      <c r="H240" s="36"/>
      <c r="I240" s="36"/>
      <c r="J240" s="36"/>
      <c r="K240" s="36"/>
      <c r="L240" s="36"/>
      <c r="M240" s="36"/>
      <c r="N240" s="36"/>
      <c r="O240" s="150"/>
      <c r="P240" s="3"/>
      <c r="Q240" s="3"/>
      <c r="R240" s="3"/>
      <c r="S240" s="3"/>
      <c r="T240" s="3"/>
      <c r="U240" s="3"/>
      <c r="V240" s="3"/>
      <c r="W240" s="3"/>
      <c r="X240" s="3"/>
      <c r="Y240" s="3"/>
      <c r="Z240" s="3"/>
      <c r="AA240" s="3"/>
      <c r="AB240"/>
      <c r="AC240"/>
      <c r="AD240" s="3"/>
    </row>
    <row r="241" spans="1:30" s="1" customFormat="1" ht="12.75" customHeight="1" x14ac:dyDescent="0.2">
      <c r="A241" s="873"/>
      <c r="B241" s="131"/>
      <c r="C241" s="36"/>
      <c r="D241" s="36"/>
      <c r="E241" s="36"/>
      <c r="F241" s="902" t="s">
        <v>576</v>
      </c>
      <c r="G241" s="898"/>
      <c r="H241" s="903"/>
      <c r="I241" s="887" t="s">
        <v>534</v>
      </c>
      <c r="J241" s="904" t="s">
        <v>577</v>
      </c>
      <c r="K241" s="898"/>
      <c r="L241" s="898"/>
      <c r="M241" s="898"/>
      <c r="N241" s="36"/>
      <c r="O241" s="150"/>
      <c r="P241" s="3"/>
      <c r="Q241" s="3"/>
      <c r="R241" s="3"/>
      <c r="S241" s="976" t="str">
        <f>IF(H241="","",H241)</f>
        <v/>
      </c>
      <c r="T241" s="3"/>
      <c r="U241" s="1013">
        <f>IF('[1]E-ErgInt'!H241="","",'[1]E-ErgInt'!H241)</f>
        <v>1031</v>
      </c>
      <c r="V241" s="3"/>
      <c r="W241" s="3"/>
      <c r="X241" s="3"/>
      <c r="Y241" s="3"/>
      <c r="Z241" s="3"/>
      <c r="AA241" s="3"/>
      <c r="AB241"/>
      <c r="AC241"/>
      <c r="AD241" s="3"/>
    </row>
    <row r="242" spans="1:30" s="1" customFormat="1" ht="12.75" customHeight="1" x14ac:dyDescent="0.2">
      <c r="A242" s="873"/>
      <c r="B242" s="131"/>
      <c r="C242" s="36"/>
      <c r="D242" s="36"/>
      <c r="E242" s="36" t="s">
        <v>578</v>
      </c>
      <c r="F242" s="36"/>
      <c r="G242" s="36"/>
      <c r="H242" s="36"/>
      <c r="I242" s="36"/>
      <c r="J242" s="36"/>
      <c r="K242" s="36"/>
      <c r="L242" s="36"/>
      <c r="M242" s="36"/>
      <c r="N242" s="36"/>
      <c r="O242" s="150"/>
      <c r="P242" s="3"/>
      <c r="Q242" s="3"/>
      <c r="R242" s="3"/>
      <c r="S242" s="3"/>
      <c r="T242" s="3"/>
      <c r="U242" s="3"/>
      <c r="V242" s="3"/>
      <c r="W242" s="3"/>
      <c r="X242" s="3"/>
      <c r="Y242" s="3"/>
      <c r="Z242" s="3"/>
      <c r="AA242" s="3"/>
      <c r="AB242"/>
      <c r="AC242"/>
      <c r="AD242" s="3"/>
    </row>
    <row r="243" spans="1:30" s="1" customFormat="1" ht="12.75" customHeight="1" x14ac:dyDescent="0.2">
      <c r="A243" s="873"/>
      <c r="B243" s="131"/>
      <c r="C243" s="36"/>
      <c r="D243" s="36"/>
      <c r="E243" s="142"/>
      <c r="F243" s="902" t="s">
        <v>576</v>
      </c>
      <c r="G243" s="898"/>
      <c r="H243" s="903"/>
      <c r="I243" s="887" t="s">
        <v>534</v>
      </c>
      <c r="J243" s="904" t="s">
        <v>579</v>
      </c>
      <c r="K243" s="36"/>
      <c r="L243" s="36"/>
      <c r="M243" s="36"/>
      <c r="N243" s="36"/>
      <c r="O243" s="136" t="str">
        <f>IF(AND(S243="",S245="",T243=""),"",IF(AND(U243=S243,S245=U245,T243=V243),Q243,0))</f>
        <v/>
      </c>
      <c r="P243" s="3" t="s">
        <v>108</v>
      </c>
      <c r="Q243" s="963">
        <v>0.25</v>
      </c>
      <c r="R243" s="3"/>
      <c r="S243" s="976" t="str">
        <f>IF(E243="","",E243)</f>
        <v/>
      </c>
      <c r="T243" s="976" t="str">
        <f>IF(H243="","",H243)</f>
        <v/>
      </c>
      <c r="U243" s="1013" t="str">
        <f>IF('[1]E-ErgInt'!E243="","",'[1]E-ErgInt'!E243)</f>
        <v>x</v>
      </c>
      <c r="V243" s="1013">
        <f>IF('[1]E-ErgInt'!H243="","",'[1]E-ErgInt'!H243)</f>
        <v>1032</v>
      </c>
      <c r="W243" s="3"/>
      <c r="X243" s="3"/>
      <c r="Y243" s="3"/>
      <c r="Z243" s="3"/>
      <c r="AA243" s="3"/>
      <c r="AB243"/>
      <c r="AC243"/>
      <c r="AD243" s="3"/>
    </row>
    <row r="244" spans="1:30" s="1" customFormat="1" ht="3.95" customHeight="1" x14ac:dyDescent="0.2">
      <c r="A244" s="873"/>
      <c r="B244" s="131"/>
      <c r="C244" s="36"/>
      <c r="D244" s="36"/>
      <c r="E244" s="899"/>
      <c r="F244" s="36"/>
      <c r="G244" s="36"/>
      <c r="H244" s="36"/>
      <c r="I244" s="36"/>
      <c r="J244" s="36"/>
      <c r="K244" s="36"/>
      <c r="L244" s="36"/>
      <c r="M244" s="36"/>
      <c r="N244" s="36"/>
      <c r="O244" s="150"/>
      <c r="P244" s="3"/>
      <c r="Q244" s="3"/>
      <c r="R244" s="3"/>
      <c r="S244" s="3"/>
      <c r="T244" s="3"/>
      <c r="U244" s="3"/>
      <c r="V244" s="3"/>
      <c r="W244" s="3"/>
      <c r="X244" s="3"/>
      <c r="Y244" s="3"/>
      <c r="Z244" s="3"/>
      <c r="AA244" s="3"/>
      <c r="AB244"/>
      <c r="AC244"/>
      <c r="AD244" s="3"/>
    </row>
    <row r="245" spans="1:30" s="1" customFormat="1" ht="12.75" customHeight="1" x14ac:dyDescent="0.2">
      <c r="A245" s="873"/>
      <c r="B245" s="131"/>
      <c r="C245" s="36"/>
      <c r="D245" s="36"/>
      <c r="E245" s="142"/>
      <c r="F245" s="902" t="s">
        <v>580</v>
      </c>
      <c r="G245" s="898"/>
      <c r="H245" s="898"/>
      <c r="I245" s="898"/>
      <c r="J245" s="898"/>
      <c r="K245" s="898"/>
      <c r="L245" s="898"/>
      <c r="M245" s="898"/>
      <c r="N245" s="36"/>
      <c r="O245" s="150"/>
      <c r="P245" s="3"/>
      <c r="Q245" s="3"/>
      <c r="R245" s="3"/>
      <c r="S245" s="976" t="str">
        <f>IF(E245="","",E245)</f>
        <v/>
      </c>
      <c r="T245" s="3"/>
      <c r="U245" s="1013" t="str">
        <f>IF('[1]E-ErgInt'!E245="","",'[1]E-ErgInt'!E245)</f>
        <v/>
      </c>
      <c r="V245" s="3"/>
      <c r="W245" s="3"/>
      <c r="X245" s="3"/>
      <c r="Y245" s="3"/>
      <c r="Z245" s="3"/>
      <c r="AA245" s="3"/>
      <c r="AB245"/>
      <c r="AC245"/>
      <c r="AD245" s="3"/>
    </row>
    <row r="246" spans="1:30" s="1" customFormat="1" ht="12.75" customHeight="1" x14ac:dyDescent="0.2">
      <c r="A246" s="873"/>
      <c r="B246" s="131"/>
      <c r="C246" s="36"/>
      <c r="D246" s="36"/>
      <c r="E246" s="898"/>
      <c r="F246" s="898"/>
      <c r="G246" s="898"/>
      <c r="H246" s="898"/>
      <c r="I246" s="898"/>
      <c r="J246" s="898"/>
      <c r="K246" s="898"/>
      <c r="L246" s="898"/>
      <c r="M246" s="898"/>
      <c r="N246" s="36"/>
      <c r="O246" s="150"/>
      <c r="P246" s="3"/>
      <c r="Q246" s="3"/>
      <c r="R246" s="3"/>
      <c r="T246" s="3"/>
      <c r="V246" s="3"/>
      <c r="W246" s="3"/>
      <c r="X246" s="3"/>
      <c r="Y246" s="3"/>
      <c r="Z246" s="3"/>
      <c r="AA246" s="3"/>
      <c r="AB246"/>
      <c r="AC246"/>
      <c r="AD246" s="3"/>
    </row>
    <row r="247" spans="1:30" s="1" customFormat="1" ht="12.75" customHeight="1" x14ac:dyDescent="0.2">
      <c r="A247" s="873"/>
      <c r="B247" s="131"/>
      <c r="C247" s="36"/>
      <c r="D247" s="36"/>
      <c r="E247" s="899" t="s">
        <v>599</v>
      </c>
      <c r="F247" s="36"/>
      <c r="G247" s="36"/>
      <c r="H247" s="36"/>
      <c r="I247" s="36"/>
      <c r="J247" s="36"/>
      <c r="K247" s="36"/>
      <c r="L247" s="36"/>
      <c r="M247" s="36"/>
      <c r="N247" s="36"/>
      <c r="O247" s="150"/>
      <c r="P247" s="3"/>
      <c r="Q247" s="3"/>
      <c r="R247" s="3"/>
      <c r="S247" s="3"/>
      <c r="T247" s="3"/>
      <c r="U247" s="3"/>
      <c r="V247" s="3"/>
      <c r="W247" s="3"/>
      <c r="X247" s="3"/>
      <c r="Y247" s="3"/>
      <c r="Z247" s="3"/>
      <c r="AA247" s="3"/>
      <c r="AB247"/>
      <c r="AC247"/>
      <c r="AD247" s="3"/>
    </row>
    <row r="248" spans="1:30" s="1" customFormat="1" ht="12.75" customHeight="1" x14ac:dyDescent="0.2">
      <c r="A248" s="873"/>
      <c r="B248" s="131"/>
      <c r="C248" s="36"/>
      <c r="D248" s="36"/>
      <c r="E248" s="1047"/>
      <c r="F248" s="1048"/>
      <c r="G248" s="1048"/>
      <c r="H248" s="1048"/>
      <c r="I248" s="1048"/>
      <c r="J248" s="1048"/>
      <c r="K248" s="1048"/>
      <c r="L248" s="1048"/>
      <c r="M248" s="1049"/>
      <c r="N248" s="36"/>
      <c r="O248" s="136" t="str">
        <f>IF(S248="","",IF(U248=S248,Q248,0))</f>
        <v/>
      </c>
      <c r="P248" s="3" t="s">
        <v>108</v>
      </c>
      <c r="Q248" s="963">
        <v>0.5</v>
      </c>
      <c r="R248" s="3"/>
      <c r="S248" s="976" t="str">
        <f>IF(E248="","",E248)</f>
        <v/>
      </c>
      <c r="T248" s="3"/>
      <c r="U248" s="1013" t="str">
        <f>IF('[1]E-ErgInt'!E248="","",'[1]E-ErgInt'!E248)</f>
        <v>Holzbringungsrecht</v>
      </c>
      <c r="V248" s="3"/>
      <c r="W248" s="3"/>
      <c r="X248" s="3"/>
      <c r="Y248" s="3"/>
      <c r="Z248" s="3"/>
      <c r="AA248" s="3"/>
      <c r="AB248"/>
      <c r="AC248"/>
      <c r="AD248" s="3"/>
    </row>
    <row r="249" spans="1:30" s="1" customFormat="1" ht="12.75" customHeight="1" x14ac:dyDescent="0.2">
      <c r="A249" s="873"/>
      <c r="B249" s="131"/>
      <c r="C249" s="36"/>
      <c r="D249" s="36"/>
      <c r="E249" s="899" t="s">
        <v>598</v>
      </c>
      <c r="F249" s="36"/>
      <c r="G249" s="36"/>
      <c r="H249" s="36"/>
      <c r="I249" s="36"/>
      <c r="J249" s="36"/>
      <c r="K249" s="36"/>
      <c r="L249" s="36"/>
      <c r="M249" s="36"/>
      <c r="N249" s="36"/>
      <c r="O249" s="150"/>
      <c r="P249" s="3"/>
      <c r="Q249" s="3"/>
      <c r="R249" s="3"/>
      <c r="S249"/>
      <c r="T249" s="3"/>
      <c r="U249" s="3"/>
      <c r="V249" s="3"/>
      <c r="W249" s="3"/>
      <c r="X249" s="3"/>
      <c r="Y249" s="3"/>
      <c r="Z249" s="3"/>
      <c r="AA249" s="3"/>
      <c r="AB249"/>
      <c r="AC249"/>
      <c r="AD249" s="3"/>
    </row>
    <row r="250" spans="1:30" s="1" customFormat="1" ht="12.75" customHeight="1" x14ac:dyDescent="0.2">
      <c r="A250" s="873"/>
      <c r="B250" s="131"/>
      <c r="C250" s="36"/>
      <c r="D250" s="36"/>
      <c r="E250" s="899"/>
      <c r="F250" s="902" t="s">
        <v>576</v>
      </c>
      <c r="G250" s="898"/>
      <c r="H250" s="903"/>
      <c r="I250" s="36"/>
      <c r="J250" s="36"/>
      <c r="K250" s="36"/>
      <c r="L250" s="36"/>
      <c r="M250" s="36"/>
      <c r="N250" s="36"/>
      <c r="O250" s="136" t="str">
        <f>IF(AND(S250="",S252=""),"",IF(AND(U250=S250,S252=U252),Q250,0))</f>
        <v/>
      </c>
      <c r="P250" s="3" t="s">
        <v>108</v>
      </c>
      <c r="Q250" s="963">
        <v>0.25</v>
      </c>
      <c r="R250" s="3"/>
      <c r="S250" s="976" t="str">
        <f>IF(H250="","",H250)</f>
        <v/>
      </c>
      <c r="T250" s="3"/>
      <c r="U250" s="1013">
        <f>IF('[1]E-ErgInt'!H250="","",'[1]E-ErgInt'!H250)</f>
        <v>672</v>
      </c>
      <c r="V250" s="3"/>
      <c r="W250" s="3"/>
      <c r="X250" s="3"/>
      <c r="Y250" s="3"/>
      <c r="Z250" s="3"/>
      <c r="AA250" s="3"/>
      <c r="AB250"/>
      <c r="AC250"/>
      <c r="AD250" s="3"/>
    </row>
    <row r="251" spans="1:30" s="1" customFormat="1" ht="3.95" customHeight="1" x14ac:dyDescent="0.2">
      <c r="A251" s="873"/>
      <c r="B251" s="131"/>
      <c r="C251" s="36"/>
      <c r="D251" s="36"/>
      <c r="E251" s="899"/>
      <c r="F251" s="36"/>
      <c r="G251" s="36"/>
      <c r="H251" s="36"/>
      <c r="I251" s="36"/>
      <c r="J251" s="36"/>
      <c r="K251" s="36"/>
      <c r="L251" s="36"/>
      <c r="M251" s="36"/>
      <c r="N251" s="36"/>
      <c r="O251" s="150"/>
      <c r="P251" s="3"/>
      <c r="Q251" s="3"/>
      <c r="R251" s="3"/>
      <c r="S251" s="3"/>
      <c r="T251" s="3"/>
      <c r="U251" s="3"/>
      <c r="V251" s="3"/>
      <c r="W251" s="3"/>
      <c r="X251" s="3"/>
      <c r="Y251" s="3"/>
      <c r="Z251" s="3"/>
      <c r="AA251" s="3"/>
      <c r="AB251"/>
      <c r="AC251"/>
      <c r="AD251" s="3"/>
    </row>
    <row r="252" spans="1:30" s="1" customFormat="1" ht="12.75" customHeight="1" x14ac:dyDescent="0.2">
      <c r="A252" s="873"/>
      <c r="B252" s="131"/>
      <c r="C252" s="36"/>
      <c r="D252" s="36"/>
      <c r="E252" s="36"/>
      <c r="F252" s="902" t="s">
        <v>576</v>
      </c>
      <c r="G252" s="898"/>
      <c r="H252" s="903"/>
      <c r="I252" s="887" t="s">
        <v>534</v>
      </c>
      <c r="J252" s="904" t="s">
        <v>577</v>
      </c>
      <c r="K252" s="898"/>
      <c r="L252" s="898"/>
      <c r="M252" s="898"/>
      <c r="N252" s="36"/>
      <c r="O252" s="150"/>
      <c r="P252" s="3"/>
      <c r="Q252" s="3"/>
      <c r="R252" s="3"/>
      <c r="S252" s="976" t="str">
        <f>IF(H252="","",H252)</f>
        <v/>
      </c>
      <c r="T252" s="3"/>
      <c r="U252" s="1013">
        <f>IF('[1]E-ErgInt'!H252="","",'[1]E-ErgInt'!H252)</f>
        <v>673</v>
      </c>
      <c r="V252" s="3"/>
      <c r="W252" s="3"/>
      <c r="X252" s="3"/>
      <c r="Y252" s="3"/>
      <c r="Z252" s="3"/>
      <c r="AA252" s="3"/>
      <c r="AB252"/>
      <c r="AC252"/>
      <c r="AD252" s="3"/>
    </row>
    <row r="253" spans="1:30" s="1" customFormat="1" ht="12.75" customHeight="1" x14ac:dyDescent="0.2">
      <c r="A253" s="873"/>
      <c r="B253" s="131"/>
      <c r="C253" s="36"/>
      <c r="D253" s="36"/>
      <c r="E253" s="36" t="s">
        <v>600</v>
      </c>
      <c r="F253" s="36"/>
      <c r="G253" s="36"/>
      <c r="H253" s="36"/>
      <c r="I253" s="36"/>
      <c r="J253" s="36"/>
      <c r="K253" s="36"/>
      <c r="L253" s="36"/>
      <c r="M253" s="36"/>
      <c r="N253" s="36"/>
      <c r="O253" s="150"/>
      <c r="P253" s="3"/>
      <c r="Q253" s="3"/>
      <c r="R253" s="3"/>
      <c r="S253" s="3"/>
      <c r="T253" s="3"/>
      <c r="U253" s="3"/>
      <c r="V253" s="3"/>
      <c r="W253" s="3"/>
      <c r="X253" s="3"/>
      <c r="Y253" s="3"/>
      <c r="Z253" s="3"/>
      <c r="AA253" s="3"/>
      <c r="AB253"/>
      <c r="AC253"/>
      <c r="AD253" s="3"/>
    </row>
    <row r="254" spans="1:30" s="1" customFormat="1" ht="12.75" customHeight="1" x14ac:dyDescent="0.2">
      <c r="A254" s="873"/>
      <c r="B254" s="131"/>
      <c r="C254" s="36"/>
      <c r="D254" s="36"/>
      <c r="E254" s="142"/>
      <c r="F254" s="902" t="s">
        <v>576</v>
      </c>
      <c r="G254" s="898"/>
      <c r="H254" s="903"/>
      <c r="I254" s="887" t="s">
        <v>534</v>
      </c>
      <c r="J254" s="904" t="s">
        <v>579</v>
      </c>
      <c r="K254" s="36"/>
      <c r="L254" s="36"/>
      <c r="M254" s="36"/>
      <c r="N254" s="36"/>
      <c r="O254" s="136" t="str">
        <f>IF(AND(S254="",S256="",T254=""),"",IF(AND(U254=S254,S256=U256,T254=V254),Q254,0))</f>
        <v/>
      </c>
      <c r="P254" s="3" t="s">
        <v>108</v>
      </c>
      <c r="Q254" s="963">
        <v>0.25</v>
      </c>
      <c r="R254" s="3"/>
      <c r="S254" s="976" t="str">
        <f>IF(E254="","",E254)</f>
        <v/>
      </c>
      <c r="T254" s="976" t="str">
        <f>IF(H254="","",H254)</f>
        <v/>
      </c>
      <c r="U254" s="1013" t="str">
        <f>IF('[1]E-ErgInt'!E254="","",'[1]E-ErgInt'!E254)</f>
        <v>x</v>
      </c>
      <c r="V254" s="1013">
        <f>IF('[1]E-ErgInt'!H254="","",'[1]E-ErgInt'!H254)</f>
        <v>670</v>
      </c>
      <c r="W254" s="3"/>
      <c r="X254" s="3"/>
      <c r="Y254" s="3"/>
      <c r="Z254" s="3"/>
      <c r="AA254" s="3"/>
      <c r="AB254"/>
      <c r="AC254"/>
      <c r="AD254" s="3"/>
    </row>
    <row r="255" spans="1:30" s="1" customFormat="1" ht="3.95" customHeight="1" x14ac:dyDescent="0.2">
      <c r="A255" s="873"/>
      <c r="B255" s="131"/>
      <c r="C255" s="36"/>
      <c r="D255" s="36"/>
      <c r="E255" s="899"/>
      <c r="F255" s="36"/>
      <c r="G255" s="36"/>
      <c r="H255" s="36"/>
      <c r="I255" s="36"/>
      <c r="J255" s="36"/>
      <c r="K255" s="36"/>
      <c r="L255" s="36"/>
      <c r="M255" s="36"/>
      <c r="N255" s="36"/>
      <c r="O255" s="150"/>
      <c r="P255" s="3"/>
      <c r="Q255" s="3"/>
      <c r="R255" s="3"/>
      <c r="S255" s="3"/>
      <c r="T255" s="3"/>
      <c r="U255" s="3"/>
      <c r="V255" s="3"/>
      <c r="W255" s="3"/>
      <c r="X255" s="3"/>
      <c r="Y255" s="3"/>
      <c r="Z255" s="3"/>
      <c r="AA255" s="3"/>
      <c r="AB255"/>
      <c r="AC255"/>
      <c r="AD255" s="3"/>
    </row>
    <row r="256" spans="1:30" s="1" customFormat="1" ht="12.75" customHeight="1" x14ac:dyDescent="0.2">
      <c r="A256" s="873"/>
      <c r="B256" s="131"/>
      <c r="C256" s="36"/>
      <c r="D256" s="36"/>
      <c r="E256" s="142"/>
      <c r="F256" s="902" t="s">
        <v>580</v>
      </c>
      <c r="G256" s="898"/>
      <c r="H256" s="898"/>
      <c r="I256" s="898"/>
      <c r="J256" s="898"/>
      <c r="K256" s="898"/>
      <c r="L256" s="898"/>
      <c r="M256" s="898"/>
      <c r="N256" s="36"/>
      <c r="O256" s="150"/>
      <c r="P256" s="3"/>
      <c r="Q256" s="3"/>
      <c r="R256" s="3"/>
      <c r="S256" s="976" t="str">
        <f>IF(E256="","",E256)</f>
        <v/>
      </c>
      <c r="T256" s="3"/>
      <c r="U256" s="1013" t="str">
        <f>IF('[1]E-ErgInt'!E256="","",'[1]E-ErgInt'!E256)</f>
        <v/>
      </c>
      <c r="V256" s="3"/>
      <c r="W256" s="3"/>
      <c r="X256" s="3"/>
      <c r="Y256" s="3"/>
      <c r="Z256" s="3"/>
      <c r="AA256" s="3"/>
      <c r="AB256"/>
      <c r="AC256"/>
      <c r="AD256" s="3"/>
    </row>
    <row r="257" spans="1:30" s="1" customFormat="1" ht="12.75" customHeight="1" x14ac:dyDescent="0.2">
      <c r="A257" s="873"/>
      <c r="B257" s="131"/>
      <c r="C257" s="36"/>
      <c r="D257" s="36"/>
      <c r="E257" s="898"/>
      <c r="F257" s="898"/>
      <c r="G257" s="898"/>
      <c r="H257" s="898"/>
      <c r="I257" s="898"/>
      <c r="J257" s="898"/>
      <c r="K257" s="898"/>
      <c r="L257" s="898"/>
      <c r="M257" s="898"/>
      <c r="N257" s="36"/>
      <c r="O257" s="150"/>
      <c r="P257" s="3"/>
      <c r="Q257" s="3"/>
      <c r="R257" s="3"/>
      <c r="T257" s="3"/>
      <c r="V257" s="3"/>
      <c r="W257" s="3"/>
      <c r="X257" s="3"/>
      <c r="Y257" s="3"/>
      <c r="Z257" s="3"/>
      <c r="AA257" s="3"/>
      <c r="AB257"/>
      <c r="AC257"/>
      <c r="AD257" s="3"/>
    </row>
    <row r="258" spans="1:30" s="1" customFormat="1" ht="12.75" customHeight="1" x14ac:dyDescent="0.2">
      <c r="A258" s="873"/>
      <c r="B258" s="131"/>
      <c r="C258" s="36"/>
      <c r="D258" s="36" t="s">
        <v>581</v>
      </c>
      <c r="E258" s="36" t="s">
        <v>610</v>
      </c>
      <c r="F258" s="36"/>
      <c r="G258" s="36"/>
      <c r="H258" s="36"/>
      <c r="I258" s="36"/>
      <c r="J258" s="36"/>
      <c r="K258" s="36"/>
      <c r="L258" s="36"/>
      <c r="M258" s="36"/>
      <c r="N258" s="36"/>
      <c r="O258" s="150"/>
      <c r="P258" s="3"/>
      <c r="Q258" s="3"/>
      <c r="R258" s="3"/>
      <c r="S258" s="3"/>
      <c r="T258" s="3"/>
      <c r="U258" s="3"/>
      <c r="V258" s="3"/>
      <c r="W258" s="3"/>
      <c r="X258" s="3"/>
      <c r="Y258" s="3"/>
      <c r="Z258" s="3"/>
      <c r="AA258" s="3"/>
      <c r="AB258"/>
      <c r="AC258"/>
      <c r="AD258" s="3"/>
    </row>
    <row r="259" spans="1:30" s="1" customFormat="1" ht="12.75" customHeight="1" x14ac:dyDescent="0.2">
      <c r="A259" s="873"/>
      <c r="B259" s="131"/>
      <c r="C259" s="36"/>
      <c r="D259" s="36"/>
      <c r="E259" s="899" t="s">
        <v>601</v>
      </c>
      <c r="F259" s="36"/>
      <c r="G259" s="36"/>
      <c r="H259" s="36"/>
      <c r="I259" s="36"/>
      <c r="J259" s="36"/>
      <c r="K259" s="36"/>
      <c r="L259" s="36"/>
      <c r="M259" s="36"/>
      <c r="N259" s="36"/>
      <c r="O259" s="150"/>
      <c r="P259" s="3"/>
      <c r="Q259" s="3"/>
      <c r="R259" s="3"/>
      <c r="S259"/>
      <c r="T259"/>
      <c r="U259"/>
      <c r="V259"/>
      <c r="W259"/>
      <c r="X259" s="1009" t="s">
        <v>582</v>
      </c>
      <c r="Y259" s="1009"/>
      <c r="Z259" s="1009"/>
      <c r="AA259" s="3"/>
      <c r="AB259" s="1009" t="s">
        <v>583</v>
      </c>
      <c r="AC259" s="1015"/>
      <c r="AD259" s="3"/>
    </row>
    <row r="260" spans="1:30" s="1" customFormat="1" ht="12.75" customHeight="1" x14ac:dyDescent="0.2">
      <c r="A260" s="873"/>
      <c r="B260" s="131"/>
      <c r="C260" s="36"/>
      <c r="D260" s="36"/>
      <c r="E260" s="1047"/>
      <c r="F260" s="1048"/>
      <c r="G260" s="1048"/>
      <c r="H260" s="1048"/>
      <c r="I260" s="1048"/>
      <c r="J260" s="1048"/>
      <c r="K260" s="1048"/>
      <c r="L260" s="1048"/>
      <c r="M260" s="1049"/>
      <c r="N260" s="36"/>
      <c r="O260" s="136" t="str">
        <f>IF(S260="","",IF(U260=S260,Q260,0))</f>
        <v/>
      </c>
      <c r="P260" s="3" t="s">
        <v>108</v>
      </c>
      <c r="Q260" s="963">
        <v>0.25</v>
      </c>
      <c r="R260" s="3"/>
      <c r="S260" s="976" t="str">
        <f>IF(E260="","",E260)</f>
        <v/>
      </c>
      <c r="T260" s="3"/>
      <c r="U260" s="1013" t="str">
        <f>IF('[1]E-ErgInt'!E260="","",'[1]E-ErgInt'!E260)</f>
        <v>Pfandrecht</v>
      </c>
      <c r="V260"/>
      <c r="W260"/>
      <c r="X260" s="1016" t="str">
        <f>IF('[1]E-ErgInt'!S260="","",'[1]E-ErgInt'!S260)</f>
        <v>Nutzungsrecht</v>
      </c>
      <c r="Y260" s="1011"/>
      <c r="Z260" s="1011"/>
      <c r="AA260" s="3"/>
      <c r="AB260" s="1012" t="str">
        <f>IF('[1]E-ErgInt'!X260="","",'[1]E-ErgInt'!X260)</f>
        <v xml:space="preserve">Raiffeisenbank Landeck reg. GenmbH </v>
      </c>
      <c r="AC260" s="1017"/>
      <c r="AD260" s="3"/>
    </row>
    <row r="261" spans="1:30" s="1" customFormat="1" ht="12.75" customHeight="1" x14ac:dyDescent="0.2">
      <c r="A261" s="873"/>
      <c r="B261" s="131"/>
      <c r="C261" s="36"/>
      <c r="D261" s="36"/>
      <c r="E261" s="899" t="s">
        <v>602</v>
      </c>
      <c r="F261" s="36"/>
      <c r="G261" s="36"/>
      <c r="H261" s="36"/>
      <c r="I261" s="36"/>
      <c r="J261" s="36"/>
      <c r="K261" s="36"/>
      <c r="L261" s="36"/>
      <c r="M261" s="36"/>
      <c r="N261" s="36"/>
      <c r="O261" s="150"/>
      <c r="P261" s="3"/>
      <c r="Q261" s="3"/>
      <c r="R261" s="3"/>
      <c r="S261"/>
      <c r="T261"/>
      <c r="U261"/>
      <c r="V261"/>
      <c r="W261"/>
      <c r="X261" s="1016" t="str">
        <f>IF('[1]E-ErgInt'!S261="","",'[1]E-ErgInt'!S261)</f>
        <v>Weiderecht</v>
      </c>
      <c r="Y261" s="1011"/>
      <c r="Z261" s="1011"/>
      <c r="AA261" s="3"/>
      <c r="AB261" s="1012" t="str">
        <f>IF('[1]E-ErgInt'!X261="","",'[1]E-ErgInt'!X261)</f>
        <v xml:space="preserve">Koller Franz </v>
      </c>
      <c r="AC261" s="1017"/>
      <c r="AD261" s="3"/>
    </row>
    <row r="262" spans="1:30" s="1" customFormat="1" ht="12.75" customHeight="1" x14ac:dyDescent="0.2">
      <c r="A262" s="873"/>
      <c r="B262" s="131"/>
      <c r="C262" s="36"/>
      <c r="D262" s="36"/>
      <c r="E262" s="1047"/>
      <c r="F262" s="1048"/>
      <c r="G262" s="1048"/>
      <c r="H262" s="1048"/>
      <c r="I262" s="1048"/>
      <c r="J262" s="1048"/>
      <c r="K262" s="1048"/>
      <c r="L262" s="1048"/>
      <c r="M262" s="1049"/>
      <c r="N262" s="36"/>
      <c r="O262" s="136" t="str">
        <f>IF(S262="","",IF(U262=S262,Q262,0))</f>
        <v/>
      </c>
      <c r="P262" s="3" t="s">
        <v>108</v>
      </c>
      <c r="Q262" s="963">
        <v>0.25</v>
      </c>
      <c r="R262" s="3"/>
      <c r="S262" s="976" t="str">
        <f>IF(E262="","",E262)</f>
        <v/>
      </c>
      <c r="T262" s="3"/>
      <c r="U262" s="1013" t="str">
        <f>IF('[1]E-ErgInt'!E262="","",'[1]E-ErgInt'!E262)</f>
        <v xml:space="preserve">Raiffeisenbank Landeck reg. GenmbH </v>
      </c>
      <c r="V262"/>
      <c r="W262"/>
      <c r="X262" s="1016" t="str">
        <f>IF('[1]E-ErgInt'!S262="","",'[1]E-ErgInt'!S262)</f>
        <v>Immissionsverbot</v>
      </c>
      <c r="Y262" s="1011"/>
      <c r="Z262" s="1011"/>
      <c r="AA262" s="3"/>
      <c r="AB262" s="1011" t="str">
        <f>IF('[1]E-ErgInt'!X262="","",'[1]E-ErgInt'!X262)</f>
        <v xml:space="preserve">Karl Huber </v>
      </c>
      <c r="AC262" s="1017"/>
      <c r="AD262" s="3"/>
    </row>
    <row r="263" spans="1:30" s="1" customFormat="1" ht="12.75" customHeight="1" x14ac:dyDescent="0.2">
      <c r="A263" s="873"/>
      <c r="B263" s="131"/>
      <c r="C263" s="36"/>
      <c r="D263" s="36"/>
      <c r="E263" s="898"/>
      <c r="F263" s="898"/>
      <c r="G263" s="898"/>
      <c r="H263" s="898"/>
      <c r="I263" s="898"/>
      <c r="J263" s="898"/>
      <c r="K263" s="898"/>
      <c r="L263" s="898"/>
      <c r="M263" s="898"/>
      <c r="N263" s="36"/>
      <c r="O263" s="150"/>
      <c r="P263" s="3"/>
      <c r="Q263" s="3"/>
      <c r="R263" s="3"/>
      <c r="S263"/>
      <c r="T263"/>
      <c r="U263"/>
      <c r="V263"/>
      <c r="W263"/>
      <c r="X263" s="1016" t="str">
        <f>IF('[1]E-ErgInt'!S263="","",'[1]E-ErgInt'!S263)</f>
        <v>Fischereirecht</v>
      </c>
      <c r="Y263" s="1011"/>
      <c r="Z263" s="1011"/>
      <c r="AA263" s="3"/>
      <c r="AB263" s="1011" t="str">
        <f>IF('[1]E-ErgInt'!X263="","",'[1]E-ErgInt'!X263)</f>
        <v>Mobilkom Österreich</v>
      </c>
      <c r="AC263" s="1017"/>
      <c r="AD263" s="3"/>
    </row>
    <row r="264" spans="1:30" s="1" customFormat="1" ht="12.75" customHeight="1" x14ac:dyDescent="0.2">
      <c r="A264" s="873"/>
      <c r="B264" s="131"/>
      <c r="C264" s="36"/>
      <c r="D264" s="36"/>
      <c r="E264" s="899" t="s">
        <v>603</v>
      </c>
      <c r="F264" s="36"/>
      <c r="G264" s="36"/>
      <c r="H264" s="36"/>
      <c r="I264" s="36"/>
      <c r="J264" s="36"/>
      <c r="K264" s="36"/>
      <c r="L264" s="36"/>
      <c r="M264" s="36"/>
      <c r="N264" s="36"/>
      <c r="O264" s="150"/>
      <c r="P264" s="3"/>
      <c r="Q264" s="3"/>
      <c r="R264" s="3"/>
      <c r="S264"/>
      <c r="T264"/>
      <c r="U264"/>
      <c r="V264"/>
      <c r="W264"/>
      <c r="X264" s="1016" t="str">
        <f>IF('[1]E-ErgInt'!S264="","",'[1]E-ErgInt'!S264)</f>
        <v>Pfandrecht</v>
      </c>
      <c r="Y264" s="1011"/>
      <c r="Z264" s="1011"/>
      <c r="AA264" s="3"/>
      <c r="AB264" s="1011" t="str">
        <f>IF('[1]E-ErgInt'!X264="","",'[1]E-ErgInt'!X264)</f>
        <v>Sparkasse Imst</v>
      </c>
      <c r="AC264" s="1017"/>
      <c r="AD264" s="3"/>
    </row>
    <row r="265" spans="1:30" s="1" customFormat="1" ht="12.75" customHeight="1" x14ac:dyDescent="0.2">
      <c r="A265" s="873"/>
      <c r="B265" s="131"/>
      <c r="C265" s="36"/>
      <c r="D265" s="36"/>
      <c r="E265" s="1047"/>
      <c r="F265" s="1048"/>
      <c r="G265" s="1048"/>
      <c r="H265" s="1048"/>
      <c r="I265" s="1048"/>
      <c r="J265" s="1048"/>
      <c r="K265" s="1048"/>
      <c r="L265" s="1048"/>
      <c r="M265" s="1049"/>
      <c r="N265" s="36"/>
      <c r="O265" s="136" t="str">
        <f>IF(S265="","",IF(U265=S265,Q265,0))</f>
        <v/>
      </c>
      <c r="P265" s="3" t="s">
        <v>108</v>
      </c>
      <c r="Q265" s="963">
        <v>0.25</v>
      </c>
      <c r="R265" s="3"/>
      <c r="S265" s="976" t="str">
        <f>IF(E265="","",E265)</f>
        <v/>
      </c>
      <c r="T265" s="3"/>
      <c r="U265" s="1013" t="str">
        <f>IF('[1]E-ErgInt'!E265="","",'[1]E-ErgInt'!E265)</f>
        <v>Wohnungsrecht</v>
      </c>
      <c r="V265"/>
      <c r="W265"/>
      <c r="X265" s="1016" t="str">
        <f>IF('[1]E-ErgInt'!S265="","",'[1]E-ErgInt'!S265)</f>
        <v>Wiederkaufsrecht</v>
      </c>
      <c r="Y265" s="1011"/>
      <c r="Z265" s="1011"/>
      <c r="AA265" s="3"/>
      <c r="AB265" s="1012" t="str">
        <f>IF('[1]E-ErgInt'!X265="","",'[1]E-ErgInt'!X265)</f>
        <v xml:space="preserve">Karl Kreuzer Sen. </v>
      </c>
      <c r="AC265" s="1017"/>
      <c r="AD265" s="3"/>
    </row>
    <row r="266" spans="1:30" s="1" customFormat="1" ht="12.75" customHeight="1" x14ac:dyDescent="0.2">
      <c r="A266" s="873"/>
      <c r="B266" s="131"/>
      <c r="C266" s="36"/>
      <c r="D266" s="36"/>
      <c r="E266" s="899" t="s">
        <v>602</v>
      </c>
      <c r="F266" s="36"/>
      <c r="G266" s="36"/>
      <c r="H266" s="36"/>
      <c r="I266" s="36"/>
      <c r="J266" s="36"/>
      <c r="K266" s="36"/>
      <c r="L266" s="36"/>
      <c r="M266" s="36"/>
      <c r="N266" s="36"/>
      <c r="O266" s="150"/>
      <c r="P266" s="3"/>
      <c r="Q266" s="3"/>
      <c r="R266" s="3"/>
      <c r="S266"/>
      <c r="T266"/>
      <c r="U266"/>
      <c r="V266"/>
      <c r="W266"/>
      <c r="X266" s="1016" t="str">
        <f>IF('[1]E-ErgInt'!S266="","",'[1]E-ErgInt'!S266)</f>
        <v>Belastungsverbot</v>
      </c>
      <c r="Y266" s="1011"/>
      <c r="Z266" s="1011"/>
      <c r="AA266" s="3"/>
      <c r="AB266" s="1011" t="str">
        <f>IF('[1]E-ErgInt'!X266="","",'[1]E-ErgInt'!X266)</f>
        <v>Karl Kreuzer Sen. und Josef Kreuzer mj</v>
      </c>
      <c r="AC266" s="1017"/>
      <c r="AD266" s="3"/>
    </row>
    <row r="267" spans="1:30" s="1" customFormat="1" ht="12.75" customHeight="1" x14ac:dyDescent="0.2">
      <c r="A267" s="873"/>
      <c r="B267" s="131"/>
      <c r="C267" s="36"/>
      <c r="D267" s="36"/>
      <c r="E267" s="1047"/>
      <c r="F267" s="1048"/>
      <c r="G267" s="1048"/>
      <c r="H267" s="1048"/>
      <c r="I267" s="1048"/>
      <c r="J267" s="1048"/>
      <c r="K267" s="1048"/>
      <c r="L267" s="1048"/>
      <c r="M267" s="1049"/>
      <c r="N267" s="36"/>
      <c r="O267" s="136" t="str">
        <f>IF(S267="","",IF(U267=S267,Q267,0))</f>
        <v/>
      </c>
      <c r="P267" s="3" t="s">
        <v>108</v>
      </c>
      <c r="Q267" s="963">
        <v>0.25</v>
      </c>
      <c r="R267" s="3"/>
      <c r="S267" s="976" t="str">
        <f>IF(E267="","",E267)</f>
        <v/>
      </c>
      <c r="T267" s="3"/>
      <c r="U267" s="1013" t="str">
        <f>IF('[1]E-ErgInt'!E267="","",'[1]E-ErgInt'!E267)</f>
        <v>Karl Kreuzer Sen. und Josef Kreuzer mj</v>
      </c>
      <c r="V267"/>
      <c r="W267"/>
      <c r="X267" s="1016" t="str">
        <f>IF('[1]E-ErgInt'!S267="","",'[1]E-ErgInt'!S267)</f>
        <v>Wohnungsrecht</v>
      </c>
      <c r="Y267" s="1011"/>
      <c r="Z267" s="1011"/>
      <c r="AA267" s="3"/>
      <c r="AB267" s="1011" t="str">
        <f>IF('[1]E-ErgInt'!X267="","",'[1]E-ErgInt'!X267)</f>
        <v>Gemeinde  Imst</v>
      </c>
      <c r="AC267" s="1017"/>
      <c r="AD267" s="3"/>
    </row>
    <row r="268" spans="1:30" s="1" customFormat="1" ht="12.75" customHeight="1" x14ac:dyDescent="0.2">
      <c r="A268" s="873"/>
      <c r="B268" s="131"/>
      <c r="C268" s="36"/>
      <c r="D268" s="36"/>
      <c r="E268" s="898"/>
      <c r="F268" s="898"/>
      <c r="G268" s="898"/>
      <c r="H268" s="898"/>
      <c r="I268" s="898"/>
      <c r="J268" s="898"/>
      <c r="K268" s="898"/>
      <c r="L268" s="898"/>
      <c r="M268" s="898"/>
      <c r="N268" s="36"/>
      <c r="O268" s="150"/>
      <c r="P268" s="3"/>
      <c r="Q268" s="3"/>
      <c r="R268" s="3"/>
      <c r="S268"/>
      <c r="T268"/>
      <c r="U268"/>
      <c r="V268"/>
      <c r="W268"/>
      <c r="X268" s="1016" t="str">
        <f>IF('[1]E-ErgInt'!S268="","",'[1]E-ErgInt'!S268)</f>
        <v>Veräußerungsverbot</v>
      </c>
      <c r="Y268" s="1011"/>
      <c r="Z268" s="1011"/>
      <c r="AA268" s="3"/>
      <c r="AB268" s="3"/>
      <c r="AC268"/>
      <c r="AD268" s="3"/>
    </row>
    <row r="269" spans="1:30" s="1" customFormat="1" ht="12.75" customHeight="1" x14ac:dyDescent="0.2">
      <c r="A269" s="873"/>
      <c r="B269" s="131"/>
      <c r="C269" s="36"/>
      <c r="D269" s="36"/>
      <c r="E269" s="899" t="s">
        <v>604</v>
      </c>
      <c r="F269" s="36"/>
      <c r="G269" s="36"/>
      <c r="H269" s="36"/>
      <c r="I269" s="36"/>
      <c r="J269" s="36"/>
      <c r="K269" s="36"/>
      <c r="L269" s="36"/>
      <c r="M269" s="36"/>
      <c r="N269" s="36"/>
      <c r="O269" s="150"/>
      <c r="P269" s="3"/>
      <c r="Q269" s="3"/>
      <c r="R269" s="3"/>
      <c r="S269"/>
      <c r="T269"/>
      <c r="U269"/>
      <c r="V269"/>
      <c r="W269"/>
      <c r="X269" s="1016" t="str">
        <f>IF('[1]E-ErgInt'!S269="","",'[1]E-ErgInt'!S269)</f>
        <v>Wegerecht</v>
      </c>
      <c r="Y269" s="1011"/>
      <c r="Z269" s="1011"/>
      <c r="AA269" s="3"/>
      <c r="AB269" s="3"/>
      <c r="AC269"/>
      <c r="AD269" s="3"/>
    </row>
    <row r="270" spans="1:30" s="1" customFormat="1" ht="12.75" customHeight="1" x14ac:dyDescent="0.2">
      <c r="A270" s="873"/>
      <c r="B270" s="131"/>
      <c r="C270" s="36"/>
      <c r="D270" s="36"/>
      <c r="E270" s="1047"/>
      <c r="F270" s="1048"/>
      <c r="G270" s="1048"/>
      <c r="H270" s="1048"/>
      <c r="I270" s="1048"/>
      <c r="J270" s="1048"/>
      <c r="K270" s="1048"/>
      <c r="L270" s="1048"/>
      <c r="M270" s="1049"/>
      <c r="N270" s="36"/>
      <c r="O270" s="136" t="str">
        <f>IF(S270="","",IF(U270=S270,Q270,0))</f>
        <v/>
      </c>
      <c r="P270" s="3" t="s">
        <v>108</v>
      </c>
      <c r="Q270" s="963">
        <v>0.25</v>
      </c>
      <c r="R270" s="3"/>
      <c r="S270" s="976" t="str">
        <f>IF(E270="","",E270)</f>
        <v/>
      </c>
      <c r="T270" s="3"/>
      <c r="U270" s="1013" t="str">
        <f>IF('[1]E-ErgInt'!E270="","",'[1]E-ErgInt'!E270)</f>
        <v>Vorkaufsrecht</v>
      </c>
      <c r="V270"/>
      <c r="W270"/>
      <c r="X270" s="1016" t="str">
        <f>IF('[1]E-ErgInt'!S270="","",'[1]E-ErgInt'!S270)</f>
        <v>Fruchtgenussrecht</v>
      </c>
      <c r="Y270" s="1011"/>
      <c r="Z270" s="1011"/>
      <c r="AA270" s="3"/>
      <c r="AB270" s="3"/>
      <c r="AC270"/>
      <c r="AD270" s="3"/>
    </row>
    <row r="271" spans="1:30" s="1" customFormat="1" ht="12.75" customHeight="1" x14ac:dyDescent="0.2">
      <c r="A271" s="873"/>
      <c r="B271" s="131"/>
      <c r="C271" s="36"/>
      <c r="D271" s="36"/>
      <c r="E271" s="899" t="s">
        <v>602</v>
      </c>
      <c r="F271" s="36"/>
      <c r="G271" s="36"/>
      <c r="H271" s="36"/>
      <c r="I271" s="36"/>
      <c r="J271" s="36"/>
      <c r="K271" s="36"/>
      <c r="L271" s="36"/>
      <c r="M271" s="36"/>
      <c r="N271" s="36"/>
      <c r="O271" s="150"/>
      <c r="P271" s="3"/>
      <c r="Q271" s="3"/>
      <c r="R271" s="3"/>
      <c r="S271"/>
      <c r="T271"/>
      <c r="U271"/>
      <c r="V271"/>
      <c r="W271"/>
      <c r="X271" s="1016" t="str">
        <f>IF('[1]E-ErgInt'!S271="","",'[1]E-ErgInt'!S271)</f>
        <v>Holzbringungsrecht</v>
      </c>
      <c r="Y271" s="1011"/>
      <c r="Z271" s="1011"/>
      <c r="AA271" s="3"/>
      <c r="AB271" s="3"/>
      <c r="AC271"/>
      <c r="AD271" s="3"/>
    </row>
    <row r="272" spans="1:30" s="1" customFormat="1" ht="12.75" customHeight="1" x14ac:dyDescent="0.2">
      <c r="A272" s="873"/>
      <c r="B272" s="131"/>
      <c r="C272" s="36"/>
      <c r="D272" s="36"/>
      <c r="E272" s="1047"/>
      <c r="F272" s="1048"/>
      <c r="G272" s="1048"/>
      <c r="H272" s="1048"/>
      <c r="I272" s="1048"/>
      <c r="J272" s="1048"/>
      <c r="K272" s="1048"/>
      <c r="L272" s="1048"/>
      <c r="M272" s="1049"/>
      <c r="N272" s="36"/>
      <c r="O272" s="136" t="str">
        <f>IF(S272="","",IF(U272=S272,Q272,0))</f>
        <v/>
      </c>
      <c r="P272" s="3" t="s">
        <v>108</v>
      </c>
      <c r="Q272" s="963">
        <v>0.25</v>
      </c>
      <c r="R272" s="3"/>
      <c r="S272" s="976" t="str">
        <f>IF(E272="","",E272)</f>
        <v/>
      </c>
      <c r="T272" s="3"/>
      <c r="U272" s="1013" t="str">
        <f>IF('[1]E-ErgInt'!E272="","",'[1]E-ErgInt'!E272)</f>
        <v>Karl Kreuzer Sen. und Josef Kreuzer mj</v>
      </c>
      <c r="V272"/>
      <c r="W272"/>
      <c r="X272" s="1016" t="str">
        <f>IF('[1]E-ErgInt'!S272="","",'[1]E-ErgInt'!S272)</f>
        <v>Duldung eines Handymasten</v>
      </c>
      <c r="Y272" s="1011"/>
      <c r="Z272" s="1011"/>
      <c r="AA272" s="3"/>
      <c r="AB272" s="3"/>
      <c r="AC272"/>
      <c r="AD272" s="3"/>
    </row>
    <row r="273" spans="1:30" s="1" customFormat="1" ht="12.75" customHeight="1" x14ac:dyDescent="0.2">
      <c r="A273" s="873"/>
      <c r="B273" s="131"/>
      <c r="C273" s="36"/>
      <c r="D273" s="36"/>
      <c r="E273" s="898"/>
      <c r="F273" s="898"/>
      <c r="G273" s="898"/>
      <c r="H273" s="898"/>
      <c r="I273" s="898"/>
      <c r="J273" s="898"/>
      <c r="K273" s="898"/>
      <c r="L273" s="898"/>
      <c r="M273" s="898"/>
      <c r="N273" s="36"/>
      <c r="O273" s="150"/>
      <c r="P273" s="3"/>
      <c r="Q273" s="3"/>
      <c r="R273" s="3"/>
      <c r="S273"/>
      <c r="T273"/>
      <c r="U273"/>
      <c r="V273"/>
      <c r="W273"/>
      <c r="X273" s="1016" t="str">
        <f>IF('[1]E-ErgInt'!S273="","",'[1]E-ErgInt'!S273)</f>
        <v>Belastungs- und Veräußerungsverbot</v>
      </c>
      <c r="Y273" s="1011"/>
      <c r="Z273" s="1011"/>
      <c r="AA273" s="3"/>
      <c r="AB273" s="3"/>
      <c r="AC273"/>
      <c r="AD273" s="3"/>
    </row>
    <row r="274" spans="1:30" s="1" customFormat="1" ht="12.75" customHeight="1" x14ac:dyDescent="0.2">
      <c r="A274" s="873"/>
      <c r="B274" s="131"/>
      <c r="C274" s="36"/>
      <c r="D274" s="36"/>
      <c r="E274" s="899" t="s">
        <v>605</v>
      </c>
      <c r="F274" s="36"/>
      <c r="G274" s="36"/>
      <c r="H274" s="36"/>
      <c r="I274" s="36"/>
      <c r="J274" s="36"/>
      <c r="K274" s="36"/>
      <c r="L274" s="36"/>
      <c r="M274" s="36"/>
      <c r="N274" s="36"/>
      <c r="O274" s="150"/>
      <c r="P274" s="3"/>
      <c r="Q274" s="3"/>
      <c r="R274" s="3"/>
      <c r="S274"/>
      <c r="T274"/>
      <c r="U274"/>
      <c r="V274"/>
      <c r="W274"/>
      <c r="X274" s="1016" t="str">
        <f>IF('[1]E-ErgInt'!S274="","",'[1]E-ErgInt'!S274)</f>
        <v>Vorkaufsrecht</v>
      </c>
      <c r="Y274" s="1011"/>
      <c r="Z274" s="1011"/>
      <c r="AA274" s="3"/>
      <c r="AB274" s="3"/>
      <c r="AC274"/>
      <c r="AD274" s="3"/>
    </row>
    <row r="275" spans="1:30" s="1" customFormat="1" ht="12.75" customHeight="1" x14ac:dyDescent="0.2">
      <c r="A275" s="873"/>
      <c r="B275" s="131"/>
      <c r="C275" s="36"/>
      <c r="D275" s="36"/>
      <c r="E275" s="1047"/>
      <c r="F275" s="1048"/>
      <c r="G275" s="1048"/>
      <c r="H275" s="1048"/>
      <c r="I275" s="1048"/>
      <c r="J275" s="1048"/>
      <c r="K275" s="1048"/>
      <c r="L275" s="1048"/>
      <c r="M275" s="1049"/>
      <c r="N275" s="36"/>
      <c r="O275" s="136" t="str">
        <f>IF(S275="","",IF(U275=S275,Q275,0))</f>
        <v/>
      </c>
      <c r="P275" s="3" t="s">
        <v>108</v>
      </c>
      <c r="Q275" s="963">
        <v>0.25</v>
      </c>
      <c r="R275" s="3"/>
      <c r="S275" s="976" t="str">
        <f>IF(E275="","",E275)</f>
        <v/>
      </c>
      <c r="T275" s="3"/>
      <c r="U275" s="1013" t="str">
        <f>IF('[1]E-ErgInt'!E275="","",'[1]E-ErgInt'!E275)</f>
        <v>Fruchtgenussrecht</v>
      </c>
      <c r="V275"/>
      <c r="W275"/>
      <c r="X275" s="1016" t="str">
        <f>IF('[1]E-ErgInt'!S275="","",'[1]E-ErgInt'!S275)</f>
        <v>Anschlusspflicht</v>
      </c>
      <c r="Y275" s="1011"/>
      <c r="Z275" s="1011"/>
      <c r="AA275" s="3"/>
      <c r="AB275" s="3"/>
      <c r="AC275"/>
      <c r="AD275" s="3"/>
    </row>
    <row r="276" spans="1:30" s="1" customFormat="1" ht="12.75" customHeight="1" x14ac:dyDescent="0.2">
      <c r="A276" s="873"/>
      <c r="B276" s="131"/>
      <c r="C276" s="36"/>
      <c r="D276" s="36"/>
      <c r="E276" s="899" t="s">
        <v>602</v>
      </c>
      <c r="F276" s="36"/>
      <c r="G276" s="36"/>
      <c r="H276" s="36"/>
      <c r="I276" s="36"/>
      <c r="J276" s="36"/>
      <c r="K276" s="36"/>
      <c r="L276" s="36"/>
      <c r="M276" s="36"/>
      <c r="N276" s="36"/>
      <c r="O276" s="150"/>
      <c r="P276" s="3"/>
      <c r="Q276" s="3"/>
      <c r="R276" s="3"/>
      <c r="S276"/>
      <c r="T276"/>
      <c r="U276"/>
      <c r="V276"/>
      <c r="W276"/>
      <c r="X276" s="1016" t="str">
        <f>IF('[1]E-ErgInt'!S276="","",'[1]E-ErgInt'!S276)</f>
        <v>Wasserrecht</v>
      </c>
      <c r="Y276" s="1011"/>
      <c r="Z276" s="1011"/>
      <c r="AA276" s="3"/>
      <c r="AB276" s="3"/>
      <c r="AC276"/>
      <c r="AD276" s="3"/>
    </row>
    <row r="277" spans="1:30" s="1" customFormat="1" ht="12.75" customHeight="1" x14ac:dyDescent="0.2">
      <c r="A277" s="873"/>
      <c r="B277" s="131"/>
      <c r="C277" s="36"/>
      <c r="D277" s="36"/>
      <c r="E277" s="1047"/>
      <c r="F277" s="1048"/>
      <c r="G277" s="1048"/>
      <c r="H277" s="1048"/>
      <c r="I277" s="1048"/>
      <c r="J277" s="1048"/>
      <c r="K277" s="1048"/>
      <c r="L277" s="1048"/>
      <c r="M277" s="1049"/>
      <c r="N277" s="36"/>
      <c r="O277" s="136" t="str">
        <f>IF(S277="","",IF(U277=S277,Q277,0))</f>
        <v/>
      </c>
      <c r="P277" s="3" t="s">
        <v>108</v>
      </c>
      <c r="Q277" s="963">
        <v>0.25</v>
      </c>
      <c r="R277" s="3"/>
      <c r="S277" s="976" t="str">
        <f>IF(E277="","",E277)</f>
        <v/>
      </c>
      <c r="T277" s="3"/>
      <c r="U277" s="1013" t="str">
        <f>IF('[1]E-ErgInt'!E277="","",'[1]E-ErgInt'!E277)</f>
        <v xml:space="preserve">Karl Kreuzer Sen. </v>
      </c>
      <c r="V277" s="3"/>
      <c r="W277" s="3"/>
      <c r="X277" s="3"/>
      <c r="Y277" s="3"/>
      <c r="Z277" s="3"/>
      <c r="AA277" s="3"/>
      <c r="AB277"/>
      <c r="AC277"/>
      <c r="AD277" s="3"/>
    </row>
    <row r="278" spans="1:30" s="1" customFormat="1" ht="12.75" customHeight="1" x14ac:dyDescent="0.2">
      <c r="A278" s="873"/>
      <c r="B278" s="131"/>
      <c r="C278" s="36"/>
      <c r="D278" s="36"/>
      <c r="E278" s="898"/>
      <c r="F278" s="898"/>
      <c r="G278" s="898"/>
      <c r="H278" s="898"/>
      <c r="I278" s="898"/>
      <c r="J278" s="898"/>
      <c r="K278" s="898"/>
      <c r="L278" s="898"/>
      <c r="M278" s="898"/>
      <c r="N278" s="36"/>
      <c r="O278" s="150"/>
      <c r="P278" s="3"/>
      <c r="Q278" s="3"/>
      <c r="R278" s="3"/>
      <c r="S278" s="3"/>
      <c r="T278" s="3"/>
      <c r="U278" s="3"/>
      <c r="V278" s="3"/>
      <c r="W278" s="3"/>
      <c r="X278" s="3"/>
      <c r="Y278" s="3"/>
      <c r="Z278" s="3"/>
      <c r="AA278" s="3"/>
      <c r="AB278"/>
      <c r="AC278"/>
      <c r="AD278" s="3"/>
    </row>
    <row r="279" spans="1:30" s="1" customFormat="1" ht="12.75" customHeight="1" x14ac:dyDescent="0.2">
      <c r="A279" s="873"/>
      <c r="B279" s="131"/>
      <c r="C279" s="36"/>
      <c r="D279" s="36" t="s">
        <v>584</v>
      </c>
      <c r="E279" s="899" t="s">
        <v>606</v>
      </c>
      <c r="F279" s="36"/>
      <c r="G279" s="36"/>
      <c r="H279" s="36"/>
      <c r="I279" s="36"/>
      <c r="J279" s="36"/>
      <c r="K279" s="36"/>
      <c r="L279" s="36"/>
      <c r="M279" s="36"/>
      <c r="N279" s="36"/>
      <c r="O279" s="150"/>
      <c r="P279" s="3"/>
      <c r="Q279" s="3"/>
      <c r="R279" s="3"/>
      <c r="S279" s="3"/>
      <c r="T279" s="3"/>
      <c r="U279" s="3"/>
      <c r="V279" s="3"/>
      <c r="W279" s="3"/>
      <c r="X279" s="3"/>
      <c r="Y279" s="3"/>
      <c r="Z279" s="3"/>
      <c r="AA279" s="3"/>
      <c r="AB279"/>
      <c r="AC279"/>
      <c r="AD279" s="3"/>
    </row>
    <row r="280" spans="1:30" s="1" customFormat="1" ht="12.75" customHeight="1" x14ac:dyDescent="0.2">
      <c r="A280" s="873"/>
      <c r="B280" s="131"/>
      <c r="C280" s="36"/>
      <c r="D280" s="36"/>
      <c r="E280" s="142"/>
      <c r="F280" s="892" t="str">
        <f>IF('[1]E-ErgInt'!$F280="","",'[1]E-ErgInt'!$F280)</f>
        <v>Nach dem Wert des Rechtes (höherer Wert vor niedrigerem!)</v>
      </c>
      <c r="G280" s="36"/>
      <c r="H280" s="36"/>
      <c r="I280" s="36"/>
      <c r="J280" s="36"/>
      <c r="K280" s="36"/>
      <c r="L280" s="36"/>
      <c r="M280" s="36"/>
      <c r="N280" s="36"/>
      <c r="O280" s="136" t="str">
        <f>IF(AND(S280="",S282="",S284="",S286=""),"",IF(AND(S280=U280,S282=U282,S284=U284,S286=U286),Q280,0))</f>
        <v/>
      </c>
      <c r="P280" s="3" t="s">
        <v>108</v>
      </c>
      <c r="Q280" s="963">
        <v>1</v>
      </c>
      <c r="R280" s="3"/>
      <c r="S280" s="976" t="str">
        <f>IF(E280="","",E280)</f>
        <v/>
      </c>
      <c r="T280" s="3"/>
      <c r="U280" s="973"/>
      <c r="V280" s="3"/>
      <c r="W280" s="3"/>
      <c r="X280" s="3"/>
      <c r="Y280" s="3"/>
      <c r="Z280" s="3"/>
      <c r="AA280" s="3"/>
      <c r="AB280"/>
      <c r="AC280"/>
      <c r="AD280" s="3"/>
    </row>
    <row r="281" spans="1:30" s="1" customFormat="1" ht="3.95" customHeight="1" x14ac:dyDescent="0.2">
      <c r="A281" s="873"/>
      <c r="B281" s="131"/>
      <c r="C281" s="36"/>
      <c r="D281" s="36"/>
      <c r="E281" s="36"/>
      <c r="F281" s="36"/>
      <c r="G281" s="36"/>
      <c r="H281" s="36"/>
      <c r="I281" s="36"/>
      <c r="J281" s="36"/>
      <c r="K281" s="36"/>
      <c r="L281" s="36"/>
      <c r="M281" s="36"/>
      <c r="N281" s="36"/>
      <c r="O281" s="150"/>
      <c r="P281" s="3"/>
      <c r="Q281" s="3"/>
      <c r="R281" s="3"/>
      <c r="S281" s="895"/>
      <c r="T281" s="3"/>
      <c r="U281" s="895"/>
      <c r="V281" s="3"/>
      <c r="W281" s="3"/>
      <c r="X281" s="3"/>
      <c r="Y281" s="3"/>
      <c r="Z281" s="3"/>
      <c r="AA281" s="3"/>
      <c r="AB281"/>
      <c r="AC281"/>
      <c r="AD281" s="3"/>
    </row>
    <row r="282" spans="1:30" s="1" customFormat="1" ht="12.75" customHeight="1" x14ac:dyDescent="0.2">
      <c r="A282" s="873"/>
      <c r="B282" s="131"/>
      <c r="C282" s="36"/>
      <c r="D282" s="36"/>
      <c r="E282" s="142"/>
      <c r="F282" s="892" t="str">
        <f>IF('[1]E-ErgInt'!$F282="","",'[1]E-ErgInt'!$F282)</f>
        <v>Nach Datum der Eintragung (Ältere vor Jüngeren!)</v>
      </c>
      <c r="G282" s="36"/>
      <c r="H282" s="36"/>
      <c r="I282" s="36"/>
      <c r="J282" s="36"/>
      <c r="K282" s="36"/>
      <c r="L282" s="36"/>
      <c r="M282" s="36"/>
      <c r="N282" s="36"/>
      <c r="O282" s="150"/>
      <c r="P282" s="3"/>
      <c r="Q282" s="3"/>
      <c r="R282" s="3"/>
      <c r="S282" s="976" t="str">
        <f>IF(E282="","",E282)</f>
        <v/>
      </c>
      <c r="T282" s="3"/>
      <c r="U282" s="973" t="s">
        <v>676</v>
      </c>
      <c r="V282" s="3"/>
      <c r="W282" s="3"/>
      <c r="X282" s="3"/>
      <c r="Y282" s="3"/>
      <c r="Z282" s="3"/>
      <c r="AA282" s="3"/>
      <c r="AB282"/>
      <c r="AC282"/>
      <c r="AD282" s="3"/>
    </row>
    <row r="283" spans="1:30" s="1" customFormat="1" ht="3.95" customHeight="1" x14ac:dyDescent="0.2">
      <c r="A283" s="873"/>
      <c r="B283" s="131"/>
      <c r="C283" s="36"/>
      <c r="D283" s="36"/>
      <c r="E283" s="36"/>
      <c r="F283" s="36"/>
      <c r="G283" s="36"/>
      <c r="H283" s="36"/>
      <c r="I283" s="36"/>
      <c r="J283" s="36"/>
      <c r="K283" s="36"/>
      <c r="L283" s="36"/>
      <c r="M283" s="36"/>
      <c r="N283" s="36"/>
      <c r="O283" s="150"/>
      <c r="P283" s="3"/>
      <c r="Q283" s="3"/>
      <c r="R283" s="3"/>
      <c r="S283"/>
      <c r="T283" s="3"/>
      <c r="U283" s="3"/>
      <c r="V283" s="3"/>
      <c r="W283" s="3"/>
      <c r="X283" s="3"/>
      <c r="Y283" s="3"/>
      <c r="Z283" s="3"/>
      <c r="AA283" s="3"/>
      <c r="AB283"/>
      <c r="AC283"/>
      <c r="AD283" s="3"/>
    </row>
    <row r="284" spans="1:30" s="1" customFormat="1" ht="12.75" customHeight="1" x14ac:dyDescent="0.2">
      <c r="A284" s="873"/>
      <c r="B284" s="131"/>
      <c r="C284" s="36"/>
      <c r="D284" s="36"/>
      <c r="E284" s="142"/>
      <c r="F284" s="892" t="str">
        <f>IF('[1]E-ErgInt'!$F284="","",'[1]E-ErgInt'!$F284)</f>
        <v>Nach dem Wert des Rechtes (niedrigerer Wert vor höherem!)</v>
      </c>
      <c r="G284" s="36"/>
      <c r="H284" s="36"/>
      <c r="I284" s="36"/>
      <c r="J284" s="36"/>
      <c r="K284" s="36"/>
      <c r="L284" s="36"/>
      <c r="M284" s="36"/>
      <c r="N284" s="36"/>
      <c r="O284" s="150"/>
      <c r="P284" s="3"/>
      <c r="Q284" s="3"/>
      <c r="R284" s="3"/>
      <c r="S284" s="976" t="str">
        <f>IF(E284="","",E284)</f>
        <v/>
      </c>
      <c r="T284" s="3"/>
      <c r="U284" s="973"/>
      <c r="V284" s="3"/>
      <c r="W284" s="3"/>
      <c r="X284" s="3"/>
      <c r="Y284" s="3"/>
      <c r="Z284" s="3"/>
      <c r="AA284" s="3"/>
      <c r="AB284"/>
      <c r="AC284"/>
      <c r="AD284" s="3"/>
    </row>
    <row r="285" spans="1:30" s="1" customFormat="1" ht="3.95" customHeight="1" x14ac:dyDescent="0.2">
      <c r="A285" s="873"/>
      <c r="B285" s="131"/>
      <c r="C285" s="36"/>
      <c r="D285" s="36"/>
      <c r="E285" s="36"/>
      <c r="G285" s="36"/>
      <c r="H285" s="36"/>
      <c r="I285" s="36"/>
      <c r="J285" s="36"/>
      <c r="K285" s="36"/>
      <c r="L285" s="36"/>
      <c r="M285" s="36"/>
      <c r="N285" s="36"/>
      <c r="O285" s="150"/>
      <c r="P285" s="3"/>
      <c r="Q285" s="3"/>
      <c r="R285" s="3"/>
      <c r="S285"/>
      <c r="T285" s="3"/>
      <c r="U285" s="3"/>
      <c r="V285" s="3"/>
      <c r="W285" s="3"/>
      <c r="X285" s="3"/>
      <c r="Y285" s="3"/>
      <c r="Z285" s="3"/>
      <c r="AA285" s="3"/>
      <c r="AB285"/>
      <c r="AC285"/>
      <c r="AD285" s="3"/>
    </row>
    <row r="286" spans="1:30" s="1" customFormat="1" ht="12.75" customHeight="1" x14ac:dyDescent="0.2">
      <c r="A286" s="873"/>
      <c r="B286" s="131"/>
      <c r="C286" s="36"/>
      <c r="D286" s="36"/>
      <c r="E286" s="142"/>
      <c r="F286" s="892" t="str">
        <f>IF('[1]E-ErgInt'!$F286="","",'[1]E-ErgInt'!$F286)</f>
        <v>Nach Datum der Eintragung (Jüngere vor Älteren!)</v>
      </c>
      <c r="G286" s="36"/>
      <c r="H286" s="36"/>
      <c r="I286" s="36"/>
      <c r="J286" s="36"/>
      <c r="K286" s="36"/>
      <c r="L286" s="36"/>
      <c r="M286" s="36"/>
      <c r="N286" s="36"/>
      <c r="O286" s="150"/>
      <c r="P286" s="3"/>
      <c r="Q286" s="3"/>
      <c r="R286" s="3"/>
      <c r="S286" s="976" t="str">
        <f>IF(E286="","",E286)</f>
        <v/>
      </c>
      <c r="T286" s="3"/>
      <c r="U286" s="973"/>
      <c r="V286" s="3"/>
      <c r="W286" s="3"/>
      <c r="X286" s="3"/>
      <c r="Y286" s="3"/>
      <c r="Z286" s="3"/>
      <c r="AA286" s="3"/>
      <c r="AB286"/>
      <c r="AC286"/>
      <c r="AD286" s="3"/>
    </row>
    <row r="287" spans="1:30" s="1" customFormat="1" ht="12.75" customHeight="1" x14ac:dyDescent="0.2">
      <c r="A287" s="873"/>
      <c r="B287" s="131"/>
      <c r="C287" s="36"/>
      <c r="D287" s="36"/>
      <c r="E287" s="36" t="s">
        <v>607</v>
      </c>
      <c r="F287" s="36"/>
      <c r="G287" s="36"/>
      <c r="H287" s="36"/>
      <c r="I287" s="36"/>
      <c r="J287" s="36"/>
      <c r="K287" s="36"/>
      <c r="L287" s="36"/>
      <c r="M287" s="36"/>
      <c r="N287" s="36"/>
      <c r="O287" s="150"/>
      <c r="P287" s="3"/>
      <c r="Q287" s="3"/>
      <c r="R287" s="3"/>
      <c r="S287"/>
      <c r="T287"/>
      <c r="U287"/>
      <c r="V287"/>
      <c r="W287" s="3"/>
      <c r="X287" s="1009" t="s">
        <v>585</v>
      </c>
      <c r="Y287" s="1009"/>
      <c r="Z287" s="1009"/>
      <c r="AA287" s="1009"/>
      <c r="AB287"/>
      <c r="AC287"/>
      <c r="AD287" s="3"/>
    </row>
    <row r="288" spans="1:30" s="1" customFormat="1" ht="12.75" customHeight="1" x14ac:dyDescent="0.2">
      <c r="A288" s="873"/>
      <c r="B288" s="131"/>
      <c r="C288" s="36"/>
      <c r="D288" s="36"/>
      <c r="E288" s="1047"/>
      <c r="F288" s="1048"/>
      <c r="G288" s="1048"/>
      <c r="H288" s="1048"/>
      <c r="I288" s="1048"/>
      <c r="J288" s="1048"/>
      <c r="K288" s="1048"/>
      <c r="L288" s="1048"/>
      <c r="M288" s="1049"/>
      <c r="N288" s="36"/>
      <c r="O288" s="136" t="str">
        <f>IF(S288="","",IF(U288=S288,Q288,0))</f>
        <v/>
      </c>
      <c r="P288" s="3" t="s">
        <v>108</v>
      </c>
      <c r="Q288" s="963">
        <v>1</v>
      </c>
      <c r="R288" s="3"/>
      <c r="S288" s="976" t="str">
        <f>IF(E288="","",E288)</f>
        <v/>
      </c>
      <c r="T288" s="3"/>
      <c r="U288" s="1013" t="str">
        <f>IF('[1]E-ErgInt'!E288="","",'[1]E-ErgInt'!E288)</f>
        <v>Vorrang</v>
      </c>
      <c r="V288"/>
      <c r="W288" s="3"/>
      <c r="X288" s="1011" t="str">
        <f>IF('[1]E-ErgInt'!S288="","",'[1]E-ErgInt'!S288)</f>
        <v>Löschung</v>
      </c>
      <c r="Y288" s="1011" t="str">
        <f>IF('[1]E-ErgInt'!T288="","",'[1]E-ErgInt'!T288)</f>
        <v>Vorrang</v>
      </c>
      <c r="Z288" s="1011" t="str">
        <f>IF('[1]E-ErgInt'!U288="","",'[1]E-ErgInt'!U288)</f>
        <v>Änderung</v>
      </c>
      <c r="AA288" s="1011" t="str">
        <f>IF('[1]E-ErgInt'!V288="","",'[1]E-ErgInt'!V288)</f>
        <v>Rückreihung</v>
      </c>
      <c r="AB288"/>
      <c r="AC288"/>
      <c r="AD288" s="3"/>
    </row>
    <row r="289" spans="1:27" s="1" customFormat="1" ht="12.75" customHeight="1" x14ac:dyDescent="0.2">
      <c r="A289" s="873"/>
      <c r="B289" s="131"/>
      <c r="C289" s="36"/>
      <c r="D289" s="36"/>
      <c r="E289" s="898"/>
      <c r="F289" s="898"/>
      <c r="G289" s="898"/>
      <c r="H289" s="898"/>
      <c r="I289" s="898"/>
      <c r="J289" s="898"/>
      <c r="K289" s="898"/>
      <c r="L289" s="898"/>
      <c r="M289" s="898"/>
      <c r="N289" s="36"/>
      <c r="O289" s="150"/>
      <c r="P289" s="36"/>
      <c r="Q289" s="36"/>
      <c r="R289" s="36"/>
      <c r="S289" s="36"/>
      <c r="T289" s="36"/>
      <c r="U289" s="36"/>
      <c r="V289" s="36"/>
      <c r="W289" s="36"/>
      <c r="X289" s="36"/>
      <c r="Y289" s="36"/>
      <c r="Z289" s="36"/>
      <c r="AA289" s="36"/>
    </row>
    <row r="290" spans="1:27" s="36" customFormat="1" ht="12.75" customHeight="1" x14ac:dyDescent="0.2">
      <c r="A290" s="873"/>
      <c r="B290" s="131"/>
      <c r="C290" s="169" t="s">
        <v>149</v>
      </c>
      <c r="D290" s="169"/>
      <c r="E290" s="170"/>
      <c r="F290" s="170"/>
      <c r="G290" s="169"/>
      <c r="H290" s="169"/>
      <c r="I290" s="169"/>
      <c r="J290" s="169"/>
      <c r="K290" s="169"/>
      <c r="L290" s="169"/>
      <c r="M290" s="169"/>
      <c r="N290" s="169"/>
      <c r="O290" s="171">
        <f>SUM(O2:O289)</f>
        <v>0</v>
      </c>
      <c r="P290" s="172" t="s">
        <v>108</v>
      </c>
      <c r="Q290" s="173">
        <f>SUM(Q2:Q289)</f>
        <v>83</v>
      </c>
    </row>
    <row r="291" spans="1:27" s="36" customFormat="1" ht="3" customHeight="1" x14ac:dyDescent="0.2">
      <c r="A291" s="873"/>
      <c r="B291" s="131"/>
      <c r="C291" s="174"/>
      <c r="D291" s="174"/>
      <c r="E291" s="175"/>
      <c r="F291" s="175"/>
      <c r="G291" s="174"/>
      <c r="H291" s="174"/>
      <c r="I291" s="174"/>
      <c r="J291" s="174"/>
      <c r="K291" s="174"/>
      <c r="L291" s="174"/>
      <c r="M291" s="174"/>
      <c r="N291" s="174"/>
      <c r="O291" s="176"/>
      <c r="P291" s="177"/>
      <c r="Q291" s="178"/>
    </row>
    <row r="292" spans="1:27" ht="12.75" customHeight="1" x14ac:dyDescent="0.2">
      <c r="A292" s="873"/>
      <c r="B292" s="131"/>
      <c r="C292" s="36"/>
      <c r="D292" s="36"/>
      <c r="E292" s="36"/>
      <c r="F292" s="36"/>
      <c r="G292" s="36"/>
      <c r="H292" s="36"/>
      <c r="I292" s="36"/>
      <c r="J292" s="36"/>
      <c r="K292" s="36"/>
      <c r="L292" s="36"/>
      <c r="M292" s="36"/>
      <c r="N292" s="36"/>
      <c r="O292" s="150"/>
      <c r="P292" s="36"/>
      <c r="Q292" s="36"/>
      <c r="R292" s="36"/>
      <c r="S292" s="36"/>
      <c r="T292" s="36"/>
      <c r="U292" s="36"/>
      <c r="V292" s="36"/>
      <c r="W292" s="36"/>
      <c r="X292" s="36"/>
      <c r="Y292" s="36"/>
      <c r="Z292" s="36"/>
      <c r="AA292" s="36"/>
    </row>
    <row r="293" spans="1:27" ht="12.75" hidden="1" customHeight="1" x14ac:dyDescent="0.2">
      <c r="A293" s="874"/>
      <c r="B293" s="874"/>
      <c r="C293" s="874"/>
      <c r="D293" s="874"/>
      <c r="E293" s="874"/>
      <c r="F293" s="874"/>
      <c r="G293" s="874"/>
      <c r="H293" s="874"/>
      <c r="I293" s="874"/>
      <c r="J293" s="874"/>
      <c r="K293" s="874"/>
      <c r="L293" s="874"/>
      <c r="M293" s="874"/>
      <c r="N293" s="874"/>
      <c r="O293" s="875"/>
      <c r="P293" s="874"/>
      <c r="Q293" s="874"/>
      <c r="R293" s="874"/>
      <c r="S293" s="874"/>
      <c r="T293" s="874"/>
      <c r="U293" s="874"/>
      <c r="V293" s="874"/>
      <c r="W293" s="874"/>
      <c r="X293" s="874"/>
      <c r="Y293" s="874"/>
      <c r="Z293" s="874"/>
      <c r="AA293" s="874"/>
    </row>
    <row r="294" spans="1:27" ht="12.75" hidden="1" customHeight="1" x14ac:dyDescent="0.2"/>
    <row r="295" spans="1:27" ht="12.75" hidden="1" customHeight="1" x14ac:dyDescent="0.2"/>
    <row r="296" spans="1:27" ht="12.75" hidden="1" customHeight="1" x14ac:dyDescent="0.2"/>
    <row r="297" spans="1:27" ht="12.75" hidden="1" customHeight="1" x14ac:dyDescent="0.2"/>
    <row r="298" spans="1:27" ht="12.75" hidden="1" customHeight="1" x14ac:dyDescent="0.2"/>
  </sheetData>
  <sheetProtection algorithmName="SHA-512" hashValue="EokH/1rqMXJ+mt8fpMiPkZw51Sfwd+GIUTW5LndtRPcQL+AY68A780GbuLVPWjw5WyKiINNXJQ2Z2doc4SopPg==" saltValue="jA7B4N3CAZLFDgcCDmM9Zw==" spinCount="100000" sheet="1" objects="1" scenarios="1" selectLockedCells="1"/>
  <mergeCells count="74">
    <mergeCell ref="R59:R66"/>
    <mergeCell ref="R37:R46"/>
    <mergeCell ref="R24:R28"/>
    <mergeCell ref="R13:R17"/>
    <mergeCell ref="D162:F162"/>
    <mergeCell ref="D148:F148"/>
    <mergeCell ref="D154:F154"/>
    <mergeCell ref="F94:M95"/>
    <mergeCell ref="F109:M110"/>
    <mergeCell ref="F57:M57"/>
    <mergeCell ref="F71:M72"/>
    <mergeCell ref="F73:M75"/>
    <mergeCell ref="E25:M25"/>
    <mergeCell ref="F51:M52"/>
    <mergeCell ref="F53:M54"/>
    <mergeCell ref="F55:M56"/>
    <mergeCell ref="E218:F218"/>
    <mergeCell ref="E262:M262"/>
    <mergeCell ref="E260:M260"/>
    <mergeCell ref="E226:M226"/>
    <mergeCell ref="E228:F228"/>
    <mergeCell ref="E220:F220"/>
    <mergeCell ref="E224:F224"/>
    <mergeCell ref="E237:M237"/>
    <mergeCell ref="E185:F185"/>
    <mergeCell ref="E215:F215"/>
    <mergeCell ref="E202:F202"/>
    <mergeCell ref="E204:F204"/>
    <mergeCell ref="E207:F207"/>
    <mergeCell ref="E210:F210"/>
    <mergeCell ref="E213:F213"/>
    <mergeCell ref="D166:F166"/>
    <mergeCell ref="D164:F164"/>
    <mergeCell ref="F117:M118"/>
    <mergeCell ref="E288:M288"/>
    <mergeCell ref="E267:M267"/>
    <mergeCell ref="E272:M272"/>
    <mergeCell ref="E270:M270"/>
    <mergeCell ref="E275:M275"/>
    <mergeCell ref="E277:M277"/>
    <mergeCell ref="D150:F150"/>
    <mergeCell ref="D152:F152"/>
    <mergeCell ref="E265:M265"/>
    <mergeCell ref="E248:M248"/>
    <mergeCell ref="E233:F233"/>
    <mergeCell ref="E231:F231"/>
    <mergeCell ref="D156:F156"/>
    <mergeCell ref="A1:A2"/>
    <mergeCell ref="D158:F158"/>
    <mergeCell ref="D160:F160"/>
    <mergeCell ref="F111:M112"/>
    <mergeCell ref="F113:M114"/>
    <mergeCell ref="E80:M80"/>
    <mergeCell ref="E90:M90"/>
    <mergeCell ref="F92:M93"/>
    <mergeCell ref="F76:M78"/>
    <mergeCell ref="E120:M120"/>
    <mergeCell ref="E135:M135"/>
    <mergeCell ref="E69:M69"/>
    <mergeCell ref="F115:M116"/>
    <mergeCell ref="F96:M97"/>
    <mergeCell ref="E99:J99"/>
    <mergeCell ref="E107:M107"/>
    <mergeCell ref="E49:M49"/>
    <mergeCell ref="F33:M34"/>
    <mergeCell ref="F16:M18"/>
    <mergeCell ref="F19:M20"/>
    <mergeCell ref="F21:M23"/>
    <mergeCell ref="F30:M32"/>
    <mergeCell ref="K5:M7"/>
    <mergeCell ref="S1:T1"/>
    <mergeCell ref="O1:Q1"/>
    <mergeCell ref="E14:M14"/>
    <mergeCell ref="F27:M29"/>
  </mergeCells>
  <phoneticPr fontId="4" type="noConversion"/>
  <conditionalFormatting sqref="C290:Q291 O144 P143:Q144 O120:Q142">
    <cfRule type="expression" dxfId="155" priority="62" stopIfTrue="1">
      <formula>$N$1&lt;&gt;"x"</formula>
    </cfRule>
  </conditionalFormatting>
  <conditionalFormatting sqref="U14 S73 S53 R13 U5:U11 S18 U25 S29 U43:U46 S39 S41 S47:S48 U49 S63 U64:U68 U83:U89 S94 U104:U106 S103 S22:S23 S33:S35 S58 S98">
    <cfRule type="cellIs" dxfId="154" priority="61" stopIfTrue="1" operator="equal">
      <formula>""</formula>
    </cfRule>
  </conditionalFormatting>
  <conditionalFormatting sqref="U15">
    <cfRule type="cellIs" dxfId="153" priority="60" stopIfTrue="1" operator="equal">
      <formula>""</formula>
    </cfRule>
  </conditionalFormatting>
  <conditionalFormatting sqref="U16">
    <cfRule type="cellIs" dxfId="152" priority="59" stopIfTrue="1" operator="equal">
      <formula>""</formula>
    </cfRule>
  </conditionalFormatting>
  <conditionalFormatting sqref="U17">
    <cfRule type="cellIs" dxfId="151" priority="58" stopIfTrue="1" operator="equal">
      <formula>""</formula>
    </cfRule>
  </conditionalFormatting>
  <conditionalFormatting sqref="U26">
    <cfRule type="cellIs" dxfId="150" priority="57" stopIfTrue="1" operator="equal">
      <formula>""</formula>
    </cfRule>
  </conditionalFormatting>
  <conditionalFormatting sqref="U27">
    <cfRule type="cellIs" dxfId="149" priority="56" stopIfTrue="1" operator="equal">
      <formula>""</formula>
    </cfRule>
  </conditionalFormatting>
  <conditionalFormatting sqref="U28">
    <cfRule type="cellIs" dxfId="148" priority="55" stopIfTrue="1" operator="equal">
      <formula>""</formula>
    </cfRule>
  </conditionalFormatting>
  <conditionalFormatting sqref="U50">
    <cfRule type="cellIs" dxfId="147" priority="54" stopIfTrue="1" operator="equal">
      <formula>""</formula>
    </cfRule>
  </conditionalFormatting>
  <conditionalFormatting sqref="U51">
    <cfRule type="cellIs" dxfId="146" priority="53" stopIfTrue="1" operator="equal">
      <formula>""</formula>
    </cfRule>
  </conditionalFormatting>
  <conditionalFormatting sqref="U52">
    <cfRule type="cellIs" dxfId="145" priority="52" stopIfTrue="1" operator="equal">
      <formula>""</formula>
    </cfRule>
  </conditionalFormatting>
  <conditionalFormatting sqref="U69">
    <cfRule type="cellIs" dxfId="144" priority="51" stopIfTrue="1" operator="equal">
      <formula>""</formula>
    </cfRule>
  </conditionalFormatting>
  <conditionalFormatting sqref="U70">
    <cfRule type="cellIs" dxfId="143" priority="50" stopIfTrue="1" operator="equal">
      <formula>""</formula>
    </cfRule>
  </conditionalFormatting>
  <conditionalFormatting sqref="U71">
    <cfRule type="cellIs" dxfId="142" priority="49" stopIfTrue="1" operator="equal">
      <formula>""</formula>
    </cfRule>
  </conditionalFormatting>
  <conditionalFormatting sqref="U72">
    <cfRule type="cellIs" dxfId="141" priority="48" stopIfTrue="1" operator="equal">
      <formula>""</formula>
    </cfRule>
  </conditionalFormatting>
  <conditionalFormatting sqref="U90">
    <cfRule type="cellIs" dxfId="140" priority="47" stopIfTrue="1" operator="equal">
      <formula>""</formula>
    </cfRule>
  </conditionalFormatting>
  <conditionalFormatting sqref="U91">
    <cfRule type="cellIs" dxfId="139" priority="46" stopIfTrue="1" operator="equal">
      <formula>""</formula>
    </cfRule>
  </conditionalFormatting>
  <conditionalFormatting sqref="U92">
    <cfRule type="cellIs" dxfId="138" priority="45" stopIfTrue="1" operator="equal">
      <formula>""</formula>
    </cfRule>
  </conditionalFormatting>
  <conditionalFormatting sqref="U93">
    <cfRule type="cellIs" dxfId="137" priority="44" stopIfTrue="1" operator="equal">
      <formula>""</formula>
    </cfRule>
  </conditionalFormatting>
  <conditionalFormatting sqref="U107">
    <cfRule type="cellIs" dxfId="136" priority="43" stopIfTrue="1" operator="equal">
      <formula>""</formula>
    </cfRule>
  </conditionalFormatting>
  <conditionalFormatting sqref="U108">
    <cfRule type="cellIs" dxfId="135" priority="42" stopIfTrue="1" operator="equal">
      <formula>""</formula>
    </cfRule>
  </conditionalFormatting>
  <conditionalFormatting sqref="U109">
    <cfRule type="cellIs" dxfId="134" priority="41" stopIfTrue="1" operator="equal">
      <formula>""</formula>
    </cfRule>
  </conditionalFormatting>
  <conditionalFormatting sqref="U110">
    <cfRule type="cellIs" dxfId="133" priority="40" stopIfTrue="1" operator="equal">
      <formula>""</formula>
    </cfRule>
  </conditionalFormatting>
  <conditionalFormatting sqref="R24">
    <cfRule type="cellIs" dxfId="132" priority="39" stopIfTrue="1" operator="equal">
      <formula>""</formula>
    </cfRule>
  </conditionalFormatting>
  <conditionalFormatting sqref="U39">
    <cfRule type="cellIs" dxfId="131" priority="38" stopIfTrue="1" operator="equal">
      <formula>""</formula>
    </cfRule>
  </conditionalFormatting>
  <conditionalFormatting sqref="U61">
    <cfRule type="cellIs" dxfId="130" priority="37" stopIfTrue="1" operator="equal">
      <formula>""</formula>
    </cfRule>
  </conditionalFormatting>
  <conditionalFormatting sqref="S61">
    <cfRule type="cellIs" dxfId="129" priority="63" stopIfTrue="1" operator="equal">
      <formula>""</formula>
    </cfRule>
  </conditionalFormatting>
  <conditionalFormatting sqref="U79">
    <cfRule type="cellIs" dxfId="128" priority="35" stopIfTrue="1" operator="equal">
      <formula>""</formula>
    </cfRule>
  </conditionalFormatting>
  <conditionalFormatting sqref="S79">
    <cfRule type="cellIs" dxfId="127" priority="64" stopIfTrue="1" operator="equal">
      <formula>""</formula>
    </cfRule>
  </conditionalFormatting>
  <conditionalFormatting sqref="U101">
    <cfRule type="cellIs" dxfId="126" priority="33" stopIfTrue="1" operator="equal">
      <formula>""</formula>
    </cfRule>
  </conditionalFormatting>
  <conditionalFormatting sqref="S101">
    <cfRule type="cellIs" dxfId="125" priority="65" stopIfTrue="1" operator="equal">
      <formula>""</formula>
    </cfRule>
  </conditionalFormatting>
  <conditionalFormatting sqref="S176">
    <cfRule type="cellIs" dxfId="124" priority="7" stopIfTrue="1" operator="equal">
      <formula>""</formula>
    </cfRule>
  </conditionalFormatting>
  <conditionalFormatting sqref="U176">
    <cfRule type="cellIs" dxfId="123" priority="6" stopIfTrue="1" operator="equal">
      <formula>""</formula>
    </cfRule>
  </conditionalFormatting>
  <conditionalFormatting sqref="S192">
    <cfRule type="cellIs" dxfId="122" priority="5" stopIfTrue="1" operator="equal">
      <formula>""</formula>
    </cfRule>
  </conditionalFormatting>
  <conditionalFormatting sqref="U192">
    <cfRule type="cellIs" dxfId="121" priority="4" stopIfTrue="1" operator="equal">
      <formula>""</formula>
    </cfRule>
  </conditionalFormatting>
  <conditionalFormatting sqref="U281">
    <cfRule type="cellIs" dxfId="120" priority="2" stopIfTrue="1" operator="equal">
      <formula>""</formula>
    </cfRule>
  </conditionalFormatting>
  <conditionalFormatting sqref="S281">
    <cfRule type="cellIs" dxfId="119" priority="3" stopIfTrue="1" operator="equal">
      <formula>""</formula>
    </cfRule>
  </conditionalFormatting>
  <conditionalFormatting sqref="U42">
    <cfRule type="cellIs" dxfId="0" priority="1" stopIfTrue="1" operator="equal">
      <formula>""</formula>
    </cfRule>
  </conditionalFormatting>
  <dataValidations count="17">
    <dataValidation type="list" allowBlank="1" showInputMessage="1" showErrorMessage="1" sqref="E14:M14" xr:uid="{00000000-0002-0000-0100-000000000000}">
      <formula1>VglLHK_GEK</formula1>
    </dataValidation>
    <dataValidation type="list" allowBlank="1" showInputMessage="1" showErrorMessage="1" sqref="E25:M25" xr:uid="{00000000-0002-0000-0100-000001000000}">
      <formula1>VglKD_KDG</formula1>
    </dataValidation>
    <dataValidation type="list" allowBlank="1" showInputMessage="1" showErrorMessage="1" sqref="E286 E280 E282 E284 E256 E254 E245 E243 E191 E193 E195 E197 E199:E200 E175:E181 E100 E102 E96 E81 E83 E71 E62 E60 E55 E57 E40 E38 E33 E30 E27 E19 E21 E16 E51 E53 E73 E76 E92 E94 E109 E111 E113 E115 E117 E128 E130 E138 E140" xr:uid="{00000000-0002-0000-0100-000002000000}">
      <formula1>Ankreuzen</formula1>
    </dataValidation>
    <dataValidation type="list" allowBlank="1" showInputMessage="1" showErrorMessage="1" sqref="E49:M49" xr:uid="{00000000-0002-0000-0100-000003000000}">
      <formula1>Wirtschaftlichkeit</formula1>
    </dataValidation>
    <dataValidation type="list" allowBlank="1" showInputMessage="1" showErrorMessage="1" sqref="F56 G55:M57 F54:M54" xr:uid="{00000000-0002-0000-0100-000004000000}">
      <formula1>FolgerungenWirtschaftlichkeit</formula1>
    </dataValidation>
    <dataValidation type="list" allowBlank="1" showInputMessage="1" showErrorMessage="1" sqref="E69:M69" xr:uid="{00000000-0002-0000-0100-000005000000}">
      <formula1>Finanzierbarkeit</formula1>
    </dataValidation>
    <dataValidation type="list" allowBlank="1" showInputMessage="1" showErrorMessage="1" sqref="F74:F75 F77:F78 G71:M78 F72" xr:uid="{00000000-0002-0000-0100-000006000000}">
      <formula1>FolgerungenFinanzierbarkeit</formula1>
    </dataValidation>
    <dataValidation type="list" allowBlank="1" showInputMessage="1" showErrorMessage="1" sqref="F95 E90:M90 G92:M95 F93" xr:uid="{00000000-0002-0000-0100-000007000000}">
      <formula1>Arbeitskräfte</formula1>
    </dataValidation>
    <dataValidation type="list" allowBlank="1" showInputMessage="1" showErrorMessage="1" sqref="E107:M107" xr:uid="{00000000-0002-0000-0100-000008000000}">
      <formula1>Energiebilanz</formula1>
    </dataValidation>
    <dataValidation type="list" allowBlank="1" showInputMessage="1" showErrorMessage="1" sqref="E207 E218 E202 E231" xr:uid="{00000000-0002-0000-0100-000009000000}">
      <formula1>"E-Blatt,C-Blatt,A1-Blatt,B1-Blatt,B2-Blatt,C1-Blatt,A2-Blatt,F-Blatt,B-Blatt,A3-Blatt,C2-Blatt,"</formula1>
    </dataValidation>
    <dataValidation type="list" allowBlank="1" showInputMessage="1" showErrorMessage="1" sqref="E204:F204 E220:F220 E233:F233" xr:uid="{00000000-0002-0000-0100-00000A000000}">
      <formula1>"Einlageblatt,Eigentumsblatt,Grundstücksblatt,Lastenblatt,Gutsbestandsblatt,Rechteblatt"</formula1>
    </dataValidation>
    <dataValidation type="list" allowBlank="1" showInputMessage="1" showErrorMessage="1" sqref="E260:M260 E265:M265 E270:M270 E275:M275" xr:uid="{00000000-0002-0000-0100-00000B000000}">
      <formula1>Pflichten</formula1>
    </dataValidation>
    <dataValidation type="list" allowBlank="1" showInputMessage="1" showErrorMessage="1" sqref="E262:M262 E267:M267 E272:M272 E277:M277" xr:uid="{00000000-0002-0000-0100-00000C000000}">
      <formula1>Begünstigte</formula1>
    </dataValidation>
    <dataValidation type="list" allowBlank="1" showInputMessage="1" showErrorMessage="1" sqref="E288:M288" xr:uid="{00000000-0002-0000-0100-00000D000000}">
      <formula1>Ausnahmen</formula1>
    </dataValidation>
    <dataValidation type="list" allowBlank="1" showInputMessage="1" showErrorMessage="1" sqref="E226:M226" xr:uid="{00000000-0002-0000-0100-00000E000000}">
      <formula1>Eigentümer</formula1>
    </dataValidation>
    <dataValidation type="list" allowBlank="1" showInputMessage="1" showErrorMessage="1" sqref="E248:M248 E237:M237" xr:uid="{00000000-0002-0000-0100-00000F000000}">
      <formula1>$X$234:$X$239</formula1>
    </dataValidation>
    <dataValidation type="list" allowBlank="1" showInputMessage="1" showErrorMessage="1" sqref="E135:M135" xr:uid="{00000000-0002-0000-0100-000010000000}">
      <formula1>KDGvsKD</formula1>
    </dataValidation>
  </dataValidations>
  <pageMargins left="0.78740157480314965" right="0.78740157480314965" top="0.78740157480314965" bottom="0.39370078740157483" header="0.39370078740157483" footer="0"/>
  <pageSetup paperSize="9" scale="80" fitToHeight="4" orientation="portrait" horizontalDpi="4294967295" r:id="rId1"/>
  <headerFooter alignWithMargins="0">
    <oddHeader>&amp;R&amp;8&amp;U&amp;F - Seite &amp;P/&amp;N</oddHeader>
  </headerFooter>
  <rowBreaks count="3" manualBreakCount="3">
    <brk id="79" min="2" max="16" man="1"/>
    <brk id="182" min="2" max="16" man="1"/>
    <brk id="257" min="2" max="16"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5">
    <tabColor indexed="10"/>
  </sheetPr>
  <dimension ref="A1:N199"/>
  <sheetViews>
    <sheetView showGridLines="0" zoomScaleNormal="140" workbookViewId="0">
      <pane ySplit="4" topLeftCell="A5" activePane="bottomLeft" state="frozen"/>
      <selection activeCell="F326" sqref="F326"/>
      <selection pane="bottomLeft" activeCell="G6" sqref="G6"/>
    </sheetView>
  </sheetViews>
  <sheetFormatPr baseColWidth="10" defaultColWidth="0" defaultRowHeight="0" customHeight="1" zeroHeight="1" x14ac:dyDescent="0.2"/>
  <cols>
    <col min="1" max="1" width="2.7109375" style="233" customWidth="1"/>
    <col min="2" max="2" width="18.5703125" style="233" customWidth="1"/>
    <col min="3" max="7" width="12.7109375" style="233" customWidth="1"/>
    <col min="8" max="8" width="2.7109375" style="233" customWidth="1"/>
    <col min="9" max="9" width="0.85546875" style="179" customWidth="1"/>
    <col min="10" max="10" width="20.7109375" style="179" customWidth="1"/>
    <col min="11" max="14" width="20.5703125" style="233" hidden="1" customWidth="1"/>
    <col min="15" max="16384" width="11.42578125" style="233" hidden="1"/>
  </cols>
  <sheetData>
    <row r="1" spans="1:10" ht="24.95" customHeight="1" x14ac:dyDescent="0.45">
      <c r="A1" s="1065"/>
      <c r="B1" s="231" t="s">
        <v>507</v>
      </c>
      <c r="C1" s="232"/>
      <c r="D1" s="232"/>
      <c r="E1" s="232"/>
      <c r="F1" s="232"/>
      <c r="G1" s="232"/>
      <c r="H1" s="232"/>
      <c r="I1" s="130"/>
      <c r="J1" s="1039" t="s">
        <v>101</v>
      </c>
    </row>
    <row r="2" spans="1:10" ht="12.6" customHeight="1" x14ac:dyDescent="0.2">
      <c r="A2" s="1065"/>
      <c r="B2" s="234" t="s">
        <v>210</v>
      </c>
      <c r="C2" s="235"/>
      <c r="D2" s="235"/>
      <c r="E2" s="235"/>
      <c r="F2" s="235"/>
      <c r="G2" s="235"/>
      <c r="H2" s="235"/>
      <c r="I2" s="131"/>
      <c r="J2" s="1039"/>
    </row>
    <row r="3" spans="1:10" ht="12.6" customHeight="1" x14ac:dyDescent="0.25">
      <c r="A3" s="180"/>
      <c r="B3" s="236" t="s">
        <v>211</v>
      </c>
      <c r="C3" s="237"/>
      <c r="D3" s="237"/>
      <c r="E3" s="237"/>
      <c r="F3" s="237"/>
      <c r="G3" s="237"/>
      <c r="H3" s="237"/>
      <c r="I3" s="131"/>
      <c r="J3" s="1039"/>
    </row>
    <row r="4" spans="1:10" ht="20.100000000000001" customHeight="1" x14ac:dyDescent="0.25">
      <c r="B4" s="238"/>
      <c r="I4" s="131"/>
      <c r="J4" s="1039"/>
    </row>
    <row r="5" spans="1:10" s="220" customFormat="1" ht="20.100000000000001" customHeight="1" thickBot="1" x14ac:dyDescent="0.25">
      <c r="B5" s="215" t="s">
        <v>191</v>
      </c>
      <c r="C5" s="239" t="s">
        <v>188</v>
      </c>
      <c r="D5" s="239" t="s">
        <v>192</v>
      </c>
      <c r="E5" s="240" t="s">
        <v>212</v>
      </c>
      <c r="F5" s="239" t="s">
        <v>213</v>
      </c>
      <c r="G5" s="239" t="s">
        <v>214</v>
      </c>
      <c r="I5" s="131"/>
      <c r="J5" s="134"/>
    </row>
    <row r="6" spans="1:10" s="220" customFormat="1" ht="15" customHeight="1" thickBot="1" x14ac:dyDescent="0.25">
      <c r="B6" s="216" t="str">
        <f>IF(Plan!F5="","",Plan!F5)</f>
        <v>Eigenkapital</v>
      </c>
      <c r="C6" s="202">
        <f>IF(Plan!G5="","",Plan!G5)</f>
        <v>66500</v>
      </c>
      <c r="D6" s="218">
        <f>IF(Plan!H5="","",Plan!H5)</f>
        <v>0.03</v>
      </c>
      <c r="E6" s="241">
        <f>IF(B6="","",-PMT(D6,F6,C6)/C6)</f>
        <v>4.3262377890462882E-2</v>
      </c>
      <c r="F6" s="217">
        <f>IF(B6="","",IF(Plan!D5="","",Plan!D5))</f>
        <v>40</v>
      </c>
      <c r="G6" s="187"/>
      <c r="I6" s="131"/>
      <c r="J6" s="134"/>
    </row>
    <row r="7" spans="1:10" s="220" customFormat="1" ht="15" customHeight="1" thickBot="1" x14ac:dyDescent="0.25">
      <c r="B7" s="216" t="str">
        <f>IF(Plan!F6="","",Plan!F6)</f>
        <v>AIK-Kredit</v>
      </c>
      <c r="C7" s="202">
        <f>IF(Plan!G6="","",Plan!G6)</f>
        <v>140000</v>
      </c>
      <c r="D7" s="218">
        <f>IF(Plan!H6="","",Plan!H6)</f>
        <v>2.5000000000000001E-2</v>
      </c>
      <c r="E7" s="241">
        <f>IF(B7="","",-PMT(D7,F7,C7)/C7)</f>
        <v>3.9836233162469821E-2</v>
      </c>
      <c r="F7" s="217">
        <f>IF(B7="","",IF(Plan!D5="","",Plan!D5))</f>
        <v>40</v>
      </c>
      <c r="G7" s="187"/>
      <c r="I7" s="131"/>
      <c r="J7" s="134"/>
    </row>
    <row r="8" spans="1:10" s="220" customFormat="1" ht="15" customHeight="1" x14ac:dyDescent="0.2">
      <c r="B8" s="216" t="str">
        <f>IF(Plan!F7="","",Plan!F7)</f>
        <v/>
      </c>
      <c r="C8" s="202" t="str">
        <f>IF(Plan!G7="","",Plan!G7)</f>
        <v/>
      </c>
      <c r="D8" s="218" t="str">
        <f>IF(Plan!H7="","",Plan!H7)</f>
        <v/>
      </c>
      <c r="E8" s="241" t="str">
        <f>IF(B8="","",-PMT(D8,F8,C8)/C8)</f>
        <v/>
      </c>
      <c r="F8" s="217"/>
      <c r="G8" s="956"/>
      <c r="I8" s="131"/>
      <c r="J8" s="134"/>
    </row>
    <row r="9" spans="1:10" s="220" customFormat="1" ht="15" customHeight="1" thickBot="1" x14ac:dyDescent="0.25">
      <c r="B9" s="216" t="str">
        <f>IF(Plan!F8="","",Plan!F8)</f>
        <v/>
      </c>
      <c r="C9" s="202" t="str">
        <f>IF(Plan!G8="","",Plan!G8)</f>
        <v/>
      </c>
      <c r="D9" s="218" t="str">
        <f>IF(Plan!H8="","",Plan!H8)</f>
        <v/>
      </c>
      <c r="E9" s="241" t="str">
        <f>IF(B9="","",-PMT(D9,F9,C9)/C9)</f>
        <v/>
      </c>
      <c r="F9" s="217"/>
      <c r="G9" s="957"/>
      <c r="I9" s="131"/>
      <c r="J9" s="134"/>
    </row>
    <row r="10" spans="1:10" s="220" customFormat="1" ht="15" customHeight="1" thickBot="1" x14ac:dyDescent="0.25">
      <c r="B10" s="216" t="str">
        <f>IF(Plan!F9="","",Plan!F9)</f>
        <v>Bankdarlehen</v>
      </c>
      <c r="C10" s="202">
        <f>IF(Plan!G9="","",Plan!G9)</f>
        <v>32984</v>
      </c>
      <c r="D10" s="218">
        <f>IF(Plan!H9="","",Plan!H9)</f>
        <v>0.06</v>
      </c>
      <c r="E10" s="241">
        <f>IF(B10="","",-PMT(D10,F10,C10)/C10)</f>
        <v>6.646153592067551E-2</v>
      </c>
      <c r="F10" s="217">
        <f>IF(B10="","",IF(Plan!D5="","",Plan!D5))</f>
        <v>40</v>
      </c>
      <c r="G10" s="722"/>
      <c r="I10" s="131"/>
      <c r="J10" s="134"/>
    </row>
    <row r="11" spans="1:10" s="220" customFormat="1" ht="15" customHeight="1" thickBot="1" x14ac:dyDescent="0.25">
      <c r="B11" s="200" t="s">
        <v>215</v>
      </c>
      <c r="C11" s="200"/>
      <c r="D11" s="200"/>
      <c r="E11" s="200"/>
      <c r="F11" s="200"/>
      <c r="G11" s="731"/>
      <c r="I11" s="131"/>
      <c r="J11" s="134"/>
    </row>
    <row r="12" spans="1:10" s="220" customFormat="1" ht="9.9499999999999993" customHeight="1" x14ac:dyDescent="0.2">
      <c r="I12" s="131"/>
      <c r="J12" s="134"/>
    </row>
    <row r="13" spans="1:10" s="220" customFormat="1" ht="20.100000000000001" customHeight="1" x14ac:dyDescent="0.2">
      <c r="B13" s="194" t="s">
        <v>216</v>
      </c>
      <c r="C13" s="194"/>
      <c r="D13" s="242" t="str">
        <f>IF(C20="","","Gesamt-DB")</f>
        <v/>
      </c>
      <c r="E13" s="242" t="str">
        <f>IF(C21="","","LW Einkommen")</f>
        <v>LW Einkommen</v>
      </c>
      <c r="F13" s="242" t="str">
        <f>IF(C22="","","Ges.-Einkommen")</f>
        <v/>
      </c>
      <c r="I13" s="131"/>
      <c r="J13" s="134"/>
    </row>
    <row r="14" spans="1:10" s="220" customFormat="1" ht="15" customHeight="1" x14ac:dyDescent="0.2">
      <c r="B14" s="243" t="str">
        <f>"  "&amp;IF($C$20&lt;&gt;"",$D$13,IF($C$21&lt;&gt;"",$E$13,IF($C$22&lt;&gt;"",$F$13,"")))&amp;" bei PLAN-Variante"</f>
        <v xml:space="preserve">  LW Einkommen bei PLAN-Variante</v>
      </c>
      <c r="C14" s="244"/>
      <c r="D14" s="245"/>
      <c r="E14" s="245" t="str">
        <f>IF(Plan!E57="","noch leer",Plan!E57)</f>
        <v>noch leer</v>
      </c>
      <c r="F14" s="245"/>
      <c r="I14" s="131"/>
      <c r="J14" s="134"/>
    </row>
    <row r="15" spans="1:10" s="220" customFormat="1" ht="15" customHeight="1" thickBot="1" x14ac:dyDescent="0.25">
      <c r="B15" s="243" t="str">
        <f>"- "&amp;IF($C$20&lt;&gt;"",$D$13,IF($C$21&lt;&gt;"",$E$13,IF($C$22&lt;&gt;"",$F$13,"")))&amp;" bei IST-Organistation"</f>
        <v>- LW Einkommen bei IST-Organistation</v>
      </c>
      <c r="C15" s="244"/>
      <c r="D15" s="246"/>
      <c r="E15" s="246" t="str">
        <f>IF(Ist!E39="","noch leer",Ist!E39)</f>
        <v>noch leer</v>
      </c>
      <c r="F15" s="246"/>
      <c r="I15" s="131"/>
      <c r="J15" s="134"/>
    </row>
    <row r="16" spans="1:10" s="220" customFormat="1" ht="15" customHeight="1" thickBot="1" x14ac:dyDescent="0.25">
      <c r="B16" s="247" t="s">
        <v>217</v>
      </c>
      <c r="C16" s="200"/>
      <c r="D16" s="200"/>
      <c r="E16" s="732"/>
      <c r="F16" s="200"/>
      <c r="I16" s="131"/>
      <c r="J16" s="134"/>
    </row>
    <row r="17" spans="1:10" s="220" customFormat="1" ht="9.9499999999999993" customHeight="1" x14ac:dyDescent="0.2">
      <c r="I17" s="131"/>
      <c r="J17" s="134"/>
    </row>
    <row r="18" spans="1:10" s="220" customFormat="1" ht="15" customHeight="1" x14ac:dyDescent="0.2">
      <c r="B18" s="194" t="s">
        <v>218</v>
      </c>
      <c r="C18" s="248"/>
      <c r="D18" s="248"/>
      <c r="E18" s="248"/>
      <c r="F18" s="248"/>
      <c r="I18" s="131"/>
      <c r="J18" s="134"/>
    </row>
    <row r="19" spans="1:10" s="220" customFormat="1" ht="15" customHeight="1" thickBot="1" x14ac:dyDescent="0.25">
      <c r="B19" s="194" t="s">
        <v>219</v>
      </c>
      <c r="C19" s="194"/>
      <c r="D19" s="194" t="s">
        <v>220</v>
      </c>
      <c r="E19" s="248"/>
      <c r="F19" s="248"/>
      <c r="I19" s="131"/>
      <c r="J19" s="134"/>
    </row>
    <row r="20" spans="1:10" s="249" customFormat="1" ht="11.25" hidden="1" x14ac:dyDescent="0.2">
      <c r="B20" s="250" t="s">
        <v>221</v>
      </c>
      <c r="C20" s="251" t="str">
        <f>IF('[1]E-Fin'!C20="","",'[1]E-Fin'!C20)</f>
        <v/>
      </c>
      <c r="D20" s="252"/>
      <c r="E20" s="252"/>
      <c r="F20" s="252"/>
      <c r="G20" s="253"/>
      <c r="I20" s="131"/>
      <c r="J20" s="134"/>
    </row>
    <row r="21" spans="1:10" s="249" customFormat="1" ht="11.25" hidden="1" x14ac:dyDescent="0.2">
      <c r="B21" s="250" t="s">
        <v>222</v>
      </c>
      <c r="C21" s="251" t="str">
        <f>IF('[1]E-Fin'!C21="","",'[1]E-Fin'!C21)</f>
        <v>ü</v>
      </c>
      <c r="D21" s="252"/>
      <c r="E21" s="252"/>
      <c r="F21" s="252"/>
      <c r="G21" s="253"/>
      <c r="I21" s="131"/>
      <c r="J21" s="134"/>
    </row>
    <row r="22" spans="1:10" s="249" customFormat="1" ht="12" hidden="1" thickBot="1" x14ac:dyDescent="0.25">
      <c r="B22" s="250" t="s">
        <v>173</v>
      </c>
      <c r="C22" s="251" t="str">
        <f>IF('[1]E-Fin'!C22="","",'[1]E-Fin'!C22)</f>
        <v/>
      </c>
      <c r="D22" s="252"/>
      <c r="E22" s="252"/>
      <c r="F22" s="252"/>
      <c r="I22" s="141"/>
      <c r="J22" s="134"/>
    </row>
    <row r="23" spans="1:10" s="220" customFormat="1" ht="15" customHeight="1" thickBot="1" x14ac:dyDescent="0.25">
      <c r="B23" s="202" t="str">
        <f>IF(C20="ü",IF(D16="","",D16),IF(C21="ü",IF(E16="","",E16),IF(C22="ü",IF(F16="","",F16),"")))</f>
        <v/>
      </c>
      <c r="C23" s="254" t="s">
        <v>223</v>
      </c>
      <c r="D23" s="255" t="str">
        <f>IF(G11="","",-G11)</f>
        <v/>
      </c>
      <c r="E23" s="254" t="s">
        <v>224</v>
      </c>
      <c r="F23" s="733"/>
      <c r="I23" s="131"/>
      <c r="J23" s="134"/>
    </row>
    <row r="24" spans="1:10" s="220" customFormat="1" ht="15" customHeight="1" thickBot="1" x14ac:dyDescent="0.25">
      <c r="B24" s="256" t="s">
        <v>225</v>
      </c>
      <c r="C24" s="256"/>
      <c r="D24" s="256"/>
      <c r="E24" s="257" t="s">
        <v>226</v>
      </c>
      <c r="F24" s="257" t="s">
        <v>227</v>
      </c>
      <c r="I24" s="131"/>
      <c r="J24" s="134"/>
    </row>
    <row r="25" spans="1:10" s="220" customFormat="1" ht="15" customHeight="1" thickBot="1" x14ac:dyDescent="0.25">
      <c r="B25" s="258"/>
      <c r="C25" s="197"/>
      <c r="D25" s="259" t="s">
        <v>228</v>
      </c>
      <c r="E25" s="734"/>
      <c r="F25" s="734"/>
      <c r="I25" s="131"/>
      <c r="J25" s="134"/>
    </row>
    <row r="26" spans="1:10" s="220" customFormat="1" ht="35.1" customHeight="1" x14ac:dyDescent="0.2">
      <c r="I26" s="131"/>
      <c r="J26" s="134"/>
    </row>
    <row r="27" spans="1:10" s="220" customFormat="1" ht="24.95" customHeight="1" x14ac:dyDescent="0.2">
      <c r="A27" s="180"/>
      <c r="B27" s="181" t="s">
        <v>229</v>
      </c>
      <c r="C27" s="181"/>
      <c r="D27" s="181"/>
      <c r="E27" s="181"/>
      <c r="F27" s="181"/>
      <c r="G27" s="181"/>
      <c r="H27" s="181"/>
      <c r="I27" s="131"/>
      <c r="J27" s="134"/>
    </row>
    <row r="28" spans="1:10" s="220" customFormat="1" ht="12.6" customHeight="1" x14ac:dyDescent="0.2">
      <c r="A28" s="180"/>
      <c r="B28" s="260" t="s">
        <v>230</v>
      </c>
      <c r="C28" s="180"/>
      <c r="D28" s="180"/>
      <c r="E28" s="180"/>
      <c r="F28" s="180"/>
      <c r="G28" s="180"/>
      <c r="H28" s="180"/>
      <c r="I28" s="131"/>
      <c r="J28" s="134"/>
    </row>
    <row r="29" spans="1:10" s="220" customFormat="1" ht="15" customHeight="1" x14ac:dyDescent="0.2">
      <c r="I29" s="143"/>
      <c r="J29" s="134"/>
    </row>
    <row r="30" spans="1:10" s="220" customFormat="1" ht="20.100000000000001" customHeight="1" thickBot="1" x14ac:dyDescent="0.25">
      <c r="B30" s="215" t="s">
        <v>231</v>
      </c>
      <c r="C30" s="239" t="s">
        <v>188</v>
      </c>
      <c r="D30" s="239" t="s">
        <v>192</v>
      </c>
      <c r="E30" s="240" t="s">
        <v>212</v>
      </c>
      <c r="F30" s="239" t="s">
        <v>193</v>
      </c>
      <c r="G30" s="239" t="s">
        <v>214</v>
      </c>
      <c r="I30" s="143"/>
      <c r="J30" s="134"/>
    </row>
    <row r="31" spans="1:10" s="220" customFormat="1" ht="15" customHeight="1" thickBot="1" x14ac:dyDescent="0.25">
      <c r="B31" s="216" t="str">
        <f>IF(Plan!F6="","",Plan!F6)</f>
        <v>AIK-Kredit</v>
      </c>
      <c r="C31" s="202">
        <f>IF(Plan!G6="","",Plan!G6)</f>
        <v>140000</v>
      </c>
      <c r="D31" s="218">
        <f>IF(Plan!H6="","",Plan!H6)</f>
        <v>2.5000000000000001E-2</v>
      </c>
      <c r="E31" s="241">
        <f>IF(B31="","",-PMT(D31,F31,C31)/C31)</f>
        <v>6.6760615129335246E-2</v>
      </c>
      <c r="F31" s="217">
        <f>IF(Plan!I6="","",Plan!I6)</f>
        <v>19</v>
      </c>
      <c r="G31" s="187"/>
      <c r="I31" s="143"/>
      <c r="J31" s="134"/>
    </row>
    <row r="32" spans="1:10" s="220" customFormat="1" ht="15" customHeight="1" x14ac:dyDescent="0.2">
      <c r="B32" s="216" t="str">
        <f>IF(Plan!F7="","",Plan!F7)</f>
        <v/>
      </c>
      <c r="C32" s="202" t="str">
        <f>IF(Plan!G7="","",Plan!G7)</f>
        <v/>
      </c>
      <c r="D32" s="218" t="str">
        <f>IF(Plan!H7="","",Plan!H7)</f>
        <v/>
      </c>
      <c r="E32" s="241" t="str">
        <f>IF(B32="","",-PMT(D32,F32,C32)/C32)</f>
        <v/>
      </c>
      <c r="F32" s="217" t="str">
        <f>IF(Plan!I7="","",Plan!I7)</f>
        <v/>
      </c>
      <c r="G32" s="956"/>
      <c r="I32" s="131"/>
      <c r="J32" s="134"/>
    </row>
    <row r="33" spans="1:10" s="220" customFormat="1" ht="15" customHeight="1" thickBot="1" x14ac:dyDescent="0.25">
      <c r="B33" s="216" t="str">
        <f>IF(Plan!F8="","",Plan!F8)</f>
        <v/>
      </c>
      <c r="C33" s="202" t="str">
        <f>IF(Plan!G8="","",Plan!G8)</f>
        <v/>
      </c>
      <c r="D33" s="218" t="str">
        <f>IF(Plan!H8="","",Plan!H8)</f>
        <v/>
      </c>
      <c r="E33" s="241" t="str">
        <f>IF(B33="","",-PMT(D33,F33,C33)/C33)</f>
        <v/>
      </c>
      <c r="F33" s="217" t="str">
        <f>IF(Plan!I8="","",Plan!I8)</f>
        <v/>
      </c>
      <c r="G33" s="957"/>
      <c r="I33" s="131"/>
      <c r="J33" s="134"/>
    </row>
    <row r="34" spans="1:10" s="220" customFormat="1" ht="15" customHeight="1" thickBot="1" x14ac:dyDescent="0.25">
      <c r="B34" s="216" t="str">
        <f>IF(Plan!F9="","",Plan!F9)</f>
        <v>Bankdarlehen</v>
      </c>
      <c r="C34" s="202">
        <f>IF(Plan!G9="","",Plan!G9)</f>
        <v>32984</v>
      </c>
      <c r="D34" s="218">
        <f>IF(Plan!H9="","",Plan!H9)</f>
        <v>0.06</v>
      </c>
      <c r="E34" s="241">
        <f>IF(B34="","",-PMT(D34,F34,C34)/C34)</f>
        <v>0.13586795822038383</v>
      </c>
      <c r="F34" s="217">
        <f>IF(Plan!I9="","",Plan!I9)</f>
        <v>10</v>
      </c>
      <c r="G34" s="722"/>
      <c r="I34" s="131"/>
      <c r="J34" s="134"/>
    </row>
    <row r="35" spans="1:10" s="220" customFormat="1" ht="15" customHeight="1" thickBot="1" x14ac:dyDescent="0.25">
      <c r="B35" s="261" t="s">
        <v>232</v>
      </c>
      <c r="C35" s="261"/>
      <c r="D35" s="261"/>
      <c r="E35" s="261"/>
      <c r="F35" s="261"/>
      <c r="G35" s="731"/>
      <c r="I35" s="131"/>
      <c r="J35" s="134"/>
    </row>
    <row r="36" spans="1:10" s="220" customFormat="1" ht="35.1" customHeight="1" x14ac:dyDescent="0.2">
      <c r="I36" s="131"/>
      <c r="J36" s="134"/>
    </row>
    <row r="37" spans="1:10" s="220" customFormat="1" ht="24.95" customHeight="1" x14ac:dyDescent="0.2">
      <c r="A37" s="180"/>
      <c r="B37" s="181" t="s">
        <v>233</v>
      </c>
      <c r="C37" s="181"/>
      <c r="D37" s="181"/>
      <c r="E37" s="181"/>
      <c r="F37" s="181"/>
      <c r="G37" s="181"/>
      <c r="H37" s="181"/>
      <c r="I37" s="131"/>
      <c r="J37" s="134"/>
    </row>
    <row r="38" spans="1:10" s="220" customFormat="1" ht="15" customHeight="1" x14ac:dyDescent="0.2">
      <c r="I38" s="131"/>
      <c r="J38" s="134"/>
    </row>
    <row r="39" spans="1:10" s="220" customFormat="1" ht="20.100000000000001" customHeight="1" thickBot="1" x14ac:dyDescent="0.25">
      <c r="B39" s="1069" t="str">
        <f>B30</f>
        <v>Fremdkapitalart</v>
      </c>
      <c r="C39" s="1069"/>
      <c r="D39" s="1069"/>
      <c r="E39" s="262" t="s">
        <v>234</v>
      </c>
      <c r="F39" s="263" t="s">
        <v>235</v>
      </c>
      <c r="G39" s="263" t="s">
        <v>236</v>
      </c>
      <c r="I39" s="131"/>
      <c r="J39" s="134"/>
    </row>
    <row r="40" spans="1:10" s="220" customFormat="1" ht="15" customHeight="1" thickBot="1" x14ac:dyDescent="0.25">
      <c r="B40" s="184" t="str">
        <f>IF(B31="","",B31)</f>
        <v>AIK-Kredit</v>
      </c>
      <c r="C40" s="184"/>
      <c r="D40" s="184"/>
      <c r="E40" s="958" t="str">
        <f>IF(AND(B31="",B32="",B33="",B34=""),"kein Kapitaldienst",IF(B31="","",IF(G31="","noch leer",G31)))</f>
        <v>noch leer</v>
      </c>
      <c r="F40" s="187"/>
      <c r="G40" s="187"/>
      <c r="I40" s="131"/>
      <c r="J40" s="134"/>
    </row>
    <row r="41" spans="1:10" s="220" customFormat="1" ht="15" customHeight="1" x14ac:dyDescent="0.2">
      <c r="B41" s="184" t="str">
        <f>IF(B32="","",B32)</f>
        <v/>
      </c>
      <c r="C41" s="184"/>
      <c r="D41" s="184"/>
      <c r="E41" s="219" t="str">
        <f>IF(AND(B31="",B32="",B33="",B34=""),"kein Kapitaldienst",IF(B32="","",IF(G32="","noch leer",G32)))</f>
        <v/>
      </c>
      <c r="F41" s="956"/>
      <c r="G41" s="956"/>
      <c r="I41" s="131"/>
      <c r="J41" s="134"/>
    </row>
    <row r="42" spans="1:10" s="220" customFormat="1" ht="15" customHeight="1" thickBot="1" x14ac:dyDescent="0.25">
      <c r="B42" s="184" t="str">
        <f>IF(B33="","",B33)</f>
        <v/>
      </c>
      <c r="C42" s="184"/>
      <c r="D42" s="184"/>
      <c r="E42" s="219" t="str">
        <f>IF(AND(B31="",B32="",B33="",B34=""),"kein Kapitaldienst",IF(B33="","",IF(G33="","noch leer",G33)))</f>
        <v/>
      </c>
      <c r="F42" s="957"/>
      <c r="G42" s="957"/>
      <c r="I42" s="131"/>
      <c r="J42" s="134"/>
    </row>
    <row r="43" spans="1:10" s="220" customFormat="1" ht="15" customHeight="1" thickBot="1" x14ac:dyDescent="0.25">
      <c r="B43" s="184" t="str">
        <f>IF(B34="","",B34)</f>
        <v>Bankdarlehen</v>
      </c>
      <c r="C43" s="184"/>
      <c r="D43" s="184"/>
      <c r="E43" s="730" t="str">
        <f>IF(AND(B31="",B32="",B33="",B34=""),"kein Kapitaldienst",IF(B34="","",IF(G34="","noch leer",G34)))</f>
        <v>noch leer</v>
      </c>
      <c r="F43" s="187"/>
      <c r="G43" s="722"/>
      <c r="I43" s="131"/>
      <c r="J43" s="134"/>
    </row>
    <row r="44" spans="1:10" s="220" customFormat="1" ht="15" customHeight="1" thickBot="1" x14ac:dyDescent="0.25">
      <c r="B44" s="261" t="s">
        <v>237</v>
      </c>
      <c r="C44" s="261"/>
      <c r="D44" s="261"/>
      <c r="E44" s="745">
        <f>IF(AND(E40="noch leer",E41="noch leer",E42="noch leer",E43="noch leer")=0,"noch leer",SUM(E40:E43))</f>
        <v>0</v>
      </c>
      <c r="F44" s="571"/>
      <c r="G44" s="571"/>
      <c r="I44" s="131"/>
      <c r="J44" s="134"/>
    </row>
    <row r="45" spans="1:10" s="220" customFormat="1" ht="15" customHeight="1" x14ac:dyDescent="0.2">
      <c r="I45" s="131"/>
      <c r="J45" s="134"/>
    </row>
    <row r="46" spans="1:10" s="220" customFormat="1" ht="30" customHeight="1" x14ac:dyDescent="0.2">
      <c r="B46" s="1066" t="s">
        <v>238</v>
      </c>
      <c r="C46" s="1066"/>
      <c r="D46" s="1066"/>
      <c r="E46" s="1066"/>
      <c r="F46" s="1067" t="str">
        <f>IF(G44="","noch leer",G44)</f>
        <v>noch leer</v>
      </c>
      <c r="G46" s="1068"/>
      <c r="I46" s="131"/>
      <c r="J46" s="134"/>
    </row>
    <row r="47" spans="1:10" s="220" customFormat="1" ht="15" customHeight="1" x14ac:dyDescent="0.2">
      <c r="I47" s="131"/>
      <c r="J47" s="134"/>
    </row>
    <row r="48" spans="1:10" ht="11.25" hidden="1" x14ac:dyDescent="0.2">
      <c r="I48" s="233"/>
      <c r="J48" s="233"/>
    </row>
    <row r="49" spans="9:10" ht="11.25" hidden="1" x14ac:dyDescent="0.2">
      <c r="I49" s="233"/>
      <c r="J49" s="233"/>
    </row>
    <row r="50" spans="9:10" ht="11.25" hidden="1" x14ac:dyDescent="0.2">
      <c r="I50" s="233"/>
      <c r="J50" s="233"/>
    </row>
    <row r="51" spans="9:10" ht="11.25" hidden="1" x14ac:dyDescent="0.2">
      <c r="I51" s="233"/>
      <c r="J51" s="233"/>
    </row>
    <row r="52" spans="9:10" ht="11.25" hidden="1" x14ac:dyDescent="0.2">
      <c r="I52" s="233"/>
      <c r="J52" s="233"/>
    </row>
    <row r="53" spans="9:10" ht="11.25" hidden="1" x14ac:dyDescent="0.2">
      <c r="I53" s="233"/>
      <c r="J53" s="233"/>
    </row>
    <row r="54" spans="9:10" ht="11.25" hidden="1" x14ac:dyDescent="0.2">
      <c r="I54" s="233"/>
      <c r="J54" s="233"/>
    </row>
    <row r="55" spans="9:10" ht="11.25" hidden="1" x14ac:dyDescent="0.2">
      <c r="I55" s="233"/>
      <c r="J55" s="233"/>
    </row>
    <row r="56" spans="9:10" ht="11.25" hidden="1" x14ac:dyDescent="0.2">
      <c r="I56" s="233"/>
      <c r="J56" s="233"/>
    </row>
    <row r="57" spans="9:10" ht="0" hidden="1" customHeight="1" x14ac:dyDescent="0.2">
      <c r="I57" s="131"/>
      <c r="J57" s="220"/>
    </row>
    <row r="58" spans="9:10" ht="0" hidden="1" customHeight="1" x14ac:dyDescent="0.2">
      <c r="I58" s="131"/>
      <c r="J58" s="220"/>
    </row>
    <row r="59" spans="9:10" ht="0" hidden="1" customHeight="1" x14ac:dyDescent="0.2">
      <c r="I59" s="131"/>
      <c r="J59" s="220"/>
    </row>
    <row r="60" spans="9:10" ht="0" hidden="1" customHeight="1" x14ac:dyDescent="0.2">
      <c r="I60" s="131"/>
      <c r="J60" s="220"/>
    </row>
    <row r="61" spans="9:10" ht="0" hidden="1" customHeight="1" x14ac:dyDescent="0.2">
      <c r="I61" s="131"/>
      <c r="J61" s="220"/>
    </row>
    <row r="62" spans="9:10" ht="0" hidden="1" customHeight="1" x14ac:dyDescent="0.2">
      <c r="I62" s="131"/>
      <c r="J62" s="220"/>
    </row>
    <row r="63" spans="9:10" ht="0" hidden="1" customHeight="1" x14ac:dyDescent="0.2"/>
    <row r="64" spans="9:10" ht="0" hidden="1" customHeight="1" x14ac:dyDescent="0.2"/>
    <row r="65" ht="0" hidden="1" customHeight="1" x14ac:dyDescent="0.2"/>
    <row r="66" ht="0" hidden="1" customHeight="1" x14ac:dyDescent="0.2"/>
    <row r="67" ht="0" hidden="1" customHeight="1" x14ac:dyDescent="0.2"/>
    <row r="68" ht="0" hidden="1" customHeight="1" x14ac:dyDescent="0.2"/>
    <row r="69" ht="0" hidden="1" customHeight="1" x14ac:dyDescent="0.2"/>
    <row r="70" ht="0" hidden="1" customHeight="1" x14ac:dyDescent="0.2"/>
    <row r="71" ht="0" hidden="1" customHeight="1" x14ac:dyDescent="0.2"/>
    <row r="72" ht="0" hidden="1" customHeight="1" x14ac:dyDescent="0.2"/>
    <row r="73" ht="0" hidden="1" customHeight="1" x14ac:dyDescent="0.2"/>
    <row r="74" ht="0" hidden="1" customHeight="1" x14ac:dyDescent="0.2"/>
    <row r="75" ht="0" hidden="1" customHeight="1" x14ac:dyDescent="0.2"/>
    <row r="76" ht="0" hidden="1" customHeight="1" x14ac:dyDescent="0.2"/>
    <row r="77" ht="0" hidden="1" customHeight="1" x14ac:dyDescent="0.2"/>
    <row r="78" ht="0" hidden="1" customHeight="1" x14ac:dyDescent="0.2"/>
    <row r="79" ht="0" hidden="1" customHeight="1" x14ac:dyDescent="0.2"/>
    <row r="80" ht="0" hidden="1" customHeight="1" x14ac:dyDescent="0.2"/>
    <row r="81" ht="0" hidden="1" customHeight="1" x14ac:dyDescent="0.2"/>
    <row r="82" ht="0" hidden="1" customHeight="1" x14ac:dyDescent="0.2"/>
    <row r="83" ht="0" hidden="1" customHeight="1" x14ac:dyDescent="0.2"/>
    <row r="84" ht="0" hidden="1" customHeight="1" x14ac:dyDescent="0.2"/>
    <row r="85" ht="0" hidden="1" customHeight="1" x14ac:dyDescent="0.2"/>
    <row r="86" ht="0" hidden="1" customHeight="1" x14ac:dyDescent="0.2"/>
    <row r="87" ht="0" hidden="1" customHeight="1" x14ac:dyDescent="0.2"/>
    <row r="88" ht="0" hidden="1" customHeight="1" x14ac:dyDescent="0.2"/>
    <row r="89" ht="0" hidden="1" customHeight="1" x14ac:dyDescent="0.2"/>
    <row r="90" ht="0" hidden="1" customHeight="1" x14ac:dyDescent="0.2"/>
    <row r="91" ht="0" hidden="1" customHeight="1" x14ac:dyDescent="0.2"/>
    <row r="92" ht="0" hidden="1" customHeight="1" x14ac:dyDescent="0.2"/>
    <row r="93" ht="0" hidden="1" customHeight="1" x14ac:dyDescent="0.2"/>
    <row r="94" ht="0" hidden="1" customHeight="1" x14ac:dyDescent="0.2"/>
    <row r="95" ht="0" hidden="1" customHeight="1" x14ac:dyDescent="0.2"/>
    <row r="96" ht="0" hidden="1" customHeight="1" x14ac:dyDescent="0.2"/>
    <row r="97" ht="0" hidden="1" customHeight="1" x14ac:dyDescent="0.2"/>
    <row r="98" ht="0" hidden="1" customHeight="1" x14ac:dyDescent="0.2"/>
    <row r="99" ht="0" hidden="1" customHeight="1" x14ac:dyDescent="0.2"/>
    <row r="100" ht="0" hidden="1" customHeight="1" x14ac:dyDescent="0.2"/>
    <row r="101" ht="0" hidden="1" customHeight="1" x14ac:dyDescent="0.2"/>
    <row r="102" ht="0" hidden="1" customHeight="1" x14ac:dyDescent="0.2"/>
    <row r="103" ht="0" hidden="1" customHeight="1" x14ac:dyDescent="0.2"/>
    <row r="104" ht="0" hidden="1" customHeight="1" x14ac:dyDescent="0.2"/>
    <row r="105" ht="0" hidden="1" customHeight="1" x14ac:dyDescent="0.2"/>
    <row r="106" ht="0" hidden="1" customHeight="1" x14ac:dyDescent="0.2"/>
    <row r="107" ht="0" hidden="1" customHeight="1" x14ac:dyDescent="0.2"/>
    <row r="108" ht="0" hidden="1" customHeight="1" x14ac:dyDescent="0.2"/>
    <row r="109" ht="0" hidden="1" customHeight="1" x14ac:dyDescent="0.2"/>
    <row r="110" ht="0" hidden="1" customHeight="1" x14ac:dyDescent="0.2"/>
    <row r="111" ht="0" hidden="1" customHeight="1" x14ac:dyDescent="0.2"/>
    <row r="112" ht="0" hidden="1" customHeight="1" x14ac:dyDescent="0.2"/>
    <row r="113" ht="0" hidden="1" customHeight="1" x14ac:dyDescent="0.2"/>
    <row r="114" ht="0" hidden="1" customHeight="1" x14ac:dyDescent="0.2"/>
    <row r="115" ht="0" hidden="1" customHeight="1" x14ac:dyDescent="0.2"/>
    <row r="116" ht="0" hidden="1" customHeight="1" x14ac:dyDescent="0.2"/>
    <row r="117" ht="0" hidden="1" customHeight="1" x14ac:dyDescent="0.2"/>
    <row r="118" ht="0" hidden="1" customHeight="1" x14ac:dyDescent="0.2"/>
    <row r="119" ht="0" hidden="1" customHeight="1" x14ac:dyDescent="0.2"/>
    <row r="120" ht="0" hidden="1" customHeight="1" x14ac:dyDescent="0.2"/>
    <row r="121" ht="0" hidden="1" customHeight="1" x14ac:dyDescent="0.2"/>
    <row r="122" ht="0" hidden="1" customHeight="1" x14ac:dyDescent="0.2"/>
    <row r="123" ht="0" hidden="1" customHeight="1" x14ac:dyDescent="0.2"/>
    <row r="124" ht="0" hidden="1" customHeight="1" x14ac:dyDescent="0.2"/>
    <row r="125" ht="0" hidden="1" customHeight="1" x14ac:dyDescent="0.2"/>
    <row r="126" ht="0" hidden="1" customHeight="1" x14ac:dyDescent="0.2"/>
    <row r="127" ht="0" hidden="1" customHeight="1" x14ac:dyDescent="0.2"/>
    <row r="128" ht="0" hidden="1" customHeight="1" x14ac:dyDescent="0.2"/>
    <row r="129" ht="0" hidden="1" customHeight="1" x14ac:dyDescent="0.2"/>
    <row r="130" ht="0" hidden="1" customHeight="1" x14ac:dyDescent="0.2"/>
    <row r="131" ht="0" hidden="1" customHeight="1" x14ac:dyDescent="0.2"/>
    <row r="132" ht="0" hidden="1" customHeight="1" x14ac:dyDescent="0.2"/>
    <row r="133" ht="0" hidden="1" customHeight="1" x14ac:dyDescent="0.2"/>
    <row r="134" ht="0" hidden="1" customHeight="1" x14ac:dyDescent="0.2"/>
    <row r="135" ht="0" hidden="1" customHeight="1" x14ac:dyDescent="0.2"/>
    <row r="136" ht="0" hidden="1" customHeight="1" x14ac:dyDescent="0.2"/>
    <row r="137" ht="0" hidden="1" customHeight="1" x14ac:dyDescent="0.2"/>
    <row r="138" ht="0" hidden="1" customHeight="1" x14ac:dyDescent="0.2"/>
    <row r="139" ht="0" hidden="1" customHeight="1" x14ac:dyDescent="0.2"/>
    <row r="140" ht="0" hidden="1" customHeight="1" x14ac:dyDescent="0.2"/>
    <row r="141" ht="0" hidden="1" customHeight="1" x14ac:dyDescent="0.2"/>
    <row r="142" ht="0" hidden="1" customHeight="1" x14ac:dyDescent="0.2"/>
    <row r="143" ht="0" hidden="1" customHeight="1" x14ac:dyDescent="0.2"/>
    <row r="144" ht="0" hidden="1" customHeight="1" x14ac:dyDescent="0.2"/>
    <row r="145" ht="0" hidden="1" customHeight="1" x14ac:dyDescent="0.2"/>
    <row r="146" ht="0" hidden="1" customHeight="1" x14ac:dyDescent="0.2"/>
    <row r="147" ht="0" hidden="1" customHeight="1" x14ac:dyDescent="0.2"/>
    <row r="148" ht="0" hidden="1" customHeight="1" x14ac:dyDescent="0.2"/>
    <row r="149" ht="0" hidden="1" customHeight="1" x14ac:dyDescent="0.2"/>
    <row r="150" ht="0" hidden="1" customHeight="1" x14ac:dyDescent="0.2"/>
    <row r="151" ht="0" hidden="1" customHeight="1" x14ac:dyDescent="0.2"/>
    <row r="152" ht="0" hidden="1" customHeight="1" x14ac:dyDescent="0.2"/>
    <row r="153" ht="0" hidden="1" customHeight="1" x14ac:dyDescent="0.2"/>
    <row r="154" ht="0" hidden="1" customHeight="1" x14ac:dyDescent="0.2"/>
    <row r="155" ht="0" hidden="1" customHeight="1" x14ac:dyDescent="0.2"/>
    <row r="156" ht="0" hidden="1" customHeight="1" x14ac:dyDescent="0.2"/>
    <row r="157" ht="0" hidden="1" customHeight="1" x14ac:dyDescent="0.2"/>
    <row r="158" ht="0" hidden="1" customHeight="1" x14ac:dyDescent="0.2"/>
    <row r="159" ht="0" hidden="1" customHeight="1" x14ac:dyDescent="0.2"/>
    <row r="160" ht="0" hidden="1" customHeight="1" x14ac:dyDescent="0.2"/>
    <row r="161" ht="0" hidden="1" customHeight="1" x14ac:dyDescent="0.2"/>
    <row r="162" ht="0" hidden="1" customHeight="1" x14ac:dyDescent="0.2"/>
    <row r="163" ht="0" hidden="1" customHeight="1" x14ac:dyDescent="0.2"/>
    <row r="164" ht="0" hidden="1" customHeight="1" x14ac:dyDescent="0.2"/>
    <row r="165" ht="0" hidden="1" customHeight="1" x14ac:dyDescent="0.2"/>
    <row r="166" ht="0" hidden="1" customHeight="1" x14ac:dyDescent="0.2"/>
    <row r="167" ht="0" hidden="1" customHeight="1" x14ac:dyDescent="0.2"/>
    <row r="168" ht="0" hidden="1" customHeight="1" x14ac:dyDescent="0.2"/>
    <row r="169" ht="0" hidden="1" customHeight="1" x14ac:dyDescent="0.2"/>
    <row r="170" ht="0" hidden="1" customHeight="1" x14ac:dyDescent="0.2"/>
    <row r="171" ht="0" hidden="1" customHeight="1" x14ac:dyDescent="0.2"/>
    <row r="172" ht="0" hidden="1" customHeight="1" x14ac:dyDescent="0.2"/>
    <row r="173" ht="0" hidden="1" customHeight="1" x14ac:dyDescent="0.2"/>
    <row r="174" ht="0" hidden="1" customHeight="1" x14ac:dyDescent="0.2"/>
    <row r="175" ht="0" hidden="1" customHeight="1" x14ac:dyDescent="0.2"/>
    <row r="176" ht="0" hidden="1" customHeight="1" x14ac:dyDescent="0.2"/>
    <row r="177" ht="0" hidden="1" customHeight="1" x14ac:dyDescent="0.2"/>
    <row r="178" ht="0" hidden="1" customHeight="1" x14ac:dyDescent="0.2"/>
    <row r="179" ht="0" hidden="1" customHeight="1" x14ac:dyDescent="0.2"/>
    <row r="180" ht="0" hidden="1" customHeight="1" x14ac:dyDescent="0.2"/>
    <row r="181" ht="0" hidden="1" customHeight="1" x14ac:dyDescent="0.2"/>
    <row r="182" ht="0" hidden="1" customHeight="1" x14ac:dyDescent="0.2"/>
    <row r="183" ht="0" hidden="1" customHeight="1" x14ac:dyDescent="0.2"/>
    <row r="184" ht="0" hidden="1" customHeight="1" x14ac:dyDescent="0.2"/>
    <row r="185" ht="0" hidden="1" customHeight="1" x14ac:dyDescent="0.2"/>
    <row r="186" ht="0" hidden="1" customHeight="1" x14ac:dyDescent="0.2"/>
    <row r="187" ht="0" hidden="1" customHeight="1" x14ac:dyDescent="0.2"/>
    <row r="188" ht="0" hidden="1" customHeight="1" x14ac:dyDescent="0.2"/>
    <row r="189" ht="0" hidden="1" customHeight="1" x14ac:dyDescent="0.2"/>
    <row r="190" ht="0" hidden="1" customHeight="1" x14ac:dyDescent="0.2"/>
    <row r="191" ht="0" hidden="1" customHeight="1" x14ac:dyDescent="0.2"/>
    <row r="192" ht="0" hidden="1" customHeight="1" x14ac:dyDescent="0.2"/>
    <row r="193" ht="0" hidden="1" customHeight="1" x14ac:dyDescent="0.2"/>
    <row r="194" ht="0" hidden="1" customHeight="1" x14ac:dyDescent="0.2"/>
    <row r="195" ht="0" hidden="1" customHeight="1" x14ac:dyDescent="0.2"/>
    <row r="196" ht="0" hidden="1" customHeight="1" x14ac:dyDescent="0.2"/>
    <row r="197" ht="0" hidden="1" customHeight="1" x14ac:dyDescent="0.2"/>
    <row r="198" ht="0" hidden="1" customHeight="1" x14ac:dyDescent="0.2"/>
    <row r="199" ht="0" hidden="1" customHeight="1" x14ac:dyDescent="0.2"/>
  </sheetData>
  <sheetProtection algorithmName="SHA-512" hashValue="Q1jprRPpxJ8PM2lCrKsBb+x/jMDOEDtTdKRLmlfDUbQcE7StOEjNgoyIVxHY2vPGGc5VgEiXYr4SINZypQkJOA==" saltValue="D6myP+r7520OUg0Bz4PoYw==" spinCount="100000" sheet="1" objects="1" scenarios="1"/>
  <mergeCells count="5">
    <mergeCell ref="A1:A2"/>
    <mergeCell ref="J1:J4"/>
    <mergeCell ref="B46:E46"/>
    <mergeCell ref="F46:G46"/>
    <mergeCell ref="B39:D39"/>
  </mergeCells>
  <phoneticPr fontId="4" type="noConversion"/>
  <conditionalFormatting sqref="C6:F7 C31:F31 C34:F34 C10:F10">
    <cfRule type="expression" dxfId="118" priority="1" stopIfTrue="1">
      <formula>$B6=""</formula>
    </cfRule>
  </conditionalFormatting>
  <conditionalFormatting sqref="F46:G46 D23 B23">
    <cfRule type="cellIs" dxfId="117" priority="2" stopIfTrue="1" operator="equal">
      <formula>"noch leer"</formula>
    </cfRule>
  </conditionalFormatting>
  <conditionalFormatting sqref="G6:G7 G31 F40:G40 F43:G43 G34 G10">
    <cfRule type="expression" dxfId="116" priority="3" stopIfTrue="1">
      <formula>$B6=""</formula>
    </cfRule>
  </conditionalFormatting>
  <conditionalFormatting sqref="E40 E43">
    <cfRule type="expression" dxfId="115" priority="4" stopIfTrue="1">
      <formula>$B40=""</formula>
    </cfRule>
    <cfRule type="cellIs" dxfId="114" priority="5" stopIfTrue="1" operator="equal">
      <formula>"noch leer"</formula>
    </cfRule>
  </conditionalFormatting>
  <conditionalFormatting sqref="D13">
    <cfRule type="expression" dxfId="113" priority="6" stopIfTrue="1">
      <formula>$C$20=""</formula>
    </cfRule>
  </conditionalFormatting>
  <conditionalFormatting sqref="E13">
    <cfRule type="expression" dxfId="112" priority="7" stopIfTrue="1">
      <formula>$C$21=""</formula>
    </cfRule>
  </conditionalFormatting>
  <conditionalFormatting sqref="F13">
    <cfRule type="expression" dxfId="111" priority="8" stopIfTrue="1">
      <formula>$C$22=""</formula>
    </cfRule>
  </conditionalFormatting>
  <conditionalFormatting sqref="E16">
    <cfRule type="expression" dxfId="110" priority="13" stopIfTrue="1">
      <formula>$C$21=""</formula>
    </cfRule>
    <cfRule type="cellIs" dxfId="109" priority="14" stopIfTrue="1" operator="equal">
      <formula>"noch leer"</formula>
    </cfRule>
  </conditionalFormatting>
  <conditionalFormatting sqref="E14:E15">
    <cfRule type="expression" dxfId="108" priority="17" stopIfTrue="1">
      <formula>$C$21=""</formula>
    </cfRule>
    <cfRule type="cellIs" dxfId="107" priority="18" stopIfTrue="1" operator="equal">
      <formula>"noch leer"</formula>
    </cfRule>
  </conditionalFormatting>
  <printOptions horizontalCentered="1"/>
  <pageMargins left="0.39370078740157483" right="0.39370078740157483" top="0.59055118110236227" bottom="0.39370078740157483" header="0" footer="0"/>
  <pageSetup paperSize="9" orientation="portrait" blackAndWhite="1" horizontalDpi="4294967295" r:id="rId1"/>
  <headerFooter alignWithMargins="0">
    <oddHeader>&amp;R&amp;8&amp;U&amp;F - Seite &amp;P/&amp;N</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4">
    <tabColor indexed="10"/>
  </sheetPr>
  <dimension ref="A1:L62"/>
  <sheetViews>
    <sheetView showGridLines="0" workbookViewId="0">
      <pane ySplit="2" topLeftCell="A3" activePane="bottomLeft" state="frozen"/>
      <selection activeCell="F326" sqref="F326"/>
      <selection pane="bottomLeft" activeCell="E5" sqref="E5"/>
    </sheetView>
  </sheetViews>
  <sheetFormatPr baseColWidth="10" defaultColWidth="0" defaultRowHeight="11.25" customHeight="1" zeroHeight="1" x14ac:dyDescent="0.2"/>
  <cols>
    <col min="1" max="1" width="2.7109375" style="179" customWidth="1"/>
    <col min="2" max="2" width="18.7109375" style="179" customWidth="1"/>
    <col min="3" max="3" width="7.7109375" style="179" customWidth="1"/>
    <col min="4" max="5" width="8.7109375" style="179" customWidth="1"/>
    <col min="6" max="6" width="12.7109375" style="179" customWidth="1"/>
    <col min="7" max="9" width="9.7109375" style="179" customWidth="1"/>
    <col min="10" max="10" width="2.7109375" style="179" customWidth="1"/>
    <col min="11" max="11" width="0.85546875" style="179" customWidth="1"/>
    <col min="12" max="12" width="20.7109375" style="179" customWidth="1"/>
    <col min="13" max="16384" width="11.42578125" style="1" hidden="1"/>
  </cols>
  <sheetData>
    <row r="1" spans="1:12" ht="24.95" customHeight="1" x14ac:dyDescent="0.2">
      <c r="A1" s="180"/>
      <c r="B1" s="181" t="s">
        <v>185</v>
      </c>
      <c r="C1" s="181"/>
      <c r="D1" s="181"/>
      <c r="E1" s="181"/>
      <c r="F1" s="181"/>
      <c r="G1" s="181"/>
      <c r="H1" s="181"/>
      <c r="I1" s="181"/>
      <c r="J1" s="181"/>
      <c r="K1" s="130"/>
      <c r="L1" s="1039" t="s">
        <v>101</v>
      </c>
    </row>
    <row r="2" spans="1:12" ht="20.100000000000001" customHeight="1" x14ac:dyDescent="0.2">
      <c r="K2" s="131"/>
      <c r="L2" s="1040"/>
    </row>
    <row r="3" spans="1:12" ht="12.6" customHeight="1" x14ac:dyDescent="0.2">
      <c r="B3" s="215" t="s">
        <v>186</v>
      </c>
      <c r="C3" s="215"/>
      <c r="D3" s="215"/>
      <c r="E3" s="215"/>
      <c r="F3" s="215"/>
      <c r="G3" s="215"/>
      <c r="H3" s="215"/>
      <c r="I3" s="215"/>
      <c r="K3" s="131"/>
      <c r="L3" s="134"/>
    </row>
    <row r="4" spans="1:12" ht="12.6" customHeight="1" thickBot="1" x14ac:dyDescent="0.25">
      <c r="B4" s="215" t="s">
        <v>187</v>
      </c>
      <c r="C4" s="195" t="s">
        <v>188</v>
      </c>
      <c r="D4" s="195" t="s">
        <v>189</v>
      </c>
      <c r="E4" s="195" t="s">
        <v>190</v>
      </c>
      <c r="F4" s="195" t="s">
        <v>191</v>
      </c>
      <c r="G4" s="195" t="s">
        <v>188</v>
      </c>
      <c r="H4" s="195" t="s">
        <v>192</v>
      </c>
      <c r="I4" s="195" t="s">
        <v>193</v>
      </c>
      <c r="K4" s="131"/>
      <c r="L4" s="134"/>
    </row>
    <row r="5" spans="1:12" ht="12.6" customHeight="1" thickBot="1" x14ac:dyDescent="0.25">
      <c r="B5" s="216" t="str">
        <f>IF([1]Plan!D15="","",[1]Plan!D15)</f>
        <v>Stallneubau</v>
      </c>
      <c r="C5" s="202">
        <f>IF([1]Plan!G15="","",[1]Plan!G15)</f>
        <v>255300</v>
      </c>
      <c r="D5" s="217">
        <f>IF([1]Plan!I15="","",[1]Plan!I15)</f>
        <v>40</v>
      </c>
      <c r="E5" s="187"/>
      <c r="F5" s="216" t="str">
        <f>IF([1]Plan!M15="","",[1]Plan!M15)</f>
        <v>Eigenkapital</v>
      </c>
      <c r="G5" s="202">
        <f>IF([1]Plan!P15="","",[1]Plan!P15)</f>
        <v>66500</v>
      </c>
      <c r="H5" s="218">
        <f>IF([1]Plan!R15="","",[1]Plan!R15)</f>
        <v>0.03</v>
      </c>
      <c r="I5" s="219">
        <f>IF([1]Plan!T15="","",[1]Plan!T15)</f>
        <v>40</v>
      </c>
      <c r="K5" s="131"/>
      <c r="L5" s="134"/>
    </row>
    <row r="6" spans="1:12" ht="12.6" customHeight="1" thickBot="1" x14ac:dyDescent="0.25">
      <c r="B6" s="216" t="str">
        <f>IF([1]Plan!D17="","",[1]Plan!D17)</f>
        <v>Ausstattung</v>
      </c>
      <c r="C6" s="202">
        <f>IF([1]Plan!G17="","",[1]Plan!G17)</f>
        <v>53670</v>
      </c>
      <c r="D6" s="217">
        <f>IF([1]Plan!I17="","",[1]Plan!I17)</f>
        <v>25</v>
      </c>
      <c r="E6" s="187"/>
      <c r="F6" s="216" t="str">
        <f>IF([1]Plan!M17="","",[1]Plan!M17)</f>
        <v>AIK-Kredit</v>
      </c>
      <c r="G6" s="202">
        <f>IF([1]Plan!P17="","",[1]Plan!P17)</f>
        <v>140000</v>
      </c>
      <c r="H6" s="218">
        <f>IF([1]Plan!R17="","",[1]Plan!R17)</f>
        <v>2.5000000000000001E-2</v>
      </c>
      <c r="I6" s="219">
        <f>IF([1]Plan!T17="","",[1]Plan!T17)</f>
        <v>19</v>
      </c>
      <c r="K6" s="131"/>
      <c r="L6" s="134"/>
    </row>
    <row r="7" spans="1:12" ht="12.6" customHeight="1" thickBot="1" x14ac:dyDescent="0.25">
      <c r="B7" s="216" t="str">
        <f>IF([1]Plan!D19="","",[1]Plan!D19)</f>
        <v>Tierzukauf</v>
      </c>
      <c r="C7" s="202">
        <f>IF([1]Plan!G19="","",[1]Plan!G19)</f>
        <v>15144</v>
      </c>
      <c r="D7" s="217">
        <f>IF([1]Plan!I19="","",[1]Plan!I19)</f>
        <v>5</v>
      </c>
      <c r="E7" s="187"/>
      <c r="F7" s="216" t="str">
        <f>IF([1]Plan!M19="","",[1]Plan!M19)</f>
        <v/>
      </c>
      <c r="G7" s="202" t="str">
        <f>IF([1]Plan!P19="","",[1]Plan!P19)</f>
        <v/>
      </c>
      <c r="H7" s="218" t="str">
        <f>IF([1]Plan!R19="","",[1]Plan!R19)</f>
        <v/>
      </c>
      <c r="I7" s="219" t="str">
        <f>IF([1]Plan!T19="","",[1]Plan!T19)</f>
        <v/>
      </c>
      <c r="K7" s="131"/>
      <c r="L7" s="134"/>
    </row>
    <row r="8" spans="1:12" ht="12.6" customHeight="1" x14ac:dyDescent="0.2">
      <c r="B8" s="216" t="str">
        <f>IF([1]Plan!D21="","",[1]Plan!D21)</f>
        <v/>
      </c>
      <c r="C8" s="202" t="str">
        <f>IF([1]Plan!G21="","",[1]Plan!G21)</f>
        <v/>
      </c>
      <c r="D8" s="217" t="str">
        <f>IF([1]Plan!I21="","",[1]Plan!I21)</f>
        <v/>
      </c>
      <c r="E8" s="217"/>
      <c r="F8" s="216" t="str">
        <f>IF([1]Plan!M21="","",[1]Plan!M21)</f>
        <v/>
      </c>
      <c r="G8" s="202" t="str">
        <f>IF([1]Plan!P21="","",[1]Plan!P21)</f>
        <v/>
      </c>
      <c r="H8" s="218" t="str">
        <f>IF([1]Plan!R21="","",[1]Plan!R21)</f>
        <v/>
      </c>
      <c r="I8" s="219" t="str">
        <f>IF([1]Plan!T21="","",[1]Plan!T21)</f>
        <v/>
      </c>
      <c r="K8" s="131"/>
      <c r="L8" s="134"/>
    </row>
    <row r="9" spans="1:12" ht="12.6" customHeight="1" x14ac:dyDescent="0.2">
      <c r="B9" s="216" t="str">
        <f>IF([1]Plan!D23="","",[1]Plan!D23)</f>
        <v/>
      </c>
      <c r="C9" s="202" t="str">
        <f>IF([1]Plan!G23="","",[1]Plan!G23)</f>
        <v/>
      </c>
      <c r="D9" s="217" t="str">
        <f>IF([1]Plan!I23="","",[1]Plan!I23)</f>
        <v/>
      </c>
      <c r="E9" s="217"/>
      <c r="F9" s="216" t="str">
        <f>IF(SUM(C5:C11)=SUM(G5:G8),"",IF(AND(F7="",F8=""),"Bankdarlehen",IF(OR(F7="",F8=""),"Bankdarlehen 2","Bankdarlehen 3")))</f>
        <v>Bankdarlehen</v>
      </c>
      <c r="G9" s="202">
        <f>IF(SUM(C5:C11)-SUM(G5:G8)=0,"",SUM(C5:C11)-SUM(G5:G8))</f>
        <v>32984</v>
      </c>
      <c r="H9" s="218">
        <f>IF([1]Plan!R23="","",[1]Plan!R23)</f>
        <v>0.06</v>
      </c>
      <c r="I9" s="219">
        <f>IF([1]Plan!T23="","",[1]Plan!T23)</f>
        <v>10</v>
      </c>
      <c r="K9" s="131"/>
      <c r="L9" s="134"/>
    </row>
    <row r="10" spans="1:12" ht="6" customHeight="1" x14ac:dyDescent="0.2">
      <c r="B10" s="184"/>
      <c r="C10" s="184"/>
      <c r="D10" s="184"/>
      <c r="E10" s="184"/>
      <c r="F10" s="184"/>
      <c r="G10" s="184"/>
      <c r="H10" s="184"/>
      <c r="I10" s="184"/>
      <c r="K10" s="131"/>
      <c r="L10" s="134"/>
    </row>
    <row r="11" spans="1:12" ht="12.6" customHeight="1" thickBot="1" x14ac:dyDescent="0.25">
      <c r="B11" s="216" t="str">
        <f>IF([1]Plan!B25="","",MID([1]Plan!B25,1,20))</f>
        <v>Investitionszuschuss</v>
      </c>
      <c r="C11" s="212">
        <f>IF([1]Plan!I25="","",-[1]Plan!I25)</f>
        <v>-84630</v>
      </c>
      <c r="D11" s="220"/>
      <c r="E11" s="221"/>
      <c r="F11" s="222"/>
      <c r="G11" s="223"/>
      <c r="K11" s="131"/>
      <c r="L11" s="134"/>
    </row>
    <row r="12" spans="1:12" ht="12.6" customHeight="1" thickBot="1" x14ac:dyDescent="0.25">
      <c r="B12" s="224" t="s">
        <v>194</v>
      </c>
      <c r="C12" s="816"/>
      <c r="D12" s="225" t="s">
        <v>506</v>
      </c>
      <c r="E12" s="732"/>
      <c r="F12" s="224" t="s">
        <v>195</v>
      </c>
      <c r="G12" s="732"/>
      <c r="K12" s="131"/>
      <c r="L12" s="134"/>
    </row>
    <row r="13" spans="1:12" ht="17.100000000000001" customHeight="1" x14ac:dyDescent="0.2">
      <c r="K13" s="131"/>
      <c r="L13" s="134"/>
    </row>
    <row r="14" spans="1:12" ht="20.100000000000001" hidden="1" customHeight="1" x14ac:dyDescent="0.2">
      <c r="B14" s="194" t="str">
        <f>[1]Plan!B27</f>
        <v>Rationalisierungsgewinne</v>
      </c>
      <c r="C14" s="194"/>
      <c r="D14" s="194"/>
      <c r="E14" s="194"/>
      <c r="F14" s="194"/>
      <c r="G14" s="194"/>
      <c r="K14" s="131"/>
      <c r="L14" s="134"/>
    </row>
    <row r="15" spans="1:12" ht="12.6" hidden="1" customHeight="1" x14ac:dyDescent="0.2">
      <c r="B15" s="184" t="s">
        <v>196</v>
      </c>
      <c r="C15" s="184"/>
      <c r="D15" s="226">
        <f>IF([1]Plan!G28="","",[1]Plan!G28)</f>
        <v>8.5000000000000006E-2</v>
      </c>
      <c r="E15" s="184" t="s">
        <v>197</v>
      </c>
      <c r="F15" s="184"/>
      <c r="G15" s="226">
        <f>IF([1]Plan!P28="","",[1]Plan!P28)</f>
        <v>-0.38</v>
      </c>
      <c r="K15" s="131"/>
      <c r="L15" s="134"/>
    </row>
    <row r="16" spans="1:12" ht="12.6" hidden="1" customHeight="1" x14ac:dyDescent="0.2">
      <c r="B16" s="184" t="s">
        <v>198</v>
      </c>
      <c r="C16" s="184"/>
      <c r="D16" s="226">
        <f>IF([1]Plan!G30="","",[1]Plan!G30)</f>
        <v>-0.11</v>
      </c>
      <c r="E16" s="184" t="s">
        <v>199</v>
      </c>
      <c r="F16" s="184"/>
      <c r="G16" s="226">
        <f>IF([1]Plan!P30="","",[1]Plan!P30)</f>
        <v>0.1</v>
      </c>
      <c r="K16" s="131"/>
      <c r="L16" s="134"/>
    </row>
    <row r="17" spans="2:12" ht="6" hidden="1" customHeight="1" x14ac:dyDescent="0.2">
      <c r="K17" s="131"/>
      <c r="L17" s="134"/>
    </row>
    <row r="18" spans="2:12" ht="12.6" customHeight="1" x14ac:dyDescent="0.2">
      <c r="B18" s="1077" t="s">
        <v>200</v>
      </c>
      <c r="C18" s="1075" t="s">
        <v>152</v>
      </c>
      <c r="D18" s="1076" t="s">
        <v>153</v>
      </c>
      <c r="E18" s="1076"/>
      <c r="F18" s="1076" t="s">
        <v>154</v>
      </c>
      <c r="G18" s="1076"/>
      <c r="H18" s="1075" t="s">
        <v>201</v>
      </c>
      <c r="I18" s="1078"/>
      <c r="K18" s="131"/>
      <c r="L18" s="134"/>
    </row>
    <row r="19" spans="2:12" ht="12.6" customHeight="1" x14ac:dyDescent="0.2">
      <c r="B19" s="1077" t="s">
        <v>156</v>
      </c>
      <c r="C19" s="1075" t="s">
        <v>157</v>
      </c>
      <c r="D19" s="1076" t="s">
        <v>158</v>
      </c>
      <c r="E19" s="1076"/>
      <c r="F19" s="1076" t="s">
        <v>159</v>
      </c>
      <c r="G19" s="1076"/>
      <c r="H19" s="1078" t="s">
        <v>160</v>
      </c>
      <c r="I19" s="1078"/>
      <c r="K19" s="131"/>
      <c r="L19" s="134"/>
    </row>
    <row r="20" spans="2:12" ht="12.6" customHeight="1" thickBot="1" x14ac:dyDescent="0.25">
      <c r="B20" s="1077"/>
      <c r="C20" s="1075"/>
      <c r="D20" s="183" t="s">
        <v>161</v>
      </c>
      <c r="E20" s="183" t="s">
        <v>162</v>
      </c>
      <c r="F20" s="183" t="s">
        <v>161</v>
      </c>
      <c r="G20" s="183" t="s">
        <v>162</v>
      </c>
      <c r="H20" s="183" t="s">
        <v>163</v>
      </c>
      <c r="I20" s="183" t="s">
        <v>162</v>
      </c>
      <c r="K20" s="131"/>
      <c r="L20" s="134"/>
    </row>
    <row r="21" spans="2:12" ht="12.6" customHeight="1" thickBot="1" x14ac:dyDescent="0.25">
      <c r="B21" s="184" t="str">
        <f>IF([1]Plan!D33="","",[1]Plan!B33&amp;" "&amp;[1]Plan!D33)</f>
        <v>DB Milchkuh</v>
      </c>
      <c r="C21" s="729">
        <f>IF([1]Plan!G33="","",[1]Plan!G33)</f>
        <v>25</v>
      </c>
      <c r="D21" s="186">
        <f>IF([1]Plan!K33="","",[1]Plan!K33*(1+$D$15))</f>
        <v>1761.7145</v>
      </c>
      <c r="E21" s="187"/>
      <c r="F21" s="188">
        <f>IF([1]Plan!M33="","",[1]Plan!M33)</f>
        <v>19995</v>
      </c>
      <c r="G21" s="189"/>
      <c r="H21" s="910">
        <f>IF([1]Plan!P33="","",[1]Plan!P33*(1+$G$15))</f>
        <v>128.03</v>
      </c>
      <c r="I21" s="190"/>
      <c r="K21" s="131"/>
      <c r="L21" s="134"/>
    </row>
    <row r="22" spans="2:12" ht="12.6" customHeight="1" thickBot="1" x14ac:dyDescent="0.25">
      <c r="B22" s="184" t="str">
        <f>IF([1]Plan!D35="","",[1]Plan!B35&amp;" "&amp;[1]Plan!D35)</f>
        <v>DB Kalbinnen</v>
      </c>
      <c r="C22" s="185">
        <f>IF([1]Plan!G35="","",[1]Plan!G35)</f>
        <v>6</v>
      </c>
      <c r="D22" s="730">
        <f>IF([1]Plan!K35="","",[1]Plan!K35*(1+$D$15))</f>
        <v>864.31100000000004</v>
      </c>
      <c r="E22" s="187"/>
      <c r="F22" s="188">
        <f>IF([1]Plan!M35="","",[1]Plan!M35)</f>
        <v>29070</v>
      </c>
      <c r="G22" s="189"/>
      <c r="H22" s="910">
        <f>IF([1]Plan!P35="","",[1]Plan!P35*(1+$G$15))</f>
        <v>37.944000000000003</v>
      </c>
      <c r="I22" s="190"/>
      <c r="K22" s="141"/>
      <c r="L22" s="134"/>
    </row>
    <row r="23" spans="2:12" ht="12.6" customHeight="1" x14ac:dyDescent="0.2">
      <c r="B23" s="184" t="str">
        <f>IF([1]Plan!D37="","",[1]Plan!B37&amp;" "&amp;[1]Plan!D37)</f>
        <v>DB Milchkälber</v>
      </c>
      <c r="C23" s="185">
        <f>IF([1]Plan!G37="","",[1]Plan!G37)</f>
        <v>12</v>
      </c>
      <c r="D23" s="186">
        <f>IF([1]Plan!K37="","",[1]Plan!K37*(1+$D$15))</f>
        <v>8.8969999999999985</v>
      </c>
      <c r="E23" s="202">
        <f>IF(OR(D23="",$C23=""),"",D23*$C23)</f>
        <v>106.76399999999998</v>
      </c>
      <c r="F23" s="188">
        <f>IF([1]Plan!M37="","",[1]Plan!M37)</f>
        <v>0</v>
      </c>
      <c r="G23" s="727">
        <f>IF(OR(F23="",$C23=""),"",-F23*$C23)</f>
        <v>0</v>
      </c>
      <c r="H23" s="909">
        <f>IF([1]Plan!P37="","",[1]Plan!P37*(1+$G$15))</f>
        <v>5.89</v>
      </c>
      <c r="I23" s="728">
        <f>IF(OR(H23="",$C23=""),"",H23*$C23)</f>
        <v>70.679999999999993</v>
      </c>
      <c r="K23" s="131"/>
      <c r="L23" s="134"/>
    </row>
    <row r="24" spans="2:12" ht="12.6" customHeight="1" x14ac:dyDescent="0.2">
      <c r="B24" s="184" t="str">
        <f>IF([1]Plan!D39="","",[1]Plan!B39&amp;" "&amp;[1]Plan!D39)</f>
        <v>DB Masthühner</v>
      </c>
      <c r="C24" s="185">
        <f>IF([1]Plan!G39="","",[1]Plan!G39)</f>
        <v>600</v>
      </c>
      <c r="D24" s="911">
        <f>IF([1]Plan!K39="","",[1]Plan!K39*(1+$D$15))</f>
        <v>0.1085</v>
      </c>
      <c r="E24" s="202">
        <f>IF(OR(D24="",$C24=""),"",D24*$C24)</f>
        <v>65.099999999999994</v>
      </c>
      <c r="F24" s="188">
        <f>IF([1]Plan!M39="","",[1]Plan!M39)</f>
        <v>0</v>
      </c>
      <c r="G24" s="727">
        <f>IF(OR(F24="",$C24=""),"",-F24*$C24)</f>
        <v>0</v>
      </c>
      <c r="H24" s="909">
        <f>IF([1]Plan!P39="","",[1]Plan!P39*(1+$G$15))</f>
        <v>0.186</v>
      </c>
      <c r="I24" s="728">
        <f>IF(OR(H24="",$C24=""),"",H24*$C24)</f>
        <v>111.6</v>
      </c>
      <c r="K24" s="131"/>
      <c r="L24" s="134"/>
    </row>
    <row r="25" spans="2:12" ht="12.6" customHeight="1" x14ac:dyDescent="0.2">
      <c r="B25" s="184" t="str">
        <f>IF([1]Plan!D41="","",[1]Plan!B41&amp;" "&amp;[1]Plan!D41)</f>
        <v>DB Kartoffel</v>
      </c>
      <c r="C25" s="191">
        <f>IF([1]Plan!G41="","",[1]Plan!G41)</f>
        <v>0.4</v>
      </c>
      <c r="D25" s="186">
        <f>IF([1]Plan!K41="","",[1]Plan!K41*(1+$D$15))</f>
        <v>996.03</v>
      </c>
      <c r="E25" s="202">
        <f>IF(OR(D25="",$C25=""),"",D25*$C25)</f>
        <v>398.41200000000003</v>
      </c>
      <c r="F25" s="188">
        <f>IF([1]Plan!M41="","",[1]Plan!M41)</f>
        <v>0</v>
      </c>
      <c r="G25" s="727">
        <f>IF(OR(F25="",$C25=""),"",-F25*$C25)</f>
        <v>0</v>
      </c>
      <c r="H25" s="909">
        <f>IF([1]Plan!P41="","",[1]Plan!P41*(1+$G$15))</f>
        <v>53.754000000000005</v>
      </c>
      <c r="I25" s="728">
        <f>IF(OR(H25="",$C25=""),"",H25*$C25)</f>
        <v>21.501600000000003</v>
      </c>
      <c r="K25" s="131"/>
      <c r="L25" s="134"/>
    </row>
    <row r="26" spans="2:12" ht="12.6" customHeight="1" x14ac:dyDescent="0.2">
      <c r="B26" s="184" t="str">
        <f>IF([1]Plan!D43="","",[1]Plan!B43&amp;" "&amp;[1]Plan!D43)</f>
        <v/>
      </c>
      <c r="C26" s="191" t="str">
        <f>IF([1]Plan!G43="","",[1]Plan!G43)</f>
        <v/>
      </c>
      <c r="D26" s="186" t="str">
        <f>IF([1]Plan!K43="","",[1]Plan!K43*(1+$D$15))</f>
        <v/>
      </c>
      <c r="E26" s="202" t="str">
        <f>IF(OR(D26="",$C26=""),"",D26*$C26)</f>
        <v/>
      </c>
      <c r="F26" s="188" t="str">
        <f>IF([1]Plan!M43="","",[1]Plan!M43)</f>
        <v/>
      </c>
      <c r="G26" s="727"/>
      <c r="H26" s="909" t="str">
        <f>IF([1]Plan!P43="","",[1]Plan!P43*(1+$G$15))</f>
        <v/>
      </c>
      <c r="I26" s="728" t="str">
        <f>IF(OR(H26="",$C26=""),"",H26*$C26)</f>
        <v/>
      </c>
      <c r="K26" s="131"/>
      <c r="L26" s="134"/>
    </row>
    <row r="27" spans="2:12" ht="12.6" customHeight="1" x14ac:dyDescent="0.2">
      <c r="B27" s="184" t="str">
        <f>IF([1]Plan!D45="","",[1]Plan!B45&amp;" "&amp;[1]Plan!D45)</f>
        <v/>
      </c>
      <c r="C27" s="191" t="str">
        <f>IF([1]Plan!G45="","",[1]Plan!G45)</f>
        <v/>
      </c>
      <c r="D27" s="186" t="str">
        <f>IF([1]Plan!K45="","",[1]Plan!K45*(1+$D$15))</f>
        <v/>
      </c>
      <c r="E27" s="202"/>
      <c r="F27" s="188" t="str">
        <f>IF([1]Plan!M45="","",[1]Plan!M45)</f>
        <v/>
      </c>
      <c r="G27" s="727"/>
      <c r="H27" s="909" t="str">
        <f>IF([1]Plan!P45="","",[1]Plan!P45*(1+$G$15))</f>
        <v/>
      </c>
      <c r="I27" s="728"/>
      <c r="K27" s="131"/>
      <c r="L27" s="134"/>
    </row>
    <row r="28" spans="2:12" ht="12.6" customHeight="1" thickBot="1" x14ac:dyDescent="0.25">
      <c r="B28" s="184" t="str">
        <f>IF([1]Plan!D48="","",[1]Plan!B48&amp;" "&amp;[1]Plan!D48)</f>
        <v>VK Feldfutter  - Silage</v>
      </c>
      <c r="C28" s="191">
        <f>IF([1]Plan!G48="","",[1]Plan!G48)</f>
        <v>1.5</v>
      </c>
      <c r="D28" s="186">
        <f>IF([1]Plan!K48="","",[1]Plan!K48*(1+$D$16))</f>
        <v>873.26800000000003</v>
      </c>
      <c r="E28" s="212">
        <f t="shared" ref="E28:E34" si="0">IF(OR(D28="",$C28=""),"",-D28*$C28)</f>
        <v>-1309.902</v>
      </c>
      <c r="F28" s="188">
        <f>IF([1]Plan!M48="","",[1]Plan!M48*(1+$G$16))</f>
        <v>86169.600000000006</v>
      </c>
      <c r="G28" s="723">
        <f t="shared" ref="G28:G34" si="1">IF(OR(F28="",$C28=""),"",F28*$C28)</f>
        <v>129254.40000000001</v>
      </c>
      <c r="H28" s="909">
        <f>IF([1]Plan!P48="","",[1]Plan!P48*(1+$G$15))</f>
        <v>21.514000000000003</v>
      </c>
      <c r="I28" s="724">
        <f t="shared" ref="I28:I34" si="2">IF(OR(H28="",$C28=""),"",H28*$C28)</f>
        <v>32.271000000000001</v>
      </c>
      <c r="K28" s="131"/>
      <c r="L28" s="134"/>
    </row>
    <row r="29" spans="2:12" ht="12.6" customHeight="1" thickBot="1" x14ac:dyDescent="0.25">
      <c r="B29" s="184" t="str">
        <f>IF([1]Plan!D50="","",[1]Plan!B50&amp;" "&amp;[1]Plan!D50)</f>
        <v>VK Dauergrünland 3-schnittig</v>
      </c>
      <c r="C29" s="191">
        <f>IF([1]Plan!G50="","",[1]Plan!G50)</f>
        <v>12.14</v>
      </c>
      <c r="D29" s="186">
        <f>IF([1]Plan!K50="","",[1]Plan!K50*(1+$D$16))</f>
        <v>1446.6949999999999</v>
      </c>
      <c r="E29" s="187"/>
      <c r="F29" s="188">
        <f>IF([1]Plan!M50="","",[1]Plan!M50*(1+$G$16))</f>
        <v>51590.000000000007</v>
      </c>
      <c r="G29" s="189"/>
      <c r="H29" s="909">
        <f>IF([1]Plan!P50="","",[1]Plan!P50*(1+$G$15))</f>
        <v>42.655999999999999</v>
      </c>
      <c r="I29" s="190"/>
      <c r="K29" s="143"/>
      <c r="L29" s="134"/>
    </row>
    <row r="30" spans="2:12" ht="12.6" customHeight="1" x14ac:dyDescent="0.2">
      <c r="B30" s="184" t="str">
        <f>IF([1]Plan!D52="","",[1]Plan!B52&amp;" "&amp;[1]Plan!D52)</f>
        <v>VK Dauergrünland 1-schnittig</v>
      </c>
      <c r="C30" s="191">
        <f>IF([1]Plan!G52="","",[1]Plan!G52)</f>
        <v>1</v>
      </c>
      <c r="D30" s="186">
        <f>IF([1]Plan!K52="","",[1]Plan!K52*(1+$D$16))</f>
        <v>177.02100000000002</v>
      </c>
      <c r="E30" s="230">
        <f t="shared" si="0"/>
        <v>-177.02100000000002</v>
      </c>
      <c r="F30" s="188">
        <f>IF([1]Plan!M52="","",[1]Plan!M52*(1+$G$16))</f>
        <v>17906.900000000001</v>
      </c>
      <c r="G30" s="725">
        <f t="shared" si="1"/>
        <v>17906.900000000001</v>
      </c>
      <c r="H30" s="909">
        <f>IF([1]Plan!P52="","",[1]Plan!P52*(1+$G$15))</f>
        <v>11.407999999999999</v>
      </c>
      <c r="I30" s="726">
        <f t="shared" si="2"/>
        <v>11.407999999999999</v>
      </c>
      <c r="K30" s="143"/>
      <c r="L30" s="134"/>
    </row>
    <row r="31" spans="2:12" ht="12.6" customHeight="1" x14ac:dyDescent="0.2">
      <c r="B31" s="184" t="str">
        <f>IF([1]Plan!D54="","",[1]Plan!B54&amp;" "&amp;[1]Plan!D54)</f>
        <v/>
      </c>
      <c r="C31" s="191" t="str">
        <f>IF([1]Plan!G54="","",[1]Plan!G54)</f>
        <v/>
      </c>
      <c r="D31" s="186" t="str">
        <f>IF([1]Plan!K54="","",[1]Plan!K54*(1+$D$16))</f>
        <v/>
      </c>
      <c r="E31" s="202" t="str">
        <f t="shared" si="0"/>
        <v/>
      </c>
      <c r="F31" s="188" t="str">
        <f>IF([1]Plan!M54="","",[1]Plan!M54*(1+$G$16))</f>
        <v/>
      </c>
      <c r="G31" s="727" t="str">
        <f t="shared" si="1"/>
        <v/>
      </c>
      <c r="H31" s="909" t="str">
        <f>IF([1]Plan!P54="","",[1]Plan!P54*(1+$G$15))</f>
        <v/>
      </c>
      <c r="I31" s="728" t="str">
        <f t="shared" si="2"/>
        <v/>
      </c>
      <c r="K31" s="143"/>
      <c r="L31" s="134"/>
    </row>
    <row r="32" spans="2:12" ht="12.6" customHeight="1" x14ac:dyDescent="0.2">
      <c r="B32" s="184" t="str">
        <f>IF([1]Plan!D56="","",[1]Plan!B56&amp;" "&amp;[1]Plan!D56)</f>
        <v/>
      </c>
      <c r="C32" s="191" t="str">
        <f>IF([1]Plan!G56="","",[1]Plan!G56)</f>
        <v/>
      </c>
      <c r="D32" s="186" t="str">
        <f>IF([1]Plan!K56="","",[1]Plan!K56*(1+$D$16))</f>
        <v/>
      </c>
      <c r="E32" s="202" t="str">
        <f t="shared" si="0"/>
        <v/>
      </c>
      <c r="F32" s="188" t="str">
        <f>IF([1]Plan!M56="","",[1]Plan!M56*(1+$G$16))</f>
        <v/>
      </c>
      <c r="G32" s="727" t="str">
        <f t="shared" si="1"/>
        <v/>
      </c>
      <c r="H32" s="909" t="str">
        <f>IF([1]Plan!P56="","",[1]Plan!P56*(1+$G$15))</f>
        <v/>
      </c>
      <c r="I32" s="728" t="str">
        <f t="shared" si="2"/>
        <v/>
      </c>
      <c r="K32" s="131"/>
      <c r="L32" s="134"/>
    </row>
    <row r="33" spans="2:12" ht="12.6" customHeight="1" x14ac:dyDescent="0.2">
      <c r="B33" s="184" t="str">
        <f>IF([1]Plan!D58="","",[1]Plan!B58&amp;" "&amp;[1]Plan!D58)</f>
        <v/>
      </c>
      <c r="C33" s="191" t="str">
        <f>IF([1]Plan!G58="","",[1]Plan!G58)</f>
        <v/>
      </c>
      <c r="D33" s="186" t="str">
        <f>IF([1]Plan!K58="","",[1]Plan!K58*(1+$D$16))</f>
        <v/>
      </c>
      <c r="E33" s="202" t="str">
        <f t="shared" si="0"/>
        <v/>
      </c>
      <c r="F33" s="188" t="str">
        <f>IF([1]Plan!M58="","",[1]Plan!M58*(1+$G$16))</f>
        <v/>
      </c>
      <c r="G33" s="727" t="str">
        <f t="shared" si="1"/>
        <v/>
      </c>
      <c r="H33" s="909" t="str">
        <f>IF([1]Plan!P58="","",[1]Plan!P58*(1+$G$15))</f>
        <v/>
      </c>
      <c r="I33" s="728" t="str">
        <f t="shared" si="2"/>
        <v/>
      </c>
      <c r="K33" s="131"/>
      <c r="L33" s="134"/>
    </row>
    <row r="34" spans="2:12" ht="12.6" customHeight="1" thickBot="1" x14ac:dyDescent="0.25">
      <c r="B34" s="184" t="str">
        <f>IF([1]Plan!D60="","",[1]Plan!B60&amp;" "&amp;[1]Plan!D60)</f>
        <v/>
      </c>
      <c r="C34" s="191" t="str">
        <f>IF([1]Plan!G60="","",[1]Plan!G60)</f>
        <v/>
      </c>
      <c r="D34" s="186" t="str">
        <f>IF([1]Plan!K60="","",[1]Plan!K60*(1+$D$16))</f>
        <v/>
      </c>
      <c r="E34" s="212" t="str">
        <f t="shared" si="0"/>
        <v/>
      </c>
      <c r="F34" s="188" t="str">
        <f>IF([1]Plan!M60="","",[1]Plan!M60*(1+$G$16))</f>
        <v/>
      </c>
      <c r="G34" s="727" t="str">
        <f t="shared" si="1"/>
        <v/>
      </c>
      <c r="H34" s="909" t="str">
        <f>IF([1]Plan!P60="","",[1]Plan!P60*(1+$G$15))</f>
        <v/>
      </c>
      <c r="I34" s="728" t="str">
        <f t="shared" si="2"/>
        <v/>
      </c>
      <c r="K34" s="131"/>
      <c r="L34" s="134"/>
    </row>
    <row r="35" spans="2:12" ht="12.6" customHeight="1" thickBot="1" x14ac:dyDescent="0.25">
      <c r="B35" s="193" t="s">
        <v>164</v>
      </c>
      <c r="C35" s="193"/>
      <c r="D35" s="193"/>
      <c r="E35" s="571"/>
      <c r="K35" s="131"/>
      <c r="L35" s="134"/>
    </row>
    <row r="36" spans="2:12" ht="17.100000000000001" customHeight="1" x14ac:dyDescent="0.2">
      <c r="K36" s="131"/>
      <c r="L36" s="134"/>
    </row>
    <row r="37" spans="2:12" ht="12.6" customHeight="1" thickBot="1" x14ac:dyDescent="0.25">
      <c r="B37" s="194" t="s">
        <v>165</v>
      </c>
      <c r="C37" s="194"/>
      <c r="D37" s="194"/>
      <c r="E37" s="194"/>
      <c r="F37" s="194" t="s">
        <v>166</v>
      </c>
      <c r="G37" s="195"/>
      <c r="H37" s="194"/>
      <c r="I37" s="195"/>
      <c r="J37" s="196"/>
      <c r="K37" s="131"/>
      <c r="L37" s="134"/>
    </row>
    <row r="38" spans="2:12" ht="12.6" customHeight="1" x14ac:dyDescent="0.2">
      <c r="B38" s="184" t="str">
        <f>IF([1]Plan!B64="","",[1]Plan!B64)</f>
        <v>Maschinenringtätigkeit</v>
      </c>
      <c r="C38" s="197"/>
      <c r="D38" s="197"/>
      <c r="E38" s="202">
        <f>IF([1]Plan!G64="","",[1]Plan!G64)</f>
        <v>1755</v>
      </c>
      <c r="F38" s="1071" t="s">
        <v>167</v>
      </c>
      <c r="G38" s="1072"/>
      <c r="H38" s="1071" t="s">
        <v>168</v>
      </c>
      <c r="I38" s="1079"/>
      <c r="K38" s="131"/>
      <c r="L38" s="134"/>
    </row>
    <row r="39" spans="2:12" ht="12.6" customHeight="1" x14ac:dyDescent="0.2">
      <c r="B39" s="184" t="str">
        <f>IF([1]Plan!B66="","",[1]Plan!B66)</f>
        <v>Holztransporte</v>
      </c>
      <c r="C39" s="197"/>
      <c r="D39" s="197"/>
      <c r="E39" s="202">
        <f>IF([1]Plan!G66="","",[1]Plan!G66)</f>
        <v>1043</v>
      </c>
      <c r="F39" s="1071"/>
      <c r="G39" s="1073"/>
      <c r="H39" s="1071"/>
      <c r="I39" s="1080"/>
      <c r="K39" s="131"/>
      <c r="L39" s="134"/>
    </row>
    <row r="40" spans="2:12" ht="12.6" customHeight="1" thickBot="1" x14ac:dyDescent="0.25">
      <c r="B40" s="184" t="str">
        <f>IF([1]Plan!B68="","",[1]Plan!B68)</f>
        <v/>
      </c>
      <c r="C40" s="197"/>
      <c r="D40" s="197"/>
      <c r="E40" s="212" t="str">
        <f>IF([1]Plan!G68="","",[1]Plan!G68)</f>
        <v/>
      </c>
      <c r="F40" s="1071"/>
      <c r="G40" s="1074"/>
      <c r="H40" s="1071"/>
      <c r="I40" s="1081"/>
      <c r="K40" s="131"/>
      <c r="L40" s="134"/>
    </row>
    <row r="41" spans="2:12" ht="12.6" customHeight="1" thickBot="1" x14ac:dyDescent="0.25">
      <c r="B41" s="200" t="s">
        <v>169</v>
      </c>
      <c r="C41" s="200"/>
      <c r="D41" s="200"/>
      <c r="E41" s="571"/>
      <c r="K41" s="131"/>
      <c r="L41" s="134"/>
    </row>
    <row r="42" spans="2:12" ht="17.100000000000001" customHeight="1" x14ac:dyDescent="0.2">
      <c r="K42" s="131"/>
      <c r="L42" s="134"/>
    </row>
    <row r="43" spans="2:12" ht="12.6" customHeight="1" x14ac:dyDescent="0.2">
      <c r="B43" s="194" t="s">
        <v>170</v>
      </c>
      <c r="C43" s="194"/>
      <c r="D43" s="183" t="s">
        <v>171</v>
      </c>
      <c r="E43" s="194"/>
      <c r="F43" s="194" t="s">
        <v>172</v>
      </c>
      <c r="G43" s="195"/>
      <c r="H43" s="194"/>
      <c r="I43" s="195"/>
      <c r="K43" s="131"/>
      <c r="L43" s="134"/>
    </row>
    <row r="44" spans="2:12" ht="12.6" customHeight="1" x14ac:dyDescent="0.2">
      <c r="B44" s="184" t="str">
        <f>IF([1]Plan!B71="","",[1]Plan!B71)</f>
        <v>Ausgleichszulage</v>
      </c>
      <c r="C44" s="197"/>
      <c r="D44" s="197"/>
      <c r="E44" s="202">
        <f>IF([1]Plan!G71="","",[1]Plan!G71)</f>
        <v>2850</v>
      </c>
      <c r="F44" s="201" t="s">
        <v>202</v>
      </c>
      <c r="G44" s="201"/>
      <c r="H44" s="201"/>
      <c r="I44" s="202" t="str">
        <f>IF(Ist!I35="","noch leer",Ist!I35)</f>
        <v>noch leer</v>
      </c>
      <c r="J44" s="203"/>
      <c r="K44" s="131"/>
      <c r="L44" s="134"/>
    </row>
    <row r="45" spans="2:12" ht="12.6" customHeight="1" thickBot="1" x14ac:dyDescent="0.25">
      <c r="B45" s="184" t="str">
        <f>IF([1]Plan!B73="","",[1]Plan!B73)</f>
        <v>EBP</v>
      </c>
      <c r="C45" s="197"/>
      <c r="D45" s="197"/>
      <c r="E45" s="202">
        <f>IF([1]Plan!G73="","",[1]Plan!G73)</f>
        <v>1690</v>
      </c>
      <c r="F45" s="204" t="s">
        <v>122</v>
      </c>
      <c r="G45" s="204"/>
      <c r="H45" s="204"/>
      <c r="I45" s="212" t="str">
        <f>IF(AND(Fin!D16="",Fin!E16="",Fin!F16=""),"noch leer",IF(Fin!C20&lt;&gt;"",Fin!D16,IF(Fin!C21&lt;&gt;"",Fin!E16,IF(Fin!C22&lt;&gt;"",Fin!F16,""))))</f>
        <v>noch leer</v>
      </c>
      <c r="J45" s="203"/>
      <c r="K45" s="131"/>
      <c r="L45" s="134"/>
    </row>
    <row r="46" spans="2:12" ht="12.6" customHeight="1" thickBot="1" x14ac:dyDescent="0.25">
      <c r="B46" s="184" t="str">
        <f>IF([1]Plan!B75="","",[1]Plan!B75)</f>
        <v>Tierptämien</v>
      </c>
      <c r="C46" s="197"/>
      <c r="D46" s="197"/>
      <c r="E46" s="202">
        <f>IF([1]Plan!G75="","",[1]Plan!G75)</f>
        <v>3310</v>
      </c>
      <c r="F46" s="205" t="s">
        <v>203</v>
      </c>
      <c r="G46" s="205"/>
      <c r="H46" s="205"/>
      <c r="I46" s="571"/>
      <c r="J46" s="203"/>
      <c r="K46" s="131"/>
      <c r="L46" s="134"/>
    </row>
    <row r="47" spans="2:12" ht="12.6" customHeight="1" x14ac:dyDescent="0.2">
      <c r="B47" s="184" t="str">
        <f>IF([1]Plan!B77="","",[1]Plan!B77)</f>
        <v>ÖPUL</v>
      </c>
      <c r="C47" s="197"/>
      <c r="D47" s="197"/>
      <c r="E47" s="202">
        <f>IF([1]Plan!G77="","",[1]Plan!G77)</f>
        <v>1906</v>
      </c>
      <c r="F47" s="197" t="s">
        <v>204</v>
      </c>
      <c r="G47" s="197"/>
      <c r="H47" s="197"/>
      <c r="I47" s="227" t="str">
        <f>IF(Fin!G35="","noch leer",Fin!G35)</f>
        <v>noch leer</v>
      </c>
      <c r="K47" s="131"/>
      <c r="L47" s="134"/>
    </row>
    <row r="48" spans="2:12" ht="12.6" customHeight="1" thickBot="1" x14ac:dyDescent="0.25">
      <c r="B48" s="184" t="str">
        <f>IF([1]Plan!B79="","",[1]Plan!B79)</f>
        <v/>
      </c>
      <c r="C48" s="197"/>
      <c r="D48" s="197"/>
      <c r="E48" s="202" t="str">
        <f>IF([1]Plan!G79="","",[1]Plan!G79)</f>
        <v/>
      </c>
      <c r="F48" s="205" t="s">
        <v>205</v>
      </c>
      <c r="G48" s="205"/>
      <c r="H48" s="205"/>
      <c r="I48" s="228" t="str">
        <f>IF(G12="","noch leer",G12)</f>
        <v>noch leer</v>
      </c>
      <c r="K48" s="131"/>
      <c r="L48" s="134"/>
    </row>
    <row r="49" spans="2:12" ht="12.6" customHeight="1" thickBot="1" x14ac:dyDescent="0.25">
      <c r="B49" s="184" t="str">
        <f>IF([1]Plan!B81="","",[1]Plan!B81)</f>
        <v/>
      </c>
      <c r="C49" s="197"/>
      <c r="D49" s="197"/>
      <c r="E49" s="212" t="str">
        <f>IF([1]Plan!G81="","",[1]Plan!G81)</f>
        <v/>
      </c>
      <c r="F49" s="229" t="s">
        <v>206</v>
      </c>
      <c r="G49" s="229"/>
      <c r="H49" s="229"/>
      <c r="I49" s="213"/>
      <c r="K49" s="131"/>
      <c r="L49" s="134"/>
    </row>
    <row r="50" spans="2:12" ht="12.6" customHeight="1" thickBot="1" x14ac:dyDescent="0.25">
      <c r="B50" s="193" t="s">
        <v>178</v>
      </c>
      <c r="C50" s="193"/>
      <c r="D50" s="193"/>
      <c r="E50" s="571"/>
      <c r="F50" s="209"/>
      <c r="K50" s="131"/>
      <c r="L50" s="134"/>
    </row>
    <row r="51" spans="2:12" ht="17.100000000000001" customHeight="1" thickBot="1" x14ac:dyDescent="0.25">
      <c r="K51" s="131"/>
      <c r="L51" s="134"/>
    </row>
    <row r="52" spans="2:12" ht="12.6" customHeight="1" thickBot="1" x14ac:dyDescent="0.25">
      <c r="B52" s="193" t="s">
        <v>179</v>
      </c>
      <c r="C52" s="193"/>
      <c r="D52" s="193"/>
      <c r="E52" s="571"/>
      <c r="K52" s="131"/>
      <c r="L52" s="134"/>
    </row>
    <row r="53" spans="2:12" ht="12.6" customHeight="1" x14ac:dyDescent="0.2">
      <c r="B53" s="210" t="s">
        <v>180</v>
      </c>
      <c r="C53" s="211"/>
      <c r="D53" s="211"/>
      <c r="E53" s="230" t="str">
        <f>IF(Ist!E38="","noch leer",Ist!E38)</f>
        <v>noch leer</v>
      </c>
      <c r="K53" s="131"/>
      <c r="L53" s="134"/>
    </row>
    <row r="54" spans="2:12" ht="12.6" customHeight="1" x14ac:dyDescent="0.2">
      <c r="B54" s="210" t="s">
        <v>207</v>
      </c>
      <c r="C54" s="211"/>
      <c r="D54" s="211"/>
      <c r="E54" s="202" t="str">
        <f>IF(E12="","noch leer",-E12)</f>
        <v>noch leer</v>
      </c>
      <c r="K54" s="131"/>
      <c r="L54" s="134"/>
    </row>
    <row r="55" spans="2:12" ht="12.6" customHeight="1" thickBot="1" x14ac:dyDescent="0.25">
      <c r="B55" s="210" t="s">
        <v>208</v>
      </c>
      <c r="C55" s="211"/>
      <c r="D55" s="211"/>
      <c r="E55" s="212" t="str">
        <f>IF(Fin!F46="","",Fin!F46)</f>
        <v>noch leer</v>
      </c>
      <c r="K55" s="131"/>
      <c r="L55" s="134"/>
    </row>
    <row r="56" spans="2:12" ht="12.6" customHeight="1" thickBot="1" x14ac:dyDescent="0.25">
      <c r="B56" s="855" t="s">
        <v>209</v>
      </c>
      <c r="C56" s="229"/>
      <c r="D56" s="229"/>
      <c r="E56" s="213"/>
      <c r="K56" s="131"/>
      <c r="L56" s="134"/>
    </row>
    <row r="57" spans="2:12" ht="12.6" customHeight="1" thickBot="1" x14ac:dyDescent="0.25">
      <c r="B57" s="855" t="s">
        <v>181</v>
      </c>
      <c r="C57" s="229"/>
      <c r="D57" s="229"/>
      <c r="E57" s="213"/>
      <c r="K57" s="131"/>
      <c r="L57" s="134"/>
    </row>
    <row r="58" spans="2:12" ht="12.6" customHeight="1" thickBot="1" x14ac:dyDescent="0.25">
      <c r="B58" s="856" t="s">
        <v>530</v>
      </c>
      <c r="C58" s="229"/>
      <c r="D58" s="229"/>
      <c r="E58" s="213"/>
      <c r="K58" s="131"/>
      <c r="L58" s="134"/>
    </row>
    <row r="59" spans="2:12" ht="12.6" customHeight="1" x14ac:dyDescent="0.2">
      <c r="B59" s="184" t="s">
        <v>182</v>
      </c>
      <c r="C59" s="214"/>
      <c r="D59" s="214"/>
      <c r="E59" s="230">
        <f>IF([1]Plan!G84="","",[1]Plan!G84)</f>
        <v>4032</v>
      </c>
      <c r="K59" s="131"/>
      <c r="L59" s="134"/>
    </row>
    <row r="60" spans="2:12" ht="15.95" customHeight="1" thickBot="1" x14ac:dyDescent="0.25">
      <c r="B60" s="184" t="s">
        <v>183</v>
      </c>
      <c r="C60" s="214"/>
      <c r="D60" s="214"/>
      <c r="E60" s="212">
        <f>IF([1]Plan!G86="","",[1]Plan!G86)</f>
        <v>14950</v>
      </c>
      <c r="K60" s="131"/>
      <c r="L60" s="134"/>
    </row>
    <row r="61" spans="2:12" ht="11.25" customHeight="1" thickBot="1" x14ac:dyDescent="0.25">
      <c r="B61" s="1070" t="s">
        <v>184</v>
      </c>
      <c r="C61" s="1070"/>
      <c r="D61" s="1070"/>
      <c r="E61" s="208"/>
      <c r="K61" s="131"/>
      <c r="L61" s="134"/>
    </row>
    <row r="62" spans="2:12" ht="11.25" customHeight="1" x14ac:dyDescent="0.2">
      <c r="K62" s="131"/>
      <c r="L62" s="134"/>
    </row>
  </sheetData>
  <sheetProtection algorithmName="SHA-512" hashValue="t+ru2VCzI9dF/2scyoWWs4rSyRuhXOKcieyNv4B+AhAtULqV685+isKmfa604SB8X57UOT0RZmWMsVaBlQmN9Q==" saltValue="II4DA6pKP5pgx5kA22x9+w==" spinCount="100000" sheet="1" objects="1" scenarios="1"/>
  <mergeCells count="11">
    <mergeCell ref="L1:L2"/>
    <mergeCell ref="B18:B20"/>
    <mergeCell ref="F18:G19"/>
    <mergeCell ref="H18:I19"/>
    <mergeCell ref="I38:I40"/>
    <mergeCell ref="B61:D61"/>
    <mergeCell ref="F38:F40"/>
    <mergeCell ref="H38:H40"/>
    <mergeCell ref="G38:G40"/>
    <mergeCell ref="C18:C20"/>
    <mergeCell ref="D18:E19"/>
  </mergeCells>
  <phoneticPr fontId="4" type="noConversion"/>
  <conditionalFormatting sqref="I38:I40 G38:G40">
    <cfRule type="expression" dxfId="106" priority="1" stopIfTrue="1">
      <formula>F$38=""</formula>
    </cfRule>
  </conditionalFormatting>
  <conditionalFormatting sqref="C11:E11 B21:D25 C5:E7 F21:F25 H21:H25 B31:B34 H28:H30 F28:F30 B28:D30 B26:B27">
    <cfRule type="expression" dxfId="105" priority="2" stopIfTrue="1">
      <formula>$B5=""</formula>
    </cfRule>
  </conditionalFormatting>
  <conditionalFormatting sqref="G5:I6 G9:I9">
    <cfRule type="expression" dxfId="104" priority="3" stopIfTrue="1">
      <formula>$F5=""</formula>
    </cfRule>
  </conditionalFormatting>
  <conditionalFormatting sqref="E59:E60">
    <cfRule type="cellIs" dxfId="103" priority="4" stopIfTrue="1" operator="equal">
      <formula>""</formula>
    </cfRule>
  </conditionalFormatting>
  <conditionalFormatting sqref="E53:E55 I47 I44:I45">
    <cfRule type="cellIs" dxfId="102" priority="5" stopIfTrue="1" operator="equal">
      <formula>""</formula>
    </cfRule>
    <cfRule type="cellIs" dxfId="101" priority="6" stopIfTrue="1" operator="equal">
      <formula>"noch leer"</formula>
    </cfRule>
  </conditionalFormatting>
  <conditionalFormatting sqref="G21:G25 I21:I25 E21:E25 E28:E30 I28:I30 G28:G30">
    <cfRule type="expression" dxfId="100" priority="7" stopIfTrue="1">
      <formula>$B21=""</formula>
    </cfRule>
  </conditionalFormatting>
  <conditionalFormatting sqref="I48">
    <cfRule type="cellIs" dxfId="99" priority="9" stopIfTrue="1" operator="equal">
      <formula>"noch leer"</formula>
    </cfRule>
  </conditionalFormatting>
  <printOptions horizontalCentered="1"/>
  <pageMargins left="0.39370078740157483" right="0.39370078740157483" top="0.59055118110236227" bottom="0.39370078740157483" header="0" footer="0"/>
  <pageSetup paperSize="9" orientation="portrait" blackAndWhite="1" horizontalDpi="4294967295" r:id="rId1"/>
  <headerFooter alignWithMargins="0">
    <oddHeader>&amp;R&amp;8&amp;U&amp;F - Seite &amp;P/&amp;N</oddHeader>
  </headerFooter>
  <rowBreaks count="2" manualBreakCount="2">
    <brk id="61" max="16383" man="1"/>
    <brk id="102"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tabColor indexed="10"/>
  </sheetPr>
  <dimension ref="A1:L44"/>
  <sheetViews>
    <sheetView showGridLines="0" workbookViewId="0">
      <pane ySplit="2" topLeftCell="A3" activePane="bottomLeft" state="frozen"/>
      <selection activeCell="F326" sqref="F326"/>
      <selection pane="bottomLeft" activeCell="E7" sqref="E7"/>
    </sheetView>
  </sheetViews>
  <sheetFormatPr baseColWidth="10" defaultColWidth="0" defaultRowHeight="0" customHeight="1" zeroHeight="1" x14ac:dyDescent="0.2"/>
  <cols>
    <col min="1" max="1" width="1.7109375" style="179" customWidth="1"/>
    <col min="2" max="2" width="17.7109375" style="179" customWidth="1"/>
    <col min="3" max="3" width="7.7109375" style="179" customWidth="1"/>
    <col min="4" max="9" width="10" style="179" customWidth="1"/>
    <col min="10" max="10" width="1.7109375" style="179" customWidth="1"/>
    <col min="11" max="11" width="0.85546875" style="179" customWidth="1"/>
    <col min="12" max="12" width="20.7109375" style="179" customWidth="1"/>
    <col min="13" max="16384" width="11.42578125" style="179" hidden="1"/>
  </cols>
  <sheetData>
    <row r="1" spans="1:12" ht="24.95" customHeight="1" x14ac:dyDescent="0.2">
      <c r="A1" s="180"/>
      <c r="B1" s="181" t="s">
        <v>150</v>
      </c>
      <c r="C1" s="181"/>
      <c r="D1" s="181"/>
      <c r="E1" s="181"/>
      <c r="F1" s="181"/>
      <c r="G1" s="181"/>
      <c r="H1" s="181"/>
      <c r="I1" s="181"/>
      <c r="J1" s="181"/>
      <c r="K1" s="130"/>
      <c r="L1" s="1039" t="s">
        <v>101</v>
      </c>
    </row>
    <row r="2" spans="1:12" ht="9.9499999999999993" customHeight="1" x14ac:dyDescent="0.2">
      <c r="K2" s="131"/>
      <c r="L2" s="1040"/>
    </row>
    <row r="3" spans="1:12" ht="15.95" customHeight="1" x14ac:dyDescent="0.2">
      <c r="B3" s="1077" t="s">
        <v>151</v>
      </c>
      <c r="C3" s="1075" t="s">
        <v>152</v>
      </c>
      <c r="D3" s="1082" t="s">
        <v>153</v>
      </c>
      <c r="E3" s="1082"/>
      <c r="F3" s="1082" t="s">
        <v>154</v>
      </c>
      <c r="G3" s="1082"/>
      <c r="H3" s="1075" t="s">
        <v>155</v>
      </c>
      <c r="I3" s="1078"/>
      <c r="K3" s="131"/>
      <c r="L3" s="134"/>
    </row>
    <row r="4" spans="1:12" ht="15.95" customHeight="1" x14ac:dyDescent="0.2">
      <c r="B4" s="1077" t="s">
        <v>156</v>
      </c>
      <c r="C4" s="1075" t="s">
        <v>157</v>
      </c>
      <c r="D4" s="1082" t="s">
        <v>158</v>
      </c>
      <c r="E4" s="1082"/>
      <c r="F4" s="1082" t="s">
        <v>159</v>
      </c>
      <c r="G4" s="1082"/>
      <c r="H4" s="1078" t="s">
        <v>160</v>
      </c>
      <c r="I4" s="1078"/>
      <c r="K4" s="131"/>
      <c r="L4" s="134"/>
    </row>
    <row r="5" spans="1:12" ht="15.95" customHeight="1" x14ac:dyDescent="0.2">
      <c r="B5" s="1077"/>
      <c r="C5" s="1075"/>
      <c r="D5" s="183" t="s">
        <v>161</v>
      </c>
      <c r="E5" s="183" t="s">
        <v>162</v>
      </c>
      <c r="F5" s="183" t="s">
        <v>161</v>
      </c>
      <c r="G5" s="183" t="s">
        <v>162</v>
      </c>
      <c r="H5" s="183" t="s">
        <v>163</v>
      </c>
      <c r="I5" s="183" t="s">
        <v>162</v>
      </c>
      <c r="K5" s="131"/>
      <c r="L5" s="134"/>
    </row>
    <row r="6" spans="1:12" ht="15.95" customHeight="1" thickBot="1" x14ac:dyDescent="0.25">
      <c r="B6" s="184" t="str">
        <f>IF([1]Ist!D13="","",[1]Ist!B13&amp;" "&amp;[1]Ist!D13)</f>
        <v>DB Milchkuh</v>
      </c>
      <c r="C6" s="185">
        <f>IF([1]Ist!G13="","",[1]Ist!G13)</f>
        <v>13</v>
      </c>
      <c r="D6" s="186">
        <f>IF([1]Ist!K13="","",[1]Ist!K13)</f>
        <v>1623.7</v>
      </c>
      <c r="E6" s="212">
        <f>C6*D6</f>
        <v>21108.100000000002</v>
      </c>
      <c r="F6" s="188">
        <f>IF([1]Ist!M13="","",[1]Ist!M13)</f>
        <v>19995</v>
      </c>
      <c r="G6" s="723">
        <f>-C6*F6</f>
        <v>-259935</v>
      </c>
      <c r="H6" s="909">
        <f>IF([1]Ist!O13="","",[1]Ist!O13)</f>
        <v>206.5</v>
      </c>
      <c r="I6" s="724">
        <f>C6*H6</f>
        <v>2684.5</v>
      </c>
      <c r="K6" s="131"/>
      <c r="L6" s="134"/>
    </row>
    <row r="7" spans="1:12" ht="15.95" customHeight="1" thickBot="1" x14ac:dyDescent="0.25">
      <c r="B7" s="184" t="str">
        <f>IF([1]Ist!D15="","",[1]Ist!B15&amp;" "&amp;[1]Ist!D15)</f>
        <v>DB Kalbinnen</v>
      </c>
      <c r="C7" s="185">
        <f>IF([1]Ist!G15="","",[1]Ist!G15)</f>
        <v>4</v>
      </c>
      <c r="D7" s="186">
        <f>IF([1]Ist!K15="","",[1]Ist!K15)</f>
        <v>796.6</v>
      </c>
      <c r="E7" s="187"/>
      <c r="F7" s="188">
        <f>IF([1]Ist!M15="","",[1]Ist!M15)</f>
        <v>29070</v>
      </c>
      <c r="G7" s="189"/>
      <c r="H7" s="909">
        <f>IF([1]Ist!O15="","",[1]Ist!O15)</f>
        <v>61.2</v>
      </c>
      <c r="I7" s="190"/>
      <c r="K7" s="131"/>
      <c r="L7" s="134"/>
    </row>
    <row r="8" spans="1:12" ht="15.95" customHeight="1" x14ac:dyDescent="0.2">
      <c r="B8" s="184" t="str">
        <f>IF([1]Ist!D17="","",[1]Ist!B17&amp;" "&amp;[1]Ist!D17)</f>
        <v>DB Milchkälber</v>
      </c>
      <c r="C8" s="185">
        <f>IF([1]Ist!G17="","",[1]Ist!G17)</f>
        <v>5</v>
      </c>
      <c r="D8" s="186">
        <f>IF([1]Ist!K17="","",[1]Ist!K17)</f>
        <v>8.1999999999999993</v>
      </c>
      <c r="E8" s="230">
        <f>C8*D8</f>
        <v>41</v>
      </c>
      <c r="F8" s="188">
        <f>IF([1]Ist!M17="","",[1]Ist!M17)</f>
        <v>0</v>
      </c>
      <c r="G8" s="725">
        <f>-C8*F8</f>
        <v>0</v>
      </c>
      <c r="H8" s="909">
        <f>IF([1]Ist!O17="","",[1]Ist!O17)</f>
        <v>9.5</v>
      </c>
      <c r="I8" s="726">
        <f>C8*H8</f>
        <v>47.5</v>
      </c>
      <c r="K8" s="131"/>
      <c r="L8" s="134"/>
    </row>
    <row r="9" spans="1:12" ht="15.95" customHeight="1" x14ac:dyDescent="0.2">
      <c r="B9" s="184" t="str">
        <f>IF([1]Ist!D19="","",[1]Ist!B19&amp;" "&amp;[1]Ist!D19)</f>
        <v>DB Masthühner</v>
      </c>
      <c r="C9" s="185">
        <f>IF([1]Ist!G19="","",[1]Ist!G19)</f>
        <v>450</v>
      </c>
      <c r="D9" s="911">
        <f>IF([1]Ist!K19="","",[1]Ist!K19)</f>
        <v>0.1</v>
      </c>
      <c r="E9" s="202">
        <f>C9*D9</f>
        <v>45</v>
      </c>
      <c r="F9" s="188">
        <f>IF([1]Ist!M19="","",[1]Ist!M19)</f>
        <v>0</v>
      </c>
      <c r="G9" s="727">
        <f>-C9*F9</f>
        <v>0</v>
      </c>
      <c r="H9" s="909">
        <f>IF([1]Ist!O19="","",[1]Ist!O19)</f>
        <v>0.3</v>
      </c>
      <c r="I9" s="728">
        <f>C9*H9</f>
        <v>135</v>
      </c>
      <c r="K9" s="131"/>
      <c r="L9" s="134"/>
    </row>
    <row r="10" spans="1:12" ht="15.95" customHeight="1" x14ac:dyDescent="0.2">
      <c r="B10" s="184" t="str">
        <f>IF([1]Ist!D21="","",[1]Ist!B21&amp;" "&amp;[1]Ist!D21)</f>
        <v>DB Kartoffel</v>
      </c>
      <c r="C10" s="191">
        <f>IF([1]Ist!G21="","",[1]Ist!G21)</f>
        <v>0.4</v>
      </c>
      <c r="D10" s="186">
        <f>IF([1]Ist!K21="","",[1]Ist!K21)</f>
        <v>918</v>
      </c>
      <c r="E10" s="202">
        <f>C10*D10</f>
        <v>367.20000000000005</v>
      </c>
      <c r="F10" s="188">
        <f>IF([1]Ist!M21="","",[1]Ist!M21)</f>
        <v>0</v>
      </c>
      <c r="G10" s="727">
        <f>-C10*F10</f>
        <v>0</v>
      </c>
      <c r="H10" s="909">
        <f>IF([1]Ist!O21="","",[1]Ist!O21)</f>
        <v>86.7</v>
      </c>
      <c r="I10" s="728">
        <f>C10*H10</f>
        <v>34.68</v>
      </c>
      <c r="K10" s="131"/>
      <c r="L10" s="134"/>
    </row>
    <row r="11" spans="1:12" ht="15.95" customHeight="1" x14ac:dyDescent="0.2">
      <c r="B11" s="184" t="str">
        <f>IF([1]Ist!D23="","",[1]Ist!B23&amp;" "&amp;[1]Ist!D23)</f>
        <v/>
      </c>
      <c r="C11" s="191" t="str">
        <f>IF([1]Ist!G23="","",[1]Ist!G23)</f>
        <v/>
      </c>
      <c r="D11" s="186" t="str">
        <f>IF([1]Ist!K23="","",[1]Ist!K23)</f>
        <v/>
      </c>
      <c r="E11" s="202"/>
      <c r="F11" s="188" t="str">
        <f>IF([1]Ist!M23="","",[1]Ist!M23)</f>
        <v/>
      </c>
      <c r="G11" s="727"/>
      <c r="H11" s="909" t="str">
        <f>IF([1]Ist!O23="","",[1]Ist!O23)</f>
        <v/>
      </c>
      <c r="I11" s="728"/>
      <c r="K11" s="131"/>
      <c r="L11" s="134"/>
    </row>
    <row r="12" spans="1:12" ht="15.95" customHeight="1" x14ac:dyDescent="0.2">
      <c r="B12" s="184" t="str">
        <f>IF([1]Ist!D25="","",[1]Ist!B25&amp;" "&amp;[1]Ist!D25)</f>
        <v/>
      </c>
      <c r="C12" s="191" t="str">
        <f>IF([1]Ist!G25="","",[1]Ist!G25)</f>
        <v/>
      </c>
      <c r="D12" s="186" t="str">
        <f>IF([1]Ist!K25="","",[1]Ist!K25)</f>
        <v/>
      </c>
      <c r="E12" s="202"/>
      <c r="F12" s="188" t="str">
        <f>IF([1]Ist!M25="","",[1]Ist!M25)</f>
        <v/>
      </c>
      <c r="G12" s="727"/>
      <c r="H12" s="909" t="str">
        <f>IF([1]Ist!O25="","",[1]Ist!O25)</f>
        <v/>
      </c>
      <c r="I12" s="728"/>
      <c r="K12" s="131"/>
      <c r="L12" s="134"/>
    </row>
    <row r="13" spans="1:12" ht="15.95" customHeight="1" thickBot="1" x14ac:dyDescent="0.25">
      <c r="B13" s="184" t="str">
        <f>IF([1]Ist!D27="","",[1]Ist!B27&amp;" "&amp;[1]Ist!D27)</f>
        <v>VK Feldfutter - Heu</v>
      </c>
      <c r="C13" s="191">
        <f>IF([1]Ist!G27="","",[1]Ist!G27)</f>
        <v>1.5</v>
      </c>
      <c r="D13" s="186">
        <f>IF([1]Ist!K27="","",[1]Ist!K27)</f>
        <v>831.3</v>
      </c>
      <c r="E13" s="202">
        <f>-C13*D13</f>
        <v>-1246.9499999999998</v>
      </c>
      <c r="F13" s="188">
        <f>IF([1]Ist!M27="","",[1]Ist!M27)</f>
        <v>58242</v>
      </c>
      <c r="G13" s="727">
        <f>C13*F13</f>
        <v>87363</v>
      </c>
      <c r="H13" s="909">
        <f>IF([1]Ist!O27="","",[1]Ist!O27)</f>
        <v>43.9</v>
      </c>
      <c r="I13" s="728">
        <f>C13*H13</f>
        <v>65.849999999999994</v>
      </c>
      <c r="K13" s="131"/>
      <c r="L13" s="134"/>
    </row>
    <row r="14" spans="1:12" ht="15.95" customHeight="1" thickBot="1" x14ac:dyDescent="0.25">
      <c r="B14" s="184" t="str">
        <f>IF([1]Ist!D29="","",[1]Ist!B29&amp;" "&amp;[1]Ist!D29)</f>
        <v>VK Dauergrünland 3-schnittig</v>
      </c>
      <c r="C14" s="191">
        <f>IF([1]Ist!G29="","",[1]Ist!G29)</f>
        <v>7.24</v>
      </c>
      <c r="D14" s="186">
        <f>IF([1]Ist!K29="","",[1]Ist!K29)</f>
        <v>1625.5</v>
      </c>
      <c r="E14" s="187"/>
      <c r="F14" s="188">
        <f>IF([1]Ist!M29="","",[1]Ist!M29)</f>
        <v>46900</v>
      </c>
      <c r="G14" s="189"/>
      <c r="H14" s="909">
        <f>IF([1]Ist!O29="","",[1]Ist!O29)</f>
        <v>68.8</v>
      </c>
      <c r="I14" s="190"/>
      <c r="K14" s="131"/>
      <c r="L14" s="134"/>
    </row>
    <row r="15" spans="1:12" ht="15.95" customHeight="1" thickBot="1" x14ac:dyDescent="0.25">
      <c r="B15" s="184" t="str">
        <f>IF([1]Ist!D31="","",[1]Ist!B31&amp;" "&amp;[1]Ist!D31)</f>
        <v>VK Dauergrünland 1-schnittig</v>
      </c>
      <c r="C15" s="191">
        <f>IF([1]Ist!G31="","",[1]Ist!G31)</f>
        <v>1</v>
      </c>
      <c r="D15" s="186">
        <f>IF([1]Ist!K31="","",[1]Ist!K31)</f>
        <v>198.9</v>
      </c>
      <c r="E15" s="187"/>
      <c r="F15" s="188">
        <f>IF([1]Ist!M31="","",[1]Ist!M31)</f>
        <v>16279</v>
      </c>
      <c r="G15" s="189"/>
      <c r="H15" s="909">
        <f>IF([1]Ist!O31="","",[1]Ist!O31)</f>
        <v>18.399999999999999</v>
      </c>
      <c r="I15" s="190"/>
      <c r="K15" s="131"/>
      <c r="L15" s="134"/>
    </row>
    <row r="16" spans="1:12" ht="15.95" customHeight="1" x14ac:dyDescent="0.2">
      <c r="B16" s="184" t="str">
        <f>IF([1]Ist!D33="","",[1]Ist!B33&amp;" "&amp;[1]Ist!D33)</f>
        <v/>
      </c>
      <c r="C16" s="191" t="str">
        <f>IF([1]Ist!G33="","",[1]Ist!G33)</f>
        <v/>
      </c>
      <c r="D16" s="186" t="str">
        <f>IF([1]Ist!K33="","",[1]Ist!K33)</f>
        <v/>
      </c>
      <c r="E16" s="230"/>
      <c r="F16" s="188" t="str">
        <f>IF([1]Ist!M33="","",[1]Ist!M33)</f>
        <v/>
      </c>
      <c r="G16" s="725"/>
      <c r="H16" s="909" t="str">
        <f>IF([1]Ist!O33="","",[1]Ist!O33)</f>
        <v/>
      </c>
      <c r="I16" s="726"/>
      <c r="K16" s="131"/>
      <c r="L16" s="134"/>
    </row>
    <row r="17" spans="2:12" ht="15.95" customHeight="1" x14ac:dyDescent="0.2">
      <c r="B17" s="184" t="str">
        <f>IF([1]Ist!D35="","",[1]Ist!B35&amp;" "&amp;[1]Ist!D35)</f>
        <v/>
      </c>
      <c r="C17" s="191" t="str">
        <f>IF([1]Ist!G35="","",[1]Ist!G35)</f>
        <v/>
      </c>
      <c r="D17" s="186" t="str">
        <f>IF([1]Ist!K35="","",[1]Ist!K35)</f>
        <v/>
      </c>
      <c r="E17" s="202"/>
      <c r="F17" s="188" t="str">
        <f>IF([1]Ist!M35="","",[1]Ist!M35)</f>
        <v/>
      </c>
      <c r="G17" s="727"/>
      <c r="H17" s="909" t="str">
        <f>IF([1]Ist!O35="","",[1]Ist!O35)</f>
        <v/>
      </c>
      <c r="I17" s="728"/>
      <c r="K17" s="131"/>
      <c r="L17" s="134"/>
    </row>
    <row r="18" spans="2:12" ht="15.95" customHeight="1" x14ac:dyDescent="0.2">
      <c r="B18" s="184" t="str">
        <f>IF([1]Ist!D39="","",[1]Ist!B39&amp;" "&amp;[1]Ist!D39)</f>
        <v/>
      </c>
      <c r="C18" s="191" t="str">
        <f>IF([1]Ist!G39="","",[1]Ist!G39)</f>
        <v/>
      </c>
      <c r="D18" s="186" t="str">
        <f>IF([1]Ist!K39="","",[1]Ist!K39)</f>
        <v/>
      </c>
      <c r="E18" s="202"/>
      <c r="F18" s="188" t="str">
        <f>IF([1]Ist!M39="","",[1]Ist!M39)</f>
        <v/>
      </c>
      <c r="G18" s="727"/>
      <c r="H18" s="909" t="str">
        <f>IF([1]Ist!O39="","",[1]Ist!O39)</f>
        <v/>
      </c>
      <c r="I18" s="728"/>
      <c r="K18" s="131"/>
      <c r="L18" s="134"/>
    </row>
    <row r="19" spans="2:12" ht="15.95" customHeight="1" thickBot="1" x14ac:dyDescent="0.25">
      <c r="B19" s="184" t="str">
        <f>IF([1]Ist!D41="","",[1]Ist!B41&amp;" "&amp;[1]Ist!D41)</f>
        <v/>
      </c>
      <c r="C19" s="191" t="str">
        <f>IF([1]Ist!G41="","",[1]Ist!G41)</f>
        <v/>
      </c>
      <c r="D19" s="202" t="str">
        <f>IF([1]Ist!K41="","",[1]Ist!K41)</f>
        <v/>
      </c>
      <c r="E19" s="202"/>
      <c r="F19" s="727" t="str">
        <f>IF([1]Ist!M41="","",[1]Ist!M41)</f>
        <v/>
      </c>
      <c r="G19" s="727"/>
      <c r="H19" s="728" t="str">
        <f>IF([1]Ist!O41="","",[1]Ist!O41)</f>
        <v/>
      </c>
      <c r="I19" s="728"/>
      <c r="K19" s="131"/>
      <c r="L19" s="134"/>
    </row>
    <row r="20" spans="2:12" ht="15.95" customHeight="1" thickBot="1" x14ac:dyDescent="0.25">
      <c r="B20" s="193" t="s">
        <v>164</v>
      </c>
      <c r="C20" s="193"/>
      <c r="D20" s="193"/>
      <c r="E20" s="571"/>
      <c r="K20" s="131"/>
      <c r="L20" s="134"/>
    </row>
    <row r="21" spans="2:12" ht="39.950000000000003" customHeight="1" x14ac:dyDescent="0.2">
      <c r="K21" s="131"/>
      <c r="L21" s="134"/>
    </row>
    <row r="22" spans="2:12" ht="15.95" customHeight="1" thickBot="1" x14ac:dyDescent="0.25">
      <c r="B22" s="194" t="s">
        <v>165</v>
      </c>
      <c r="C22" s="194"/>
      <c r="D22" s="194"/>
      <c r="E22" s="194"/>
      <c r="F22" s="194" t="s">
        <v>166</v>
      </c>
      <c r="G22" s="195"/>
      <c r="H22" s="194"/>
      <c r="I22" s="195"/>
      <c r="J22" s="196"/>
      <c r="K22" s="141"/>
      <c r="L22" s="134"/>
    </row>
    <row r="23" spans="2:12" ht="15.95" customHeight="1" x14ac:dyDescent="0.2">
      <c r="B23" s="184" t="str">
        <f>IF([1]Ist!B43="","",[1]Ist!B43)</f>
        <v>Maschinenringtätigkeit</v>
      </c>
      <c r="C23" s="197"/>
      <c r="D23" s="197"/>
      <c r="E23" s="202">
        <f>IF([1]Ist!G43="","",[1]Ist!G43)</f>
        <v>1350</v>
      </c>
      <c r="F23" s="1071" t="s">
        <v>167</v>
      </c>
      <c r="G23" s="1083"/>
      <c r="H23" s="1071" t="s">
        <v>168</v>
      </c>
      <c r="I23" s="1086"/>
      <c r="K23" s="131"/>
      <c r="L23" s="134"/>
    </row>
    <row r="24" spans="2:12" ht="15.95" customHeight="1" x14ac:dyDescent="0.2">
      <c r="B24" s="184" t="str">
        <f>IF([1]Ist!B45="","",[1]Ist!B45)</f>
        <v>Holztransporte</v>
      </c>
      <c r="C24" s="197"/>
      <c r="D24" s="197"/>
      <c r="E24" s="202">
        <f>IF([1]Ist!G45="","",[1]Ist!G45)</f>
        <v>695</v>
      </c>
      <c r="F24" s="1071"/>
      <c r="G24" s="1084"/>
      <c r="H24" s="1071"/>
      <c r="I24" s="1087"/>
      <c r="K24" s="131"/>
      <c r="L24" s="134"/>
    </row>
    <row r="25" spans="2:12" ht="15.95" customHeight="1" thickBot="1" x14ac:dyDescent="0.25">
      <c r="B25" s="184" t="str">
        <f>IF([1]Ist!B47="","",[1]Ist!B47)</f>
        <v/>
      </c>
      <c r="C25" s="197"/>
      <c r="D25" s="197"/>
      <c r="E25" s="212" t="str">
        <f>IF([1]Ist!G47="","",[1]Ist!G47)</f>
        <v/>
      </c>
      <c r="F25" s="1071"/>
      <c r="G25" s="1085"/>
      <c r="H25" s="1071"/>
      <c r="I25" s="1088"/>
      <c r="K25" s="131"/>
      <c r="L25" s="134"/>
    </row>
    <row r="26" spans="2:12" ht="15.95" customHeight="1" thickBot="1" x14ac:dyDescent="0.25">
      <c r="B26" s="200" t="s">
        <v>169</v>
      </c>
      <c r="C26" s="200"/>
      <c r="D26" s="200"/>
      <c r="E26" s="571"/>
      <c r="K26" s="131"/>
      <c r="L26" s="134"/>
    </row>
    <row r="27" spans="2:12" ht="15.95" customHeight="1" x14ac:dyDescent="0.2">
      <c r="K27" s="131"/>
      <c r="L27" s="134"/>
    </row>
    <row r="28" spans="2:12" ht="15.95" customHeight="1" x14ac:dyDescent="0.2">
      <c r="B28" s="194" t="s">
        <v>170</v>
      </c>
      <c r="C28" s="194"/>
      <c r="D28" s="183" t="s">
        <v>171</v>
      </c>
      <c r="E28" s="194"/>
      <c r="F28" s="194" t="s">
        <v>172</v>
      </c>
      <c r="G28" s="195"/>
      <c r="H28" s="194"/>
      <c r="I28" s="195"/>
      <c r="K28" s="131"/>
      <c r="L28" s="134"/>
    </row>
    <row r="29" spans="2:12" ht="15.95" customHeight="1" x14ac:dyDescent="0.2">
      <c r="B29" s="184" t="str">
        <f>IF([1]Ist!B50="","",[1]Ist!B50)</f>
        <v>Ausgleichszulage</v>
      </c>
      <c r="C29" s="197"/>
      <c r="D29" s="197"/>
      <c r="E29" s="202">
        <f>IF([1]Ist!G50="","",[1]Ist!G50)</f>
        <v>2850</v>
      </c>
      <c r="F29" s="201" t="s">
        <v>173</v>
      </c>
      <c r="G29" s="201"/>
      <c r="H29" s="201"/>
      <c r="I29" s="202" t="str">
        <f>IF(E43="","noch leer",E43)</f>
        <v>noch leer</v>
      </c>
      <c r="J29" s="203"/>
      <c r="K29" s="143"/>
      <c r="L29" s="134"/>
    </row>
    <row r="30" spans="2:12" ht="15.95" customHeight="1" x14ac:dyDescent="0.2">
      <c r="B30" s="184" t="str">
        <f>IF([1]Ist!B52="","",[1]Ist!B52)</f>
        <v>EBP</v>
      </c>
      <c r="C30" s="197"/>
      <c r="D30" s="197"/>
      <c r="E30" s="202">
        <f>IF([1]Ist!G52="","",[1]Ist!G52)</f>
        <v>1690</v>
      </c>
      <c r="F30" s="204" t="s">
        <v>174</v>
      </c>
      <c r="G30" s="204"/>
      <c r="H30" s="204"/>
      <c r="I30" s="202">
        <f>IF([1]Ist!O43="","",[1]Ist!O43)</f>
        <v>-25400</v>
      </c>
      <c r="J30" s="203"/>
      <c r="K30" s="143"/>
      <c r="L30" s="134"/>
    </row>
    <row r="31" spans="2:12" ht="15.95" customHeight="1" thickBot="1" x14ac:dyDescent="0.25">
      <c r="B31" s="184" t="str">
        <f>IF([1]Ist!B54="","",[1]Ist!B54)</f>
        <v>Tierprämien</v>
      </c>
      <c r="C31" s="197"/>
      <c r="D31" s="197"/>
      <c r="E31" s="202">
        <f>IF([1]Ist!G54="","",[1]Ist!G54)</f>
        <v>1510</v>
      </c>
      <c r="F31" s="204" t="s">
        <v>175</v>
      </c>
      <c r="G31" s="204"/>
      <c r="H31" s="204"/>
      <c r="I31" s="202">
        <f>IF([1]Ist!O50="","",[1]Ist!O50)</f>
        <v>-2600</v>
      </c>
      <c r="J31" s="203"/>
      <c r="K31" s="143"/>
      <c r="L31" s="134"/>
    </row>
    <row r="32" spans="2:12" ht="15.95" customHeight="1" thickBot="1" x14ac:dyDescent="0.25">
      <c r="B32" s="184" t="str">
        <f>IF([1]Ist!B56="","",[1]Ist!B56)</f>
        <v>ÖPUL</v>
      </c>
      <c r="C32" s="197"/>
      <c r="D32" s="197"/>
      <c r="E32" s="202">
        <f>IF([1]Ist!G56="","",[1]Ist!G56)</f>
        <v>808</v>
      </c>
      <c r="F32" s="205" t="s">
        <v>176</v>
      </c>
      <c r="G32" s="205"/>
      <c r="H32" s="205"/>
      <c r="I32" s="571"/>
      <c r="K32" s="131"/>
      <c r="L32" s="134"/>
    </row>
    <row r="33" spans="2:12" ht="15.95" customHeight="1" x14ac:dyDescent="0.2">
      <c r="B33" s="184" t="str">
        <f>IF([1]Ist!B58="","",[1]Ist!B58)</f>
        <v/>
      </c>
      <c r="C33" s="197"/>
      <c r="D33" s="197"/>
      <c r="E33" s="202" t="str">
        <f>IF([1]Ist!G58="","",[1]Ist!G58)</f>
        <v/>
      </c>
      <c r="F33" s="1091" t="s">
        <v>177</v>
      </c>
      <c r="G33" s="1092"/>
      <c r="H33" s="1093"/>
      <c r="I33" s="1089">
        <f>IF([1]Ist!O66="","",[1]Ist!O66)</f>
        <v>398</v>
      </c>
      <c r="K33" s="131"/>
      <c r="L33" s="134"/>
    </row>
    <row r="34" spans="2:12" ht="15.95" customHeight="1" thickBot="1" x14ac:dyDescent="0.25">
      <c r="B34" s="184" t="str">
        <f>IF([1]Ist!B60="","",[1]Ist!B60)</f>
        <v/>
      </c>
      <c r="C34" s="197"/>
      <c r="D34" s="197"/>
      <c r="E34" s="202" t="str">
        <f>IF([1]Ist!G60="","",[1]Ist!G60)</f>
        <v/>
      </c>
      <c r="F34" s="1091"/>
      <c r="G34" s="1092"/>
      <c r="H34" s="1093"/>
      <c r="I34" s="1090"/>
      <c r="K34" s="131"/>
      <c r="L34" s="134"/>
    </row>
    <row r="35" spans="2:12" ht="15.95" customHeight="1" thickBot="1" x14ac:dyDescent="0.25">
      <c r="B35" s="193" t="s">
        <v>178</v>
      </c>
      <c r="C35" s="193"/>
      <c r="D35" s="193"/>
      <c r="E35" s="571"/>
      <c r="F35" s="206" t="s">
        <v>172</v>
      </c>
      <c r="G35" s="207"/>
      <c r="H35" s="207"/>
      <c r="I35" s="208"/>
      <c r="K35" s="131"/>
      <c r="L35" s="134"/>
    </row>
    <row r="36" spans="2:12" ht="15.95" customHeight="1" thickBot="1" x14ac:dyDescent="0.25">
      <c r="F36" s="209"/>
      <c r="K36" s="131"/>
      <c r="L36" s="134"/>
    </row>
    <row r="37" spans="2:12" ht="15.95" customHeight="1" thickBot="1" x14ac:dyDescent="0.25">
      <c r="B37" s="193" t="s">
        <v>179</v>
      </c>
      <c r="C37" s="193"/>
      <c r="D37" s="193"/>
      <c r="E37" s="571"/>
      <c r="K37" s="131"/>
      <c r="L37" s="134"/>
    </row>
    <row r="38" spans="2:12" ht="15.95" customHeight="1" thickBot="1" x14ac:dyDescent="0.25">
      <c r="B38" s="210" t="s">
        <v>180</v>
      </c>
      <c r="C38" s="211"/>
      <c r="D38" s="211"/>
      <c r="E38" s="212" t="str">
        <f>IF(FK!D18="","noch leer",FK!D18)</f>
        <v>noch leer</v>
      </c>
      <c r="K38" s="131"/>
      <c r="L38" s="134"/>
    </row>
    <row r="39" spans="2:12" ht="15.95" customHeight="1" thickBot="1" x14ac:dyDescent="0.25">
      <c r="B39" s="1094" t="s">
        <v>181</v>
      </c>
      <c r="C39" s="1094"/>
      <c r="D39" s="1095"/>
      <c r="E39" s="213"/>
      <c r="K39" s="131"/>
      <c r="L39" s="134"/>
    </row>
    <row r="40" spans="2:12" ht="15.95" customHeight="1" thickBot="1" x14ac:dyDescent="0.25">
      <c r="B40" s="1096" t="s">
        <v>530</v>
      </c>
      <c r="C40" s="1094"/>
      <c r="D40" s="1095"/>
      <c r="E40" s="213"/>
      <c r="K40" s="131"/>
      <c r="L40" s="134"/>
    </row>
    <row r="41" spans="2:12" ht="15.95" customHeight="1" x14ac:dyDescent="0.2">
      <c r="B41" s="184" t="s">
        <v>182</v>
      </c>
      <c r="C41" s="214"/>
      <c r="D41" s="214"/>
      <c r="E41" s="202">
        <f>IF([1]Ist!G66="","",[1]Ist!G66)</f>
        <v>6048</v>
      </c>
      <c r="K41" s="131"/>
      <c r="L41" s="134"/>
    </row>
    <row r="42" spans="2:12" ht="15.95" customHeight="1" thickBot="1" x14ac:dyDescent="0.25">
      <c r="B42" s="184" t="s">
        <v>183</v>
      </c>
      <c r="C42" s="214"/>
      <c r="D42" s="214"/>
      <c r="E42" s="212">
        <f>IF([1]Ist!G68="","",[1]Ist!G68)</f>
        <v>14950</v>
      </c>
      <c r="K42" s="131"/>
      <c r="L42" s="134"/>
    </row>
    <row r="43" spans="2:12" ht="15.95" customHeight="1" thickBot="1" x14ac:dyDescent="0.25">
      <c r="B43" s="1070" t="s">
        <v>184</v>
      </c>
      <c r="C43" s="1070"/>
      <c r="D43" s="1070"/>
      <c r="E43" s="208"/>
      <c r="K43" s="131"/>
      <c r="L43" s="134"/>
    </row>
    <row r="44" spans="2:12" ht="15.95" customHeight="1" x14ac:dyDescent="0.2">
      <c r="K44" s="131"/>
      <c r="L44" s="134"/>
    </row>
  </sheetData>
  <sheetProtection algorithmName="SHA-512" hashValue="RxDHpaGNT1R1Jm14kVUdimtbZVUwdNLE5uiL2jXLSnOkzlX/seJ/ol4KxsPJ/MlLmCwgTF44qrd0qvqr/Jh9hA==" saltValue="rGsNbu98YkiocNDpA5dx3A==" spinCount="100000" sheet="1" objects="1" scenarios="1"/>
  <mergeCells count="15">
    <mergeCell ref="I33:I34"/>
    <mergeCell ref="B43:D43"/>
    <mergeCell ref="F33:H34"/>
    <mergeCell ref="B39:D39"/>
    <mergeCell ref="B40:D40"/>
    <mergeCell ref="F23:F25"/>
    <mergeCell ref="H23:H25"/>
    <mergeCell ref="G23:G25"/>
    <mergeCell ref="I23:I25"/>
    <mergeCell ref="L1:L2"/>
    <mergeCell ref="C3:C5"/>
    <mergeCell ref="D3:E4"/>
    <mergeCell ref="B3:B5"/>
    <mergeCell ref="F3:G4"/>
    <mergeCell ref="H3:I4"/>
  </mergeCells>
  <phoneticPr fontId="4" type="noConversion"/>
  <conditionalFormatting sqref="E39:E40">
    <cfRule type="expression" dxfId="98" priority="1" stopIfTrue="1">
      <formula>$B39=""</formula>
    </cfRule>
  </conditionalFormatting>
  <conditionalFormatting sqref="I23:I25 G23:G25">
    <cfRule type="expression" dxfId="97" priority="2" stopIfTrue="1">
      <formula>F$23=""</formula>
    </cfRule>
  </conditionalFormatting>
  <conditionalFormatting sqref="I6:I10 E6:E10 E13:E15 I13:I15">
    <cfRule type="expression" dxfId="96" priority="3" stopIfTrue="1">
      <formula>D6=""</formula>
    </cfRule>
  </conditionalFormatting>
  <conditionalFormatting sqref="G6:G10 G13:G15">
    <cfRule type="expression" dxfId="95" priority="4" stopIfTrue="1">
      <formula>AND(B6="",F6="")</formula>
    </cfRule>
    <cfRule type="expression" dxfId="94" priority="5" stopIfTrue="1">
      <formula>F6=""</formula>
    </cfRule>
  </conditionalFormatting>
  <conditionalFormatting sqref="I33:I34 H6:H10 I30:I31 E41:E42 F6:F10 C6:D10 C13:D15 F13:F15 H13:H15">
    <cfRule type="cellIs" dxfId="93" priority="6" stopIfTrue="1" operator="equal">
      <formula>""</formula>
    </cfRule>
  </conditionalFormatting>
  <conditionalFormatting sqref="I29 E38">
    <cfRule type="cellIs" dxfId="92" priority="7" stopIfTrue="1" operator="equal">
      <formula>""</formula>
    </cfRule>
    <cfRule type="cellIs" dxfId="91" priority="8" stopIfTrue="1" operator="equal">
      <formula>"noch leer"</formula>
    </cfRule>
  </conditionalFormatting>
  <dataValidations count="2">
    <dataValidation type="whole" operator="lessThan" allowBlank="1" showInputMessage="1" showErrorMessage="1" errorTitle="FEHLER" error="Achtung: Dieser Wert muss negativ sein!" sqref="I30" xr:uid="{00000000-0002-0000-0400-000000000000}">
      <formula1>0</formula1>
    </dataValidation>
    <dataValidation type="whole" operator="lessThan" allowBlank="1" showInputMessage="1" showErrorMessage="1" errorTitle="FEHLER" error="Achtung Diesert Wert muss negativ sein!" sqref="I31" xr:uid="{00000000-0002-0000-0400-000001000000}">
      <formula1>0</formula1>
    </dataValidation>
  </dataValidations>
  <printOptions horizontalCentered="1"/>
  <pageMargins left="0.39370078740157483" right="0.39370078740157483" top="0.59055118110236227" bottom="0.39370078740157483" header="0" footer="0"/>
  <pageSetup paperSize="9" orientation="portrait" blackAndWhite="1" horizontalDpi="4294967295" r:id="rId1"/>
  <headerFooter alignWithMargins="0">
    <oddHeader>&amp;R&amp;8&amp;U&amp;F - Seite &amp;P/&amp;N</oddHeader>
  </headerFooter>
  <rowBreaks count="2" manualBreakCount="2">
    <brk id="45" max="16383" man="1"/>
    <brk id="86" max="16383"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12">
    <tabColor indexed="10"/>
  </sheetPr>
  <dimension ref="A1:K193"/>
  <sheetViews>
    <sheetView showGridLines="0" zoomScaleNormal="100" workbookViewId="0">
      <pane ySplit="2" topLeftCell="A3" activePane="bottomLeft" state="frozen"/>
      <selection activeCell="F326" sqref="F326"/>
      <selection pane="bottomLeft" activeCell="H12" sqref="H12:H14"/>
    </sheetView>
  </sheetViews>
  <sheetFormatPr baseColWidth="10" defaultColWidth="0" defaultRowHeight="0" customHeight="1" zeroHeight="1" x14ac:dyDescent="0.2"/>
  <cols>
    <col min="1" max="1" width="2.7109375" style="146" customWidth="1"/>
    <col min="2" max="2" width="24.7109375" style="146" customWidth="1"/>
    <col min="3" max="6" width="9.7109375" style="146" customWidth="1"/>
    <col min="7" max="7" width="10.7109375" style="146" customWidth="1"/>
    <col min="8" max="8" width="9.7109375" style="146" customWidth="1"/>
    <col min="9" max="9" width="2.7109375" style="146" customWidth="1"/>
    <col min="10" max="10" width="0.85546875" style="146" customWidth="1"/>
    <col min="11" max="11" width="20.7109375" style="146" customWidth="1"/>
    <col min="12" max="16384" width="11.42578125" style="146" hidden="1"/>
  </cols>
  <sheetData>
    <row r="1" spans="1:11" ht="24.95" customHeight="1" x14ac:dyDescent="0.2">
      <c r="A1" s="181"/>
      <c r="B1" s="1106" t="s">
        <v>239</v>
      </c>
      <c r="C1" s="1107"/>
      <c r="D1" s="1107"/>
      <c r="E1" s="1107"/>
      <c r="F1" s="1107"/>
      <c r="G1" s="1107"/>
      <c r="H1" s="1107"/>
      <c r="I1" s="1107"/>
      <c r="J1" s="739"/>
      <c r="K1" s="1039" t="s">
        <v>101</v>
      </c>
    </row>
    <row r="2" spans="1:11" ht="20.100000000000001" customHeight="1" x14ac:dyDescent="0.2">
      <c r="J2" s="739"/>
      <c r="K2" s="1040"/>
    </row>
    <row r="3" spans="1:11" ht="12.75" x14ac:dyDescent="0.2">
      <c r="B3" s="1099" t="s">
        <v>240</v>
      </c>
      <c r="C3" s="1099"/>
      <c r="D3" s="1099"/>
      <c r="E3" s="1099"/>
      <c r="F3" s="1099"/>
      <c r="G3" s="1099"/>
      <c r="H3" s="1099"/>
      <c r="J3" s="739"/>
      <c r="K3" s="266"/>
    </row>
    <row r="4" spans="1:11" ht="12.75" x14ac:dyDescent="0.2">
      <c r="B4" s="267" t="str">
        <f>IF([1]Milch!B12="","",[1]Milch!B12)</f>
        <v>Durchschnittliche Anzahl der Laktationen</v>
      </c>
      <c r="C4" s="267"/>
      <c r="D4" s="268">
        <f>IF([1]Milch!O12="","",[1]Milch!O12)</f>
        <v>5</v>
      </c>
      <c r="E4" s="1100" t="s">
        <v>241</v>
      </c>
      <c r="F4" s="1100"/>
      <c r="G4" s="1100"/>
      <c r="H4" s="1100"/>
      <c r="J4" s="739"/>
      <c r="K4" s="266"/>
    </row>
    <row r="5" spans="1:11" ht="12.75" x14ac:dyDescent="0.2">
      <c r="B5" s="267" t="str">
        <f>IF([1]Milch!B14="","",[1]Milch!B14)</f>
        <v>Milchleistung</v>
      </c>
      <c r="C5" s="267"/>
      <c r="D5" s="270">
        <f>IF([1]Milch!O14="","",[1]Milch!O14)</f>
        <v>5600</v>
      </c>
      <c r="E5" s="271" t="s">
        <v>508</v>
      </c>
      <c r="F5" s="271"/>
      <c r="G5" s="272">
        <f>IF(D6="","",POWER(D6,0.75)*0.293)</f>
        <v>36.405029514186502</v>
      </c>
      <c r="H5" s="273">
        <f>IF(D6="","",POWER(D6,0.75)*3.9)</f>
        <v>484.57206520589546</v>
      </c>
      <c r="J5" s="739"/>
      <c r="K5" s="266"/>
    </row>
    <row r="6" spans="1:11" ht="12.75" x14ac:dyDescent="0.2">
      <c r="B6" s="267" t="str">
        <f>IF([1]Milch!B16="","",[1]Milch!B16)</f>
        <v>Lebendgewicht</v>
      </c>
      <c r="C6" s="267"/>
      <c r="D6" s="268">
        <f>IF([1]Milch!O16="","",[1]Milch!O16)</f>
        <v>620</v>
      </c>
      <c r="E6" s="271" t="s">
        <v>509</v>
      </c>
      <c r="F6" s="271"/>
      <c r="G6" s="272">
        <f>IF(OR(D13="",D15="",D16=""),"",((D15*100)*0.37+(D16*100)*0.21+0.95)*D13/360)</f>
        <v>48.657777777777774</v>
      </c>
      <c r="H6" s="273">
        <f>IF(OR(D13="",D16=""),"",(D16*1.984*10+10)*(D13/360))</f>
        <v>166.35733333333334</v>
      </c>
      <c r="J6" s="739"/>
      <c r="K6" s="266"/>
    </row>
    <row r="7" spans="1:11" ht="12.75" x14ac:dyDescent="0.2">
      <c r="B7" s="267" t="str">
        <f>IF([1]Milch!B18="","",[1]Milch!B18)</f>
        <v>Stallhaltungstage</v>
      </c>
      <c r="C7" s="274"/>
      <c r="D7" s="268">
        <f>IF([1]Milch!O18="","",[1]Milch!O18)</f>
        <v>288</v>
      </c>
      <c r="E7" s="271" t="s">
        <v>242</v>
      </c>
      <c r="F7" s="271"/>
      <c r="G7" s="272">
        <f>SUM(G5:G6)</f>
        <v>85.062807291964276</v>
      </c>
      <c r="H7" s="273">
        <f>SUM(H5:H6)</f>
        <v>650.92939853922883</v>
      </c>
      <c r="J7" s="739"/>
      <c r="K7" s="266"/>
    </row>
    <row r="8" spans="1:11" ht="12.75" x14ac:dyDescent="0.2">
      <c r="B8" s="275"/>
      <c r="C8" s="276" t="s">
        <v>243</v>
      </c>
      <c r="D8" s="276" t="s">
        <v>244</v>
      </c>
      <c r="E8" s="277" t="s">
        <v>245</v>
      </c>
      <c r="F8" s="271"/>
      <c r="G8" s="278">
        <f>IF(OR(G7="",D7=""),"",G7*D7)</f>
        <v>24498.088500085712</v>
      </c>
      <c r="H8" s="279">
        <f>IF(OR(H7="",D7=""),"",H7*D7/1000)</f>
        <v>187.4676667792979</v>
      </c>
      <c r="J8" s="739"/>
      <c r="K8" s="266"/>
    </row>
    <row r="9" spans="1:11" ht="12.75" x14ac:dyDescent="0.2">
      <c r="B9" s="267" t="str">
        <f>IF([1]Milch!B20="","",[1]Milch!B20)</f>
        <v>A-Quote:</v>
      </c>
      <c r="C9" s="270">
        <f>IF([1]Milch!O20="","",[1]Milch!O20)</f>
        <v>41280</v>
      </c>
      <c r="D9" s="280">
        <f>IF(OR(C9="",C11=""),"",C9/C11)</f>
        <v>3175.3846153846152</v>
      </c>
      <c r="E9" s="271" t="str">
        <f>IF([1]Milch!G12="","",[1]Milch!G12)</f>
        <v>Kraftfutterbedarf</v>
      </c>
      <c r="F9" s="271"/>
      <c r="G9" s="271"/>
      <c r="H9" s="281">
        <f>IF([1]Milch!R12="","",[1]Milch!R12)</f>
        <v>979</v>
      </c>
      <c r="J9" s="739"/>
      <c r="K9" s="266"/>
    </row>
    <row r="10" spans="1:11" ht="12.75" x14ac:dyDescent="0.2">
      <c r="B10" s="267" t="str">
        <f>IF([1]Milch!B22="","",[1]Milch!B22)</f>
        <v>D-Quote</v>
      </c>
      <c r="C10" s="270">
        <f>IF([1]Milch!O22="","",[1]Milch!O22)</f>
        <v>25536</v>
      </c>
      <c r="D10" s="280">
        <f>IF(OR(C10="",C11=""),"",C10/C11)</f>
        <v>1964.3076923076924</v>
      </c>
      <c r="E10" s="282" t="s">
        <v>246</v>
      </c>
      <c r="F10" s="282"/>
      <c r="G10" s="283" t="str">
        <f>IF([1]Milch!G16="","",[1]Milch!G16)</f>
        <v>MJ NEL/kg</v>
      </c>
      <c r="H10" s="283" t="str">
        <f>IF([1]Milch!G18="","",[1]Milch!G18)</f>
        <v>g RP/kg</v>
      </c>
      <c r="J10" s="739"/>
      <c r="K10" s="266"/>
    </row>
    <row r="11" spans="1:11" ht="13.5" thickBot="1" x14ac:dyDescent="0.25">
      <c r="B11" s="267" t="str">
        <f>IF([1]Milch!B24="","",[1]Milch!B24)</f>
        <v>Ø Anzahl der Kühe</v>
      </c>
      <c r="C11" s="270">
        <f>IF([1]Milch!O24="","",[1]Milch!O24)</f>
        <v>13</v>
      </c>
      <c r="D11" s="284"/>
      <c r="E11" s="285" t="s">
        <v>247</v>
      </c>
      <c r="F11" s="285"/>
      <c r="G11" s="286">
        <f>IF([1]Milch!R16="","",[1]Milch!R16)</f>
        <v>5</v>
      </c>
      <c r="H11" s="287">
        <f>IF([1]Milch!R18="","",[1]Milch!R18)</f>
        <v>123</v>
      </c>
      <c r="J11" s="739"/>
      <c r="K11" s="266"/>
    </row>
    <row r="12" spans="1:11" ht="12.75" customHeight="1" x14ac:dyDescent="0.2">
      <c r="B12" s="288" t="s">
        <v>248</v>
      </c>
      <c r="C12" s="283" t="s">
        <v>243</v>
      </c>
      <c r="D12" s="283" t="s">
        <v>244</v>
      </c>
      <c r="E12" s="1092" t="s">
        <v>249</v>
      </c>
      <c r="F12" s="1101"/>
      <c r="G12" s="1104" t="s">
        <v>250</v>
      </c>
      <c r="H12" s="1101"/>
      <c r="J12" s="739"/>
      <c r="K12" s="266"/>
    </row>
    <row r="13" spans="1:11" ht="11.25" customHeight="1" x14ac:dyDescent="0.2">
      <c r="B13" s="289" t="s">
        <v>251</v>
      </c>
      <c r="C13" s="279">
        <f>IF(OR(D13="",C11=""),"",D13*C11)</f>
        <v>72800</v>
      </c>
      <c r="D13" s="279">
        <f>D5</f>
        <v>5600</v>
      </c>
      <c r="E13" s="1092"/>
      <c r="F13" s="1102"/>
      <c r="G13" s="1105"/>
      <c r="H13" s="1102"/>
      <c r="J13" s="739"/>
      <c r="K13" s="266"/>
    </row>
    <row r="14" spans="1:11" ht="13.9" customHeight="1" thickBot="1" x14ac:dyDescent="0.25">
      <c r="B14" s="282" t="s">
        <v>252</v>
      </c>
      <c r="C14" s="282" t="s">
        <v>243</v>
      </c>
      <c r="D14" s="282" t="s">
        <v>244</v>
      </c>
      <c r="E14" s="1092"/>
      <c r="F14" s="1103"/>
      <c r="G14" s="1105"/>
      <c r="H14" s="1103"/>
      <c r="J14" s="739"/>
      <c r="K14" s="266"/>
    </row>
    <row r="15" spans="1:11" ht="12.75" x14ac:dyDescent="0.2">
      <c r="B15" s="267" t="str">
        <f>IF([1]Milch!B26="","",[1]Milch!B26)</f>
        <v>Fett</v>
      </c>
      <c r="C15" s="267"/>
      <c r="D15" s="290">
        <f>IF([1]Milch!O26="","",[1]Milch!O26)</f>
        <v>3.9E-2</v>
      </c>
      <c r="E15" s="1092" t="str">
        <f>IF([1]Milch!G20="","",[1]Milch!G20)</f>
        <v>Umwandlungsschlüssel</v>
      </c>
      <c r="F15" s="1108"/>
      <c r="G15" s="1108"/>
      <c r="H15" s="1097">
        <f>IF([1]Milch!R20="","",[1]Milch!R20)</f>
        <v>0.55000000000000004</v>
      </c>
      <c r="J15" s="739"/>
      <c r="K15" s="266"/>
    </row>
    <row r="16" spans="1:11" ht="12.75" x14ac:dyDescent="0.2">
      <c r="B16" s="267" t="str">
        <f>IF([1]Milch!B28="","",[1]Milch!B28)</f>
        <v>Eiweiß</v>
      </c>
      <c r="C16" s="267"/>
      <c r="D16" s="290">
        <f>IF([1]Milch!O28="","",[1]Milch!O28)</f>
        <v>3.5000000000000003E-2</v>
      </c>
      <c r="E16" s="1108"/>
      <c r="F16" s="1108"/>
      <c r="G16" s="1108"/>
      <c r="H16" s="1098"/>
      <c r="J16" s="739"/>
      <c r="K16" s="266"/>
    </row>
    <row r="17" spans="2:11" ht="12.75" x14ac:dyDescent="0.2">
      <c r="J17" s="739"/>
      <c r="K17" s="266"/>
    </row>
    <row r="18" spans="2:11" ht="12.75" x14ac:dyDescent="0.2">
      <c r="B18" s="1109" t="s">
        <v>253</v>
      </c>
      <c r="C18" s="1109"/>
      <c r="D18" s="1109"/>
      <c r="E18" s="1109"/>
      <c r="F18" s="1109"/>
      <c r="G18" s="1109"/>
      <c r="H18" s="1109"/>
      <c r="J18" s="739"/>
      <c r="K18" s="266"/>
    </row>
    <row r="19" spans="2:11" ht="12.75" x14ac:dyDescent="0.2">
      <c r="B19" s="289" t="s">
        <v>254</v>
      </c>
      <c r="C19" s="291">
        <f>D9</f>
        <v>3175.3846153846152</v>
      </c>
      <c r="D19" s="284"/>
      <c r="G19" s="284"/>
      <c r="H19" s="284"/>
      <c r="J19" s="739"/>
      <c r="K19" s="266"/>
    </row>
    <row r="20" spans="2:11" ht="12.75" x14ac:dyDescent="0.2">
      <c r="B20" s="289" t="str">
        <f>IF([1]Milch!B33="","",[1]Milch!B33)</f>
        <v>Ab-Hof</v>
      </c>
      <c r="C20" s="292">
        <f>IF([1]Milch!O33="","",[1]Milch!O33)</f>
        <v>288</v>
      </c>
      <c r="D20" s="284"/>
      <c r="E20" s="293" t="s">
        <v>255</v>
      </c>
      <c r="F20" s="294">
        <f>IF(SUM(C19:C21,C25:C28,C29:C30,C32)=0,"",SUM(C19:C21,C25:C28,C29:C30,C32))</f>
        <v>5600</v>
      </c>
      <c r="G20" s="284"/>
      <c r="H20" s="284"/>
      <c r="J20" s="739"/>
      <c r="K20" s="266"/>
    </row>
    <row r="21" spans="2:11" ht="12.75" x14ac:dyDescent="0.2">
      <c r="B21" s="289" t="str">
        <f>IF([1]Milch!B35="","",[1]Milch!B35)</f>
        <v>Eigen- u. Gästeverbrauch</v>
      </c>
      <c r="C21" s="292">
        <f>IF([1]Milch!O35="","",[1]Milch!O35)</f>
        <v>62</v>
      </c>
      <c r="D21" s="284"/>
      <c r="E21" s="284"/>
      <c r="F21" s="284"/>
      <c r="G21" s="284"/>
      <c r="H21" s="284"/>
      <c r="J21" s="739"/>
      <c r="K21" s="266"/>
    </row>
    <row r="22" spans="2:11" ht="13.7" customHeight="1" x14ac:dyDescent="0.2">
      <c r="B22" s="1124" t="s">
        <v>256</v>
      </c>
      <c r="C22" s="1124"/>
      <c r="D22" s="1124"/>
      <c r="E22" s="1124"/>
      <c r="F22" s="1124"/>
      <c r="G22" s="1124"/>
      <c r="H22" s="1124"/>
      <c r="J22" s="739"/>
      <c r="K22" s="266"/>
    </row>
    <row r="23" spans="2:11" ht="13.7" customHeight="1" x14ac:dyDescent="0.2">
      <c r="B23" s="1125"/>
      <c r="C23" s="1126" t="s">
        <v>257</v>
      </c>
      <c r="D23" s="1127" t="s">
        <v>258</v>
      </c>
      <c r="E23" s="1127" t="s">
        <v>259</v>
      </c>
      <c r="F23" s="1126" t="s">
        <v>260</v>
      </c>
      <c r="G23" s="1126" t="s">
        <v>261</v>
      </c>
      <c r="H23" s="1127" t="s">
        <v>262</v>
      </c>
      <c r="J23" s="739"/>
      <c r="K23" s="266"/>
    </row>
    <row r="24" spans="2:11" ht="13.7" customHeight="1" x14ac:dyDescent="0.2">
      <c r="B24" s="1125"/>
      <c r="C24" s="1127"/>
      <c r="D24" s="1127"/>
      <c r="E24" s="1127"/>
      <c r="F24" s="1127"/>
      <c r="G24" s="1127"/>
      <c r="H24" s="1127"/>
      <c r="J24" s="739"/>
      <c r="K24" s="266"/>
    </row>
    <row r="25" spans="2:11" ht="12.75" x14ac:dyDescent="0.2">
      <c r="B25" s="289" t="str">
        <f>IF([1]Milch!B39="","",[1]Milch!B39)</f>
        <v>Butter</v>
      </c>
      <c r="C25" s="279">
        <f>IF(SUM(D25:E25)=0,"",SUM(D25:E25)*G25)</f>
        <v>828</v>
      </c>
      <c r="D25" s="295" t="str">
        <f>IF([1]Milch!O39="","",[1]Milch!O39)</f>
        <v/>
      </c>
      <c r="E25" s="292">
        <f>IF([1]Milch!P39="","",[1]Milch!P39)</f>
        <v>36</v>
      </c>
      <c r="F25" s="296">
        <f>IF([1]Milch!Q39="","",[1]Milch!Q39)</f>
        <v>2.9</v>
      </c>
      <c r="G25" s="292">
        <f>IF([1]Milch!K39="","",[1]Milch!K39)</f>
        <v>23</v>
      </c>
      <c r="H25" s="297">
        <f>IF(OR(D25="",G25=""),0,(D25*G25)-(D25*G25)/7.5)</f>
        <v>0</v>
      </c>
      <c r="I25" s="298"/>
      <c r="J25" s="739"/>
      <c r="K25" s="266"/>
    </row>
    <row r="26" spans="2:11" ht="12.75" x14ac:dyDescent="0.2">
      <c r="B26" s="289" t="str">
        <f>IF([1]Milch!B41="","",[1]Milch!B41)</f>
        <v>Jogurt</v>
      </c>
      <c r="C26" s="279">
        <f>IF(SUM(D26:E26)=0,"",SUM(D26:E26)*G26)</f>
        <v>768</v>
      </c>
      <c r="D26" s="295">
        <f>IF([1]Milch!O41="","",[1]Milch!O41)</f>
        <v>768</v>
      </c>
      <c r="E26" s="291" t="str">
        <f>IF([1]Milch!P41="","",[1]Milch!P41)</f>
        <v/>
      </c>
      <c r="F26" s="296">
        <f>IF([1]Milch!Q41="","",[1]Milch!Q41)</f>
        <v>4.3</v>
      </c>
      <c r="G26" s="292">
        <f>IF([1]Milch!K41="","",[1]Milch!K41)</f>
        <v>1</v>
      </c>
      <c r="H26" s="299"/>
      <c r="I26" s="298"/>
      <c r="J26" s="739"/>
      <c r="K26" s="266"/>
    </row>
    <row r="27" spans="2:11" ht="12.75" x14ac:dyDescent="0.2">
      <c r="B27" s="289" t="str">
        <f>IF([1]Milch!B43="","",[1]Milch!B43)</f>
        <v>Topfen aus Vollmilch</v>
      </c>
      <c r="C27" s="279" t="str">
        <f>IF(SUM(D27:E27)=0,"",SUM(D27:E27)*G27)</f>
        <v/>
      </c>
      <c r="D27" s="295" t="str">
        <f>IF([1]Milch!O43="","",[1]Milch!O43)</f>
        <v/>
      </c>
      <c r="E27" s="291" t="str">
        <f>IF([1]Milch!P43="","",[1]Milch!P43)</f>
        <v/>
      </c>
      <c r="F27" s="296">
        <f>IF([1]Milch!Q43="","",[1]Milch!Q43)</f>
        <v>4.3</v>
      </c>
      <c r="G27" s="292">
        <f>IF([1]Milch!K43="","",[1]Milch!K43)</f>
        <v>8</v>
      </c>
      <c r="H27" s="299"/>
      <c r="I27" s="298"/>
      <c r="J27" s="739"/>
      <c r="K27" s="266"/>
    </row>
    <row r="28" spans="2:11" ht="12.75" x14ac:dyDescent="0.2">
      <c r="B28" s="289" t="str">
        <f>IF([1]Milch!B45="","",[1]Milch!B45)</f>
        <v>Käse</v>
      </c>
      <c r="C28" s="279">
        <f>IF(B28="Graukäse",H24*70%,IF(SUM(D28:E28)=0,"",SUM(D28:E28)*G28))</f>
        <v>238</v>
      </c>
      <c r="D28" s="295">
        <f>IF(B28="Graukäse",C28/G28,IF([1]Milch!O45="","",[1]Milch!O45))</f>
        <v>8</v>
      </c>
      <c r="E28" s="292">
        <f>IF([1]Milch!P45="","",[1]Milch!P45)</f>
        <v>20</v>
      </c>
      <c r="F28" s="296">
        <f>IF([1]Milch!Q45="","",[1]Milch!Q45)</f>
        <v>2.6</v>
      </c>
      <c r="G28" s="292">
        <f>IF([1]Milch!K45="","",[1]Milch!K45)</f>
        <v>8.5</v>
      </c>
      <c r="H28" s="299"/>
      <c r="I28" s="298"/>
      <c r="J28" s="739"/>
      <c r="K28" s="266"/>
    </row>
    <row r="29" spans="2:11" ht="12.75" x14ac:dyDescent="0.2">
      <c r="B29" s="289" t="str">
        <f>IF([1]Milch!B47="","",[1]Milch!B47)</f>
        <v/>
      </c>
      <c r="C29" s="740" t="str">
        <f>IF(B29="Graukäse",H25*70%,IF(SUM(D29:E29)=0,"",SUM(D29:E29)*G29))</f>
        <v/>
      </c>
      <c r="D29" s="295" t="str">
        <f>IF(B29="Graukäse",C29/G29,IF([1]Milch!O47="","",[1]Milch!O47))</f>
        <v/>
      </c>
      <c r="E29" s="291" t="str">
        <f>IF([1]Milch!P47="","",[1]Milch!P47)</f>
        <v/>
      </c>
      <c r="F29" s="296" t="str">
        <f>IF([1]Milch!Q47="","",[1]Milch!Q47)</f>
        <v/>
      </c>
      <c r="G29" s="292" t="str">
        <f>IF([1]Milch!K47="","",[1]Milch!K47)</f>
        <v/>
      </c>
      <c r="H29" s="299"/>
      <c r="I29" s="298"/>
      <c r="J29" s="739"/>
      <c r="K29" s="266"/>
    </row>
    <row r="30" spans="2:11" ht="12.75" x14ac:dyDescent="0.2">
      <c r="B30" s="289" t="str">
        <f>IF([1]Milch!B49="","",[1]Milch!B49)</f>
        <v/>
      </c>
      <c r="C30" s="740" t="str">
        <f>IF(B30="Graukäse",H26*70%,IF(SUM(D30:E30)=0,"",SUM(D30:E30)*G30))</f>
        <v/>
      </c>
      <c r="D30" s="300" t="str">
        <f>IF(B30="Graukäse",C30/G30,IF([1]Milch!O48="","",[1]Milch!O48))</f>
        <v/>
      </c>
      <c r="E30" s="291" t="str">
        <f>IF([1]Milch!P49="","",[1]Milch!P49)</f>
        <v/>
      </c>
      <c r="F30" s="301" t="str">
        <f>IF([1]Milch!Q49="","",[1]Milch!Q49)</f>
        <v/>
      </c>
      <c r="G30" s="302" t="str">
        <f>IF([1]Milch!K49="","",[1]Milch!K49)</f>
        <v/>
      </c>
      <c r="H30" s="303"/>
      <c r="J30" s="739"/>
      <c r="K30" s="266"/>
    </row>
    <row r="31" spans="2:11" ht="12.75" x14ac:dyDescent="0.2">
      <c r="B31" s="1109" t="s">
        <v>263</v>
      </c>
      <c r="C31" s="1109"/>
      <c r="D31" s="1109"/>
      <c r="E31" s="1109"/>
      <c r="F31" s="1109"/>
      <c r="G31" s="1109"/>
      <c r="H31" s="1109"/>
      <c r="J31" s="739"/>
      <c r="K31" s="266"/>
    </row>
    <row r="32" spans="2:11" ht="12.75" x14ac:dyDescent="0.2">
      <c r="B32" s="289" t="s">
        <v>264</v>
      </c>
      <c r="C32" s="297">
        <f>IF(D13="","",D13-SUM(C19:C21,C25:C28,C29:C30))</f>
        <v>240.61538461538476</v>
      </c>
      <c r="D32" s="284"/>
      <c r="E32" s="284"/>
      <c r="F32" s="284"/>
      <c r="G32" s="233"/>
      <c r="H32" s="284"/>
      <c r="J32" s="739"/>
      <c r="K32" s="266"/>
    </row>
    <row r="33" spans="2:11" ht="12.75" x14ac:dyDescent="0.2">
      <c r="B33" s="289" t="s">
        <v>262</v>
      </c>
      <c r="C33" s="279">
        <f>H25-IF(B28="Graukäse",C28,IF(B29="Graukäse",C29,IF(B30="Graukäse",C30,0)))</f>
        <v>0</v>
      </c>
      <c r="D33" s="284"/>
      <c r="E33" s="284"/>
      <c r="F33" s="284"/>
      <c r="G33" s="284"/>
      <c r="H33" s="284"/>
      <c r="J33" s="739"/>
      <c r="K33" s="266"/>
    </row>
    <row r="34" spans="2:11" ht="12.75" x14ac:dyDescent="0.2">
      <c r="J34" s="739"/>
      <c r="K34" s="266"/>
    </row>
    <row r="35" spans="2:11" ht="12.75" x14ac:dyDescent="0.2">
      <c r="B35" s="1109" t="s">
        <v>265</v>
      </c>
      <c r="C35" s="1109"/>
      <c r="D35" s="1109"/>
      <c r="E35" s="1109"/>
      <c r="F35" s="1109"/>
      <c r="G35" s="1109"/>
      <c r="H35" s="1109"/>
      <c r="J35" s="739"/>
      <c r="K35" s="266"/>
    </row>
    <row r="36" spans="2:11" ht="12.75" x14ac:dyDescent="0.2">
      <c r="B36" s="1113" t="str">
        <f>IF([1]Milch!B59="","",[1]Milch!B59)</f>
        <v>Altkuherlös/kg LG</v>
      </c>
      <c r="C36" s="1114"/>
      <c r="D36" s="304">
        <f>IF([1]Milch!O59="","",[1]Milch!O59)</f>
        <v>0.46</v>
      </c>
      <c r="E36" s="305"/>
      <c r="F36" s="305"/>
      <c r="G36" s="305"/>
      <c r="H36" s="305"/>
      <c r="J36" s="739"/>
      <c r="K36" s="266"/>
    </row>
    <row r="37" spans="2:11" ht="12.75" x14ac:dyDescent="0.2">
      <c r="B37" s="1113" t="str">
        <f>IF([1]Milch!B61="","",[1]Milch!B61)</f>
        <v>Kälberpreis weiblich</v>
      </c>
      <c r="C37" s="1114"/>
      <c r="D37" s="304">
        <f>IF([1]Milch!O61="","",[1]Milch!O61)</f>
        <v>350.4</v>
      </c>
      <c r="E37" s="305" t="str">
        <f>IF([1]Milch!$B$63="","",[1]Milch!$B$63)</f>
        <v>Abkalbequote</v>
      </c>
      <c r="F37" s="721">
        <f>IF([1]Milch!$E$63="","",[1]Milch!$E$63)</f>
        <v>0.9</v>
      </c>
      <c r="G37" s="305"/>
      <c r="H37" s="305"/>
      <c r="J37" s="739"/>
      <c r="K37" s="266"/>
    </row>
    <row r="38" spans="2:11" ht="12.75" x14ac:dyDescent="0.2">
      <c r="B38" s="1113" t="str">
        <f>IF([1]Milch!G59="","",[1]Milch!G59)</f>
        <v>Kälberpreis männlich</v>
      </c>
      <c r="C38" s="1114"/>
      <c r="D38" s="304">
        <f>IF([1]Milch!R59="","",[1]Milch!R59)</f>
        <v>136.32</v>
      </c>
      <c r="J38" s="739"/>
      <c r="K38" s="266"/>
    </row>
    <row r="39" spans="2:11" ht="12.75" x14ac:dyDescent="0.2">
      <c r="B39" s="1113" t="str">
        <f>IF([1]Milch!G61="","",[1]Milch!G61)</f>
        <v>Aufzuchtkosten Rind</v>
      </c>
      <c r="C39" s="1114"/>
      <c r="D39" s="304">
        <f>IF([1]Milch!R61="","",[1]Milch!R61)</f>
        <v>782.4</v>
      </c>
      <c r="E39" s="306" t="s">
        <v>266</v>
      </c>
      <c r="F39" s="306"/>
      <c r="G39" s="306"/>
      <c r="H39" s="306"/>
      <c r="J39" s="739"/>
      <c r="K39" s="266"/>
    </row>
    <row r="40" spans="2:11" ht="12.75" x14ac:dyDescent="0.2">
      <c r="B40" s="1109" t="s">
        <v>267</v>
      </c>
      <c r="C40" s="1109"/>
      <c r="D40" s="1109"/>
      <c r="E40" s="1109"/>
      <c r="F40" s="1109"/>
      <c r="G40" s="1109"/>
      <c r="H40" s="1109"/>
      <c r="J40" s="739"/>
      <c r="K40" s="266"/>
    </row>
    <row r="41" spans="2:11" ht="13.5" thickBot="1" x14ac:dyDescent="0.25">
      <c r="B41" s="1112"/>
      <c r="C41" s="1112"/>
      <c r="D41" s="308" t="s">
        <v>268</v>
      </c>
      <c r="E41" s="309" t="s">
        <v>422</v>
      </c>
      <c r="F41" s="309" t="s">
        <v>269</v>
      </c>
      <c r="G41" s="307"/>
      <c r="H41" s="307"/>
      <c r="J41" s="739"/>
      <c r="K41" s="266"/>
    </row>
    <row r="42" spans="2:11" ht="13.5" thickBot="1" x14ac:dyDescent="0.25">
      <c r="B42" s="285" t="str">
        <f>IF([1]Milch!B67="","-",[1]Milch!B67)</f>
        <v>Molkereigeld</v>
      </c>
      <c r="C42" s="285"/>
      <c r="D42" s="304">
        <f>IF([1]Milch!O67="","",[1]Milch!O67)</f>
        <v>0.33</v>
      </c>
      <c r="E42" s="817">
        <f>IF(C19="","",C19)</f>
        <v>3175.3846153846152</v>
      </c>
      <c r="F42" s="310"/>
      <c r="G42" s="284"/>
      <c r="H42" s="284"/>
      <c r="J42" s="739"/>
      <c r="K42" s="266"/>
    </row>
    <row r="43" spans="2:11" ht="13.5" thickBot="1" x14ac:dyDescent="0.25">
      <c r="B43" s="285" t="str">
        <f>IF([1]Milch!B69="","-",[1]Milch!B69)</f>
        <v>Ab-Hof</v>
      </c>
      <c r="C43" s="285"/>
      <c r="D43" s="304">
        <f>IF([1]Milch!O69="","",[1]Milch!O69)</f>
        <v>0.56000000000000005</v>
      </c>
      <c r="E43" s="817">
        <f>IF(C20="","",C20)</f>
        <v>288</v>
      </c>
      <c r="F43" s="735"/>
      <c r="G43" s="284"/>
      <c r="H43" s="284"/>
      <c r="J43" s="739"/>
      <c r="K43" s="266"/>
    </row>
    <row r="44" spans="2:11" ht="13.5" thickBot="1" x14ac:dyDescent="0.25">
      <c r="B44" s="285" t="str">
        <f>IF([1]Milch!B71="","-",[1]Milch!B71)</f>
        <v>Eigen- u. Gästeverbrauch</v>
      </c>
      <c r="C44" s="285"/>
      <c r="D44" s="304">
        <f>IF([1]Milch!O71="","",[1]Milch!O71)</f>
        <v>0.56000000000000005</v>
      </c>
      <c r="E44" s="817">
        <f>IF(C21="","",C21)</f>
        <v>62</v>
      </c>
      <c r="F44" s="310"/>
      <c r="G44" s="284"/>
      <c r="H44" s="284"/>
      <c r="J44" s="739"/>
      <c r="K44" s="266"/>
    </row>
    <row r="45" spans="2:11" ht="12.75" x14ac:dyDescent="0.2">
      <c r="B45" s="285" t="str">
        <f>IF([1]Milch!B73="","-",[1]Milch!B73)</f>
        <v>Butter</v>
      </c>
      <c r="C45" s="285"/>
      <c r="D45" s="304">
        <f>IF([1]Milch!O73="","",[1]Milch!O73)</f>
        <v>5.57</v>
      </c>
      <c r="E45" s="818">
        <f t="shared" ref="E45:E50" si="0">IF(AND(D25="",E25=""),"",SUM(D25:E25))</f>
        <v>36</v>
      </c>
      <c r="F45" s="741">
        <f>D45*E45</f>
        <v>200.52</v>
      </c>
      <c r="G45" s="284"/>
      <c r="H45" s="284"/>
      <c r="J45" s="739"/>
      <c r="K45" s="266"/>
    </row>
    <row r="46" spans="2:11" ht="12.75" x14ac:dyDescent="0.2">
      <c r="B46" s="285" t="str">
        <f>IF([1]Milch!B75="","-",[1]Milch!B75)</f>
        <v>Jogurt</v>
      </c>
      <c r="C46" s="311"/>
      <c r="D46" s="304">
        <f>IF([1]Milch!O75="","",[1]Milch!O75)</f>
        <v>1.77</v>
      </c>
      <c r="E46" s="818">
        <f t="shared" si="0"/>
        <v>768</v>
      </c>
      <c r="F46" s="742">
        <f>D46*E46</f>
        <v>1359.3600000000001</v>
      </c>
      <c r="G46" s="284"/>
      <c r="H46" s="284"/>
      <c r="J46" s="739"/>
      <c r="K46" s="266"/>
    </row>
    <row r="47" spans="2:11" ht="13.5" thickBot="1" x14ac:dyDescent="0.25">
      <c r="B47" s="285" t="str">
        <f>IF([1]Milch!G67="","-",[1]Milch!G67)</f>
        <v>Topfen aus Vollmilch</v>
      </c>
      <c r="C47" s="311"/>
      <c r="D47" s="304">
        <f>IF([1]Milch!R67="","",[1]Milch!R67)</f>
        <v>2.21</v>
      </c>
      <c r="E47" s="818" t="str">
        <f t="shared" si="0"/>
        <v/>
      </c>
      <c r="F47" s="742"/>
      <c r="G47" s="284"/>
      <c r="H47" s="284"/>
      <c r="J47" s="739"/>
      <c r="K47" s="266"/>
    </row>
    <row r="48" spans="2:11" ht="13.5" thickBot="1" x14ac:dyDescent="0.25">
      <c r="B48" s="285" t="str">
        <f>IF([1]Milch!G69="","-",[1]Milch!G69)</f>
        <v>Käse</v>
      </c>
      <c r="C48" s="285"/>
      <c r="D48" s="304">
        <f>IF([1]Milch!R69="","",[1]Milch!R69)</f>
        <v>7.63</v>
      </c>
      <c r="E48" s="817">
        <f t="shared" si="0"/>
        <v>28</v>
      </c>
      <c r="F48" s="310"/>
      <c r="G48" s="284"/>
      <c r="H48" s="284"/>
      <c r="J48" s="739"/>
      <c r="K48" s="266"/>
    </row>
    <row r="49" spans="2:11" ht="12.75" x14ac:dyDescent="0.2">
      <c r="B49" s="285" t="str">
        <f>IF([1]Milch!G71="","-",[1]Milch!G71)</f>
        <v>-</v>
      </c>
      <c r="C49" s="311"/>
      <c r="D49" s="304" t="str">
        <f>IF([1]Milch!R71="","",[1]Milch!R71)</f>
        <v/>
      </c>
      <c r="E49" s="818" t="str">
        <f t="shared" si="0"/>
        <v/>
      </c>
      <c r="F49" s="741"/>
      <c r="G49" s="284"/>
      <c r="H49" s="284"/>
      <c r="J49" s="739"/>
      <c r="K49" s="266"/>
    </row>
    <row r="50" spans="2:11" ht="12.75" x14ac:dyDescent="0.2">
      <c r="B50" s="285" t="str">
        <f>IF([1]Milch!G73="","-",[1]Milch!G73)</f>
        <v>-</v>
      </c>
      <c r="C50" s="311"/>
      <c r="D50" s="304" t="str">
        <f>IF([1]Milch!R73="","",[1]Milch!R73)</f>
        <v/>
      </c>
      <c r="E50" s="818" t="str">
        <f t="shared" si="0"/>
        <v/>
      </c>
      <c r="F50" s="742"/>
      <c r="G50" s="284"/>
      <c r="H50" s="284"/>
      <c r="J50" s="739"/>
      <c r="K50" s="266"/>
    </row>
    <row r="51" spans="2:11" ht="13.5" thickBot="1" x14ac:dyDescent="0.25">
      <c r="B51" s="285" t="str">
        <f>IF([1]Milch!G75="","-",[1]Milch!G75)</f>
        <v>Magermilch</v>
      </c>
      <c r="C51" s="285"/>
      <c r="D51" s="304">
        <f>IF([1]Milch!R75="","",[1]Milch!R75)</f>
        <v>0.05</v>
      </c>
      <c r="E51" s="818">
        <f>IF(C33="","",C33)</f>
        <v>0</v>
      </c>
      <c r="F51" s="742">
        <f>D51*E51</f>
        <v>0</v>
      </c>
      <c r="G51" s="284"/>
      <c r="H51" s="284"/>
      <c r="J51" s="739"/>
      <c r="K51" s="266"/>
    </row>
    <row r="52" spans="2:11" ht="13.5" thickBot="1" x14ac:dyDescent="0.25">
      <c r="B52" s="1115" t="s">
        <v>270</v>
      </c>
      <c r="C52" s="1116"/>
      <c r="D52" s="312"/>
      <c r="E52" s="312"/>
      <c r="F52" s="313"/>
      <c r="G52" s="312"/>
      <c r="H52" s="312"/>
      <c r="J52" s="739"/>
      <c r="K52" s="266"/>
    </row>
    <row r="53" spans="2:11" ht="13.5" thickBot="1" x14ac:dyDescent="0.25">
      <c r="B53" s="289" t="s">
        <v>271</v>
      </c>
      <c r="C53" s="289"/>
      <c r="D53" s="284"/>
      <c r="E53" s="314"/>
      <c r="F53" s="310"/>
      <c r="G53" s="284"/>
      <c r="H53" s="284"/>
      <c r="J53" s="739"/>
      <c r="K53" s="266"/>
    </row>
    <row r="54" spans="2:11" ht="13.5" thickBot="1" x14ac:dyDescent="0.25">
      <c r="B54" s="289" t="s">
        <v>272</v>
      </c>
      <c r="C54" s="289"/>
      <c r="D54" s="284"/>
      <c r="E54" s="314"/>
      <c r="F54" s="310"/>
      <c r="G54" s="284"/>
      <c r="H54" s="284"/>
      <c r="J54" s="739"/>
      <c r="K54" s="266"/>
    </row>
    <row r="55" spans="2:11" ht="13.5" thickBot="1" x14ac:dyDescent="0.25">
      <c r="B55" s="315" t="s">
        <v>273</v>
      </c>
      <c r="C55" s="315"/>
      <c r="D55" s="315"/>
      <c r="E55" s="315"/>
      <c r="F55" s="313"/>
      <c r="G55" s="315"/>
      <c r="H55" s="316" t="str">
        <f>IF(F55="","",F55)</f>
        <v/>
      </c>
      <c r="J55" s="739"/>
      <c r="K55" s="266"/>
    </row>
    <row r="56" spans="2:11" ht="12.75" x14ac:dyDescent="0.2">
      <c r="J56" s="739"/>
      <c r="K56" s="266"/>
    </row>
    <row r="57" spans="2:11" ht="12.75" customHeight="1" x14ac:dyDescent="0.2">
      <c r="B57" s="269" t="s">
        <v>274</v>
      </c>
      <c r="C57" s="269"/>
      <c r="D57" s="269"/>
      <c r="E57" s="269"/>
      <c r="F57" s="269"/>
      <c r="G57" s="269"/>
      <c r="H57" s="269"/>
      <c r="J57" s="739"/>
      <c r="K57" s="266"/>
    </row>
    <row r="58" spans="2:11" ht="13.5" thickBot="1" x14ac:dyDescent="0.25">
      <c r="B58" s="1109" t="s">
        <v>275</v>
      </c>
      <c r="C58" s="1109"/>
      <c r="D58" s="283" t="s">
        <v>268</v>
      </c>
      <c r="E58" s="283" t="s">
        <v>276</v>
      </c>
      <c r="F58" s="283" t="s">
        <v>269</v>
      </c>
      <c r="G58" s="283"/>
      <c r="H58" s="283"/>
      <c r="J58" s="739"/>
      <c r="K58" s="266"/>
    </row>
    <row r="59" spans="2:11" ht="13.5" thickBot="1" x14ac:dyDescent="0.25">
      <c r="B59" s="1110" t="str">
        <f>IF([1]Milch!B81="","",[1]Milch!B81)</f>
        <v>Bestandesergänzung</v>
      </c>
      <c r="C59" s="1111"/>
      <c r="D59" s="304" t="str">
        <f>IF([1]Milch!O81="","",[1]Milch!O81)</f>
        <v/>
      </c>
      <c r="E59" s="317"/>
      <c r="F59" s="318"/>
      <c r="G59" s="284"/>
      <c r="H59" s="284"/>
      <c r="J59" s="739"/>
      <c r="K59" s="266"/>
    </row>
    <row r="60" spans="2:11" ht="13.5" thickBot="1" x14ac:dyDescent="0.25">
      <c r="B60" s="1110" t="str">
        <f>IF([1]Milch!B83="","",[1]Milch!B83)</f>
        <v>KF</v>
      </c>
      <c r="C60" s="1111"/>
      <c r="D60" s="304">
        <f>IF([1]Milch!O83="","",[1]Milch!O83)</f>
        <v>0.35</v>
      </c>
      <c r="E60" s="317">
        <f>IF([1]Milch!P83="","",[1]Milch!P83)</f>
        <v>979</v>
      </c>
      <c r="F60" s="310"/>
      <c r="G60" s="284"/>
      <c r="H60" s="284"/>
      <c r="J60" s="739"/>
      <c r="K60" s="266"/>
    </row>
    <row r="61" spans="2:11" ht="13.5" thickBot="1" x14ac:dyDescent="0.25">
      <c r="B61" s="1110" t="str">
        <f>IF([1]Milch!B85="","",[1]Milch!B85)</f>
        <v>Mineralstoffmischung</v>
      </c>
      <c r="C61" s="1111"/>
      <c r="D61" s="304">
        <f>IF([1]Milch!O85="","",[1]Milch!O85)</f>
        <v>0.56000000000000005</v>
      </c>
      <c r="E61" s="317">
        <f>IF([1]Milch!P85="","",[1]Milch!P85)</f>
        <v>47</v>
      </c>
      <c r="F61" s="310"/>
      <c r="G61" s="284"/>
      <c r="H61" s="284"/>
      <c r="J61" s="739"/>
      <c r="K61" s="266"/>
    </row>
    <row r="62" spans="2:11" ht="13.5" thickBot="1" x14ac:dyDescent="0.25">
      <c r="B62" s="1110" t="str">
        <f>IF([1]Milch!B87="","",[1]Milch!B87)</f>
        <v>Tierarzt</v>
      </c>
      <c r="C62" s="1111"/>
      <c r="D62" s="304">
        <f>IF([1]Milch!O87="","",[1]Milch!O87)</f>
        <v>55.68</v>
      </c>
      <c r="E62" s="317" t="str">
        <f>IF([1]Milch!P87="","",[1]Milch!P87)</f>
        <v/>
      </c>
      <c r="F62" s="736"/>
      <c r="G62" s="284"/>
      <c r="H62" s="284"/>
      <c r="J62" s="739"/>
      <c r="K62" s="266"/>
    </row>
    <row r="63" spans="2:11" ht="13.5" thickBot="1" x14ac:dyDescent="0.25">
      <c r="B63" s="1110" t="str">
        <f>IF([1]Milch!B89="","",[1]Milch!B89)</f>
        <v>Deckgeld</v>
      </c>
      <c r="C63" s="1111"/>
      <c r="D63" s="304">
        <f>IF([1]Milch!O89="","",[1]Milch!O89)</f>
        <v>30.72</v>
      </c>
      <c r="E63" s="317" t="str">
        <f>IF([1]Milch!P89="","",[1]Milch!P89)</f>
        <v/>
      </c>
      <c r="F63" s="318"/>
      <c r="G63" s="284"/>
      <c r="H63" s="284"/>
      <c r="J63" s="739"/>
      <c r="K63" s="266"/>
    </row>
    <row r="64" spans="2:11" ht="12.75" x14ac:dyDescent="0.2">
      <c r="B64" s="1110" t="str">
        <f>IF([1]Milch!B91="","",[1]Milch!B91)</f>
        <v>Kontrollgebühren</v>
      </c>
      <c r="C64" s="1111"/>
      <c r="D64" s="304">
        <f>IF([1]Milch!O91="","",[1]Milch!O91)</f>
        <v>9.6</v>
      </c>
      <c r="E64" s="317" t="str">
        <f>IF([1]Milch!P91="","",[1]Milch!P91)</f>
        <v/>
      </c>
      <c r="F64" s="743">
        <f>D64</f>
        <v>9.6</v>
      </c>
      <c r="G64" s="284"/>
      <c r="H64" s="284"/>
      <c r="J64" s="739"/>
      <c r="K64" s="266"/>
    </row>
    <row r="65" spans="2:11" ht="13.5" thickBot="1" x14ac:dyDescent="0.25">
      <c r="B65" s="1110" t="str">
        <f>IF([1]Milch!B93="","",[1]Milch!B93)</f>
        <v>Versicherung</v>
      </c>
      <c r="C65" s="1111"/>
      <c r="D65" s="304">
        <f>IF([1]Milch!O93="","",[1]Milch!O93)</f>
        <v>21.12</v>
      </c>
      <c r="E65" s="319" t="str">
        <f>IF([1]Milch!P93="","",[1]Milch!P93)</f>
        <v/>
      </c>
      <c r="F65" s="742">
        <f>D65</f>
        <v>21.12</v>
      </c>
      <c r="G65" s="284"/>
      <c r="H65" s="284"/>
      <c r="J65" s="739"/>
      <c r="K65" s="266"/>
    </row>
    <row r="66" spans="2:11" ht="13.5" thickBot="1" x14ac:dyDescent="0.25">
      <c r="B66" s="1110" t="str">
        <f>IF([1]Milch!B95="","",[1]Milch!B95)</f>
        <v>Alpung</v>
      </c>
      <c r="C66" s="1111"/>
      <c r="D66" s="304">
        <f>IF([1]Milch!O95="","",[1]Milch!O95)</f>
        <v>81.599999999999994</v>
      </c>
      <c r="E66" s="317" t="str">
        <f>IF([1]Milch!P95="","",[1]Milch!P95)</f>
        <v/>
      </c>
      <c r="F66" s="318"/>
      <c r="G66" s="284"/>
      <c r="H66" s="284"/>
      <c r="J66" s="739"/>
      <c r="K66" s="266"/>
    </row>
    <row r="67" spans="2:11" ht="13.5" thickBot="1" x14ac:dyDescent="0.25">
      <c r="B67" s="1110" t="str">
        <f>IF([1]Milch!B97="","",[1]Milch!B97)</f>
        <v>Energie</v>
      </c>
      <c r="C67" s="1111"/>
      <c r="D67" s="304">
        <f>IF([1]Milch!O97="","",[1]Milch!O97)</f>
        <v>31.68</v>
      </c>
      <c r="E67" s="317" t="str">
        <f>IF([1]Milch!P97="","",[1]Milch!P97)</f>
        <v/>
      </c>
      <c r="F67" s="737"/>
      <c r="G67" s="284"/>
      <c r="H67" s="284"/>
      <c r="J67" s="739"/>
      <c r="K67" s="266"/>
    </row>
    <row r="68" spans="2:11" ht="13.5" thickBot="1" x14ac:dyDescent="0.25">
      <c r="B68" s="1110" t="str">
        <f>IF([1]Milch!B99="","",[1]Milch!B99)</f>
        <v>Einstreu</v>
      </c>
      <c r="C68" s="1111"/>
      <c r="D68" s="304">
        <f>IF([1]Milch!O99="","",[1]Milch!O99)</f>
        <v>0.11</v>
      </c>
      <c r="E68" s="317">
        <f>IF([1]Milch!P99="","",[1]Milch!P99)</f>
        <v>394</v>
      </c>
      <c r="F68" s="310"/>
      <c r="G68" s="284"/>
      <c r="H68" s="284"/>
      <c r="J68" s="739"/>
      <c r="K68" s="266"/>
    </row>
    <row r="69" spans="2:11" ht="13.5" thickBot="1" x14ac:dyDescent="0.25">
      <c r="B69" s="1110" t="str">
        <f>IF([1]Milch!B101="","",[1]Milch!B101)</f>
        <v>Vermarktungs-/Verarbeitungskosten</v>
      </c>
      <c r="C69" s="1111"/>
      <c r="D69" s="320">
        <f>IF([1]Milch!O101="","",[1]Milch!O101)</f>
        <v>111.36</v>
      </c>
      <c r="E69" s="317" t="str">
        <f>IF([1]Milch!P101="","",[1]Milch!P101)</f>
        <v/>
      </c>
      <c r="F69" s="736"/>
      <c r="G69" s="1120" t="str">
        <f>IF([1]Milch!M101="","",[1]Milch!M101)</f>
        <v/>
      </c>
      <c r="H69" s="1121"/>
      <c r="J69" s="739"/>
      <c r="K69" s="266"/>
    </row>
    <row r="70" spans="2:11" ht="13.5" thickBot="1" x14ac:dyDescent="0.25">
      <c r="B70" s="1110" t="str">
        <f>IF([1]Milch!B103="","",[1]Milch!B103)</f>
        <v>Verpackung</v>
      </c>
      <c r="C70" s="1111"/>
      <c r="D70" s="321">
        <f>IF([1]Milch!O103="","",[1]Milch!O103)</f>
        <v>499.2</v>
      </c>
      <c r="E70" s="317" t="str">
        <f>IF([1]Milch!P103="","",[1]Milch!P103)</f>
        <v/>
      </c>
      <c r="F70" s="310"/>
      <c r="G70" s="284"/>
      <c r="H70" s="284"/>
      <c r="J70" s="739"/>
      <c r="K70" s="266"/>
    </row>
    <row r="71" spans="2:11" ht="13.5" thickBot="1" x14ac:dyDescent="0.25">
      <c r="B71" s="1110" t="str">
        <f>IF([1]Milch!B105="","",[1]Milch!B105)</f>
        <v xml:space="preserve">Energie und Reinigung </v>
      </c>
      <c r="C71" s="1111"/>
      <c r="D71" s="304">
        <f>IF([1]Milch!O105="","",[1]Milch!O105)</f>
        <v>82.56</v>
      </c>
      <c r="E71" s="317" t="str">
        <f>IF([1]Milch!P105="","",[1]Milch!P105)</f>
        <v/>
      </c>
      <c r="F71" s="744">
        <f>D71</f>
        <v>82.56</v>
      </c>
      <c r="G71" s="284"/>
      <c r="H71" s="284"/>
      <c r="J71" s="739"/>
      <c r="K71" s="266"/>
    </row>
    <row r="72" spans="2:11" ht="13.5" thickBot="1" x14ac:dyDescent="0.25">
      <c r="B72" s="1110" t="str">
        <f>IF([1]Milch!B107="","",[1]Milch!B107)</f>
        <v>Zuteilbare FK Butterfass, Zentrifuge</v>
      </c>
      <c r="C72" s="1111"/>
      <c r="D72" s="304">
        <f>IF([1]Milch!O107="","",[1]Milch!O107)</f>
        <v>209.28</v>
      </c>
      <c r="E72" s="317" t="str">
        <f>IF([1]Milch!P107="","",[1]Milch!P107)</f>
        <v/>
      </c>
      <c r="F72" s="318"/>
      <c r="G72" s="284"/>
      <c r="H72" s="284"/>
      <c r="J72" s="739"/>
      <c r="K72" s="266"/>
    </row>
    <row r="73" spans="2:11" ht="13.5" thickBot="1" x14ac:dyDescent="0.25">
      <c r="B73" s="1122" t="s">
        <v>277</v>
      </c>
      <c r="C73" s="1123"/>
      <c r="D73" s="315"/>
      <c r="E73" s="315"/>
      <c r="F73" s="738"/>
      <c r="G73" s="315"/>
      <c r="H73" s="316" t="str">
        <f>IF(F73="","",F73)</f>
        <v/>
      </c>
      <c r="J73" s="739"/>
      <c r="K73" s="266"/>
    </row>
    <row r="74" spans="2:11" ht="13.5" thickBot="1" x14ac:dyDescent="0.25">
      <c r="B74" s="322" t="s">
        <v>278</v>
      </c>
      <c r="C74" s="322"/>
      <c r="D74" s="322"/>
      <c r="E74" s="322"/>
      <c r="F74" s="932" t="s">
        <v>665</v>
      </c>
      <c r="G74" s="1139"/>
      <c r="H74" s="1140"/>
      <c r="J74" s="739"/>
      <c r="K74" s="266"/>
    </row>
    <row r="75" spans="2:11" ht="12.75" x14ac:dyDescent="0.2">
      <c r="J75" s="739"/>
      <c r="K75" s="266"/>
    </row>
    <row r="76" spans="2:11" ht="12.75" x14ac:dyDescent="0.2">
      <c r="B76" s="1109" t="s">
        <v>279</v>
      </c>
      <c r="C76" s="1109"/>
      <c r="D76" s="1109"/>
      <c r="E76" s="1109"/>
      <c r="F76" s="1109"/>
      <c r="G76" s="1109"/>
      <c r="H76" s="1109"/>
      <c r="J76" s="739"/>
      <c r="K76" s="266"/>
    </row>
    <row r="77" spans="2:11" ht="12.75" x14ac:dyDescent="0.2">
      <c r="B77" s="1147" t="s">
        <v>538</v>
      </c>
      <c r="C77" s="1148"/>
      <c r="D77" s="323">
        <f>G8-(H9*G11)</f>
        <v>19603.088500085712</v>
      </c>
      <c r="E77" s="324"/>
      <c r="F77" s="324"/>
      <c r="G77" s="284"/>
      <c r="H77" s="284"/>
      <c r="J77" s="739"/>
      <c r="K77" s="266"/>
    </row>
    <row r="78" spans="2:11" ht="12.75" x14ac:dyDescent="0.2">
      <c r="B78" s="1112" t="s">
        <v>280</v>
      </c>
      <c r="C78" s="325" t="s">
        <v>281</v>
      </c>
      <c r="D78" s="325" t="s">
        <v>281</v>
      </c>
      <c r="E78" s="1149" t="s">
        <v>282</v>
      </c>
      <c r="F78" s="308"/>
      <c r="G78" s="307"/>
      <c r="H78" s="307"/>
      <c r="J78" s="739"/>
      <c r="K78" s="266"/>
    </row>
    <row r="79" spans="2:11" ht="13.5" thickBot="1" x14ac:dyDescent="0.25">
      <c r="B79" s="1112"/>
      <c r="C79" s="325" t="s">
        <v>283</v>
      </c>
      <c r="D79" s="325" t="s">
        <v>284</v>
      </c>
      <c r="E79" s="1149" t="s">
        <v>139</v>
      </c>
      <c r="F79" s="308"/>
      <c r="G79" s="307"/>
      <c r="H79" s="307"/>
      <c r="J79" s="739"/>
      <c r="K79" s="266"/>
    </row>
    <row r="80" spans="2:11" ht="13.5" thickBot="1" x14ac:dyDescent="0.25">
      <c r="B80" s="267" t="str">
        <f>IF([1]Milch!B111="","",[1]Milch!B111)</f>
        <v>Heu</v>
      </c>
      <c r="C80" s="326">
        <f>IF([1]Milch!O111="","",[1]Milch!O111)</f>
        <v>0.79</v>
      </c>
      <c r="D80" s="327">
        <f>IF(C80="","",$D$77*C80)</f>
        <v>15486.439915067713</v>
      </c>
      <c r="E80" s="328">
        <f>IF([1]Milch!P111="","",[1]Milch!P111)</f>
        <v>0.02</v>
      </c>
      <c r="F80" s="735"/>
      <c r="G80" s="1138" t="s">
        <v>285</v>
      </c>
      <c r="H80" s="1138"/>
      <c r="J80" s="739"/>
      <c r="K80" s="266"/>
    </row>
    <row r="81" spans="2:11" ht="13.5" thickBot="1" x14ac:dyDescent="0.25">
      <c r="B81" s="329" t="str">
        <f>IF([1]Milch!B113="","",[1]Milch!B113)</f>
        <v>Grünfutter</v>
      </c>
      <c r="C81" s="326">
        <f>IF([1]Milch!O113="","",[1]Milch!O113)</f>
        <v>0.17</v>
      </c>
      <c r="D81" s="327">
        <f>IF(C81="","",$D$77*C81)</f>
        <v>3332.5250450145713</v>
      </c>
      <c r="E81" s="328">
        <f>IF([1]Milch!P113="","",[1]Milch!P113)</f>
        <v>1.2E-2</v>
      </c>
      <c r="F81" s="838"/>
      <c r="G81" s="1134"/>
      <c r="H81" s="1135"/>
      <c r="J81" s="739"/>
      <c r="K81" s="266"/>
    </row>
    <row r="82" spans="2:11" ht="13.5" thickBot="1" x14ac:dyDescent="0.25">
      <c r="B82" s="329" t="str">
        <f>IF([1]Milch!B115="","",[1]Milch!B115)</f>
        <v/>
      </c>
      <c r="C82" s="326" t="str">
        <f>IF([1]Milch!O115="","",[1]Milch!O115)</f>
        <v/>
      </c>
      <c r="D82" s="327" t="str">
        <f>IF(C82="","",$D$77*C82)</f>
        <v/>
      </c>
      <c r="E82" s="328" t="str">
        <f>IF([1]Milch!P115="","",[1]Milch!P115)</f>
        <v/>
      </c>
      <c r="F82" s="839" t="str">
        <f>IF(OR(D82="",E82=""),"",D82*E82)</f>
        <v/>
      </c>
      <c r="G82" s="1136"/>
      <c r="H82" s="1137"/>
      <c r="J82" s="739"/>
      <c r="K82" s="266"/>
    </row>
    <row r="83" spans="2:11" ht="13.5" thickBot="1" x14ac:dyDescent="0.25">
      <c r="B83" s="322" t="s">
        <v>286</v>
      </c>
      <c r="C83" s="322"/>
      <c r="D83" s="322"/>
      <c r="E83" s="322"/>
      <c r="F83" s="932" t="s">
        <v>666</v>
      </c>
      <c r="G83" s="1139"/>
      <c r="H83" s="1140"/>
      <c r="J83" s="739"/>
      <c r="K83" s="266"/>
    </row>
    <row r="84" spans="2:11" ht="12.75" x14ac:dyDescent="0.2">
      <c r="B84" s="1109" t="s">
        <v>170</v>
      </c>
      <c r="C84" s="1109"/>
      <c r="D84" s="1109"/>
      <c r="E84" s="1109"/>
      <c r="F84" s="1109"/>
      <c r="G84" s="1109"/>
      <c r="H84" s="1109"/>
      <c r="J84" s="739"/>
      <c r="K84" s="266"/>
    </row>
    <row r="85" spans="2:11" ht="12.75" customHeight="1" x14ac:dyDescent="0.2">
      <c r="B85" s="285" t="str">
        <f>IF([1]Milch!B119="","",[1]Milch!B119)</f>
        <v/>
      </c>
      <c r="C85" s="330"/>
      <c r="D85" s="285"/>
      <c r="E85" s="285"/>
      <c r="F85" s="285"/>
      <c r="G85" s="1143" t="str">
        <f>IF([1]Milch!O119="","",[1]Milch!O119)</f>
        <v/>
      </c>
      <c r="H85" s="1144"/>
      <c r="J85" s="739"/>
      <c r="K85" s="266"/>
    </row>
    <row r="86" spans="2:11" ht="12.75" customHeight="1" x14ac:dyDescent="0.2">
      <c r="B86" s="285" t="str">
        <f>IF([1]Milch!B121="","",[1]Milch!B121)</f>
        <v/>
      </c>
      <c r="C86" s="330"/>
      <c r="D86" s="285"/>
      <c r="E86" s="285"/>
      <c r="F86" s="285"/>
      <c r="G86" s="1143" t="str">
        <f>IF([1]Milch!O121="","",[1]Milch!O121)</f>
        <v/>
      </c>
      <c r="H86" s="1144"/>
      <c r="J86" s="739"/>
      <c r="K86" s="266"/>
    </row>
    <row r="87" spans="2:11" ht="13.5" customHeight="1" x14ac:dyDescent="0.2">
      <c r="B87" s="285" t="str">
        <f>IF([1]Milch!B123="","",[1]Milch!B123)</f>
        <v/>
      </c>
      <c r="C87" s="330"/>
      <c r="D87" s="285"/>
      <c r="E87" s="285"/>
      <c r="F87" s="285"/>
      <c r="G87" s="1145" t="str">
        <f>IF([1]Milch!O123="","",[1]Milch!O123)</f>
        <v/>
      </c>
      <c r="H87" s="1146"/>
      <c r="J87" s="739"/>
      <c r="K87" s="266"/>
    </row>
    <row r="88" spans="2:11" ht="13.5" thickBot="1" x14ac:dyDescent="0.25">
      <c r="B88" s="1122" t="s">
        <v>178</v>
      </c>
      <c r="C88" s="1123"/>
      <c r="D88" s="331"/>
      <c r="E88" s="312"/>
      <c r="F88" s="331"/>
      <c r="G88" s="1141">
        <f>SUM(G85:H87)</f>
        <v>0</v>
      </c>
      <c r="H88" s="1142"/>
      <c r="J88" s="739"/>
      <c r="K88" s="266"/>
    </row>
    <row r="89" spans="2:11" ht="13.5" thickBot="1" x14ac:dyDescent="0.25">
      <c r="B89" s="322" t="s">
        <v>287</v>
      </c>
      <c r="C89" s="322"/>
      <c r="D89" s="322"/>
      <c r="E89" s="322"/>
      <c r="F89" s="932" t="s">
        <v>667</v>
      </c>
      <c r="G89" s="1139"/>
      <c r="H89" s="1140"/>
      <c r="J89" s="739"/>
      <c r="K89" s="266"/>
    </row>
    <row r="90" spans="2:11" ht="12.75" x14ac:dyDescent="0.2">
      <c r="J90" s="739"/>
      <c r="K90" s="266"/>
    </row>
    <row r="91" spans="2:11" ht="12.75" x14ac:dyDescent="0.2">
      <c r="B91" s="1109" t="s">
        <v>288</v>
      </c>
      <c r="C91" s="1109"/>
      <c r="D91" s="1109"/>
      <c r="E91" s="1109"/>
      <c r="F91" s="1109"/>
      <c r="G91" s="1109"/>
      <c r="H91" s="1109"/>
      <c r="J91" s="739"/>
      <c r="K91" s="266"/>
    </row>
    <row r="92" spans="2:11" ht="12.75" x14ac:dyDescent="0.2">
      <c r="B92" s="285" t="s">
        <v>289</v>
      </c>
      <c r="C92" s="330"/>
      <c r="D92" s="330"/>
      <c r="E92" s="296">
        <f>IF([1]Milch!O127="","",[1]Milch!O127)</f>
        <v>29</v>
      </c>
      <c r="F92" s="146" t="s">
        <v>290</v>
      </c>
      <c r="G92" s="1132">
        <f>E92/60*D7</f>
        <v>139.19999999999999</v>
      </c>
      <c r="H92" s="1133"/>
      <c r="J92" s="739"/>
      <c r="K92" s="266"/>
    </row>
    <row r="93" spans="2:11" ht="13.5" thickBot="1" x14ac:dyDescent="0.25">
      <c r="B93" s="285" t="s">
        <v>291</v>
      </c>
      <c r="C93" s="330"/>
      <c r="D93" s="330"/>
      <c r="E93" s="330"/>
      <c r="F93" s="285"/>
      <c r="G93" s="1130">
        <f>IF(AND(AND(C25="",F25=""),AND(C26="",F26=""),AND(C27="",F27=""),AND(C28="",F28=""),AND(C29="",F29=""),AND(C30="",F30="")),"",SUM(IF(OR(F25="",C25=""),0,(F25*C25)),IF(OR(F26="",C26=""),0,(F26*C26)),IF(OR(F27="",C27=""),0,(F27*C27)),IF(OR(F28="",C28=""),0,(F28*C28)),IF(OR(F29="",C29=""),0,(F29*C29)),IF(OR(F30="",C30=""),0,(F30*C30))))/100</f>
        <v>63.223999999999997</v>
      </c>
      <c r="H93" s="1131"/>
      <c r="J93" s="739"/>
      <c r="K93" s="266"/>
    </row>
    <row r="94" spans="2:11" ht="13.5" thickBot="1" x14ac:dyDescent="0.25">
      <c r="B94" s="312" t="s">
        <v>292</v>
      </c>
      <c r="C94" s="312"/>
      <c r="D94" s="312"/>
      <c r="E94" s="331"/>
      <c r="F94" s="331"/>
      <c r="G94" s="1128"/>
      <c r="H94" s="1129"/>
      <c r="J94" s="739"/>
      <c r="K94" s="266"/>
    </row>
    <row r="95" spans="2:11" ht="13.5" thickBot="1" x14ac:dyDescent="0.25">
      <c r="B95" s="1117" t="s">
        <v>46</v>
      </c>
      <c r="C95" s="1117"/>
      <c r="D95" s="1117"/>
      <c r="E95" s="1117"/>
      <c r="F95" s="1117"/>
      <c r="G95" s="1118"/>
      <c r="H95" s="1119"/>
      <c r="J95" s="739"/>
      <c r="K95" s="266"/>
    </row>
    <row r="96" spans="2:11" ht="12.75" x14ac:dyDescent="0.2">
      <c r="J96" s="739"/>
      <c r="K96" s="266"/>
    </row>
    <row r="97" spans="10:10" ht="12.75" hidden="1" x14ac:dyDescent="0.2">
      <c r="J97" s="1"/>
    </row>
    <row r="98" spans="10:10" ht="12.75" hidden="1" x14ac:dyDescent="0.2">
      <c r="J98" s="1"/>
    </row>
    <row r="99" spans="10:10" ht="12.75" hidden="1" x14ac:dyDescent="0.2">
      <c r="J99" s="1"/>
    </row>
    <row r="100" spans="10:10" ht="12.75" hidden="1" x14ac:dyDescent="0.2">
      <c r="J100" s="1"/>
    </row>
    <row r="101" spans="10:10" ht="12.75" hidden="1" x14ac:dyDescent="0.2">
      <c r="J101" s="1"/>
    </row>
    <row r="102" spans="10:10" ht="12.75" hidden="1" x14ac:dyDescent="0.2">
      <c r="J102" s="1"/>
    </row>
    <row r="103" spans="10:10" ht="12.75" hidden="1" x14ac:dyDescent="0.2">
      <c r="J103" s="1"/>
    </row>
    <row r="104" spans="10:10" ht="12.75" hidden="1" x14ac:dyDescent="0.2">
      <c r="J104" s="1"/>
    </row>
    <row r="105" spans="10:10" ht="12.75" hidden="1" x14ac:dyDescent="0.2">
      <c r="J105" s="1"/>
    </row>
    <row r="106" spans="10:10" ht="12.75" hidden="1" x14ac:dyDescent="0.2">
      <c r="J106" s="1"/>
    </row>
    <row r="107" spans="10:10" ht="12.75" hidden="1" x14ac:dyDescent="0.2">
      <c r="J107" s="1"/>
    </row>
    <row r="108" spans="10:10" ht="12.75" hidden="1" x14ac:dyDescent="0.2">
      <c r="J108" s="1"/>
    </row>
    <row r="109" spans="10:10" ht="12.75" hidden="1" x14ac:dyDescent="0.2">
      <c r="J109" s="1"/>
    </row>
    <row r="110" spans="10:10" ht="12.75" hidden="1" x14ac:dyDescent="0.2">
      <c r="J110" s="1"/>
    </row>
    <row r="111" spans="10:10" ht="12.75" hidden="1" x14ac:dyDescent="0.2">
      <c r="J111" s="1"/>
    </row>
    <row r="112" spans="10:10" ht="12.75" hidden="1" x14ac:dyDescent="0.2">
      <c r="J112" s="1"/>
    </row>
    <row r="113" spans="10:10" ht="12.75" hidden="1" x14ac:dyDescent="0.2">
      <c r="J113" s="1"/>
    </row>
    <row r="114" spans="10:10" ht="12.75" hidden="1" x14ac:dyDescent="0.2">
      <c r="J114" s="1"/>
    </row>
    <row r="115" spans="10:10" ht="12.75" hidden="1" x14ac:dyDescent="0.2">
      <c r="J115" s="1"/>
    </row>
    <row r="116" spans="10:10" ht="12.75" hidden="1" x14ac:dyDescent="0.2">
      <c r="J116" s="1"/>
    </row>
    <row r="117" spans="10:10" ht="12.75" hidden="1" x14ac:dyDescent="0.2">
      <c r="J117" s="1"/>
    </row>
    <row r="118" spans="10:10" ht="12.75" hidden="1" x14ac:dyDescent="0.2">
      <c r="J118" s="1"/>
    </row>
    <row r="119" spans="10:10" ht="12.75" hidden="1" x14ac:dyDescent="0.2">
      <c r="J119" s="1"/>
    </row>
    <row r="120" spans="10:10" ht="12.75" hidden="1" x14ac:dyDescent="0.2">
      <c r="J120" s="1"/>
    </row>
    <row r="121" spans="10:10" ht="12.75" hidden="1" x14ac:dyDescent="0.2">
      <c r="J121" s="1"/>
    </row>
    <row r="122" spans="10:10" ht="12.75" hidden="1" x14ac:dyDescent="0.2">
      <c r="J122" s="1"/>
    </row>
    <row r="123" spans="10:10" ht="12.75" hidden="1" x14ac:dyDescent="0.2">
      <c r="J123" s="1"/>
    </row>
    <row r="124" spans="10:10" ht="12.75" hidden="1" x14ac:dyDescent="0.2">
      <c r="J124" s="1"/>
    </row>
    <row r="125" spans="10:10" ht="12.75" hidden="1" x14ac:dyDescent="0.2">
      <c r="J125" s="1"/>
    </row>
    <row r="126" spans="10:10" ht="12.75" hidden="1" x14ac:dyDescent="0.2">
      <c r="J126" s="1"/>
    </row>
    <row r="127" spans="10:10" ht="12.75" hidden="1" x14ac:dyDescent="0.2">
      <c r="J127" s="1"/>
    </row>
    <row r="128" spans="10:10" ht="12.75" hidden="1" x14ac:dyDescent="0.2">
      <c r="J128" s="1"/>
    </row>
    <row r="129" spans="10:10" ht="12.75" hidden="1" x14ac:dyDescent="0.2">
      <c r="J129" s="1"/>
    </row>
    <row r="130" spans="10:10" ht="12.75" hidden="1" x14ac:dyDescent="0.2">
      <c r="J130" s="1"/>
    </row>
    <row r="131" spans="10:10" ht="12.75" hidden="1" x14ac:dyDescent="0.2">
      <c r="J131" s="1"/>
    </row>
    <row r="132" spans="10:10" ht="12.75" hidden="1" customHeight="1" x14ac:dyDescent="0.2">
      <c r="J132" s="1"/>
    </row>
    <row r="133" spans="10:10" ht="12.75" hidden="1" customHeight="1" x14ac:dyDescent="0.2">
      <c r="J133" s="1"/>
    </row>
    <row r="134" spans="10:10" ht="12.75" hidden="1" customHeight="1" x14ac:dyDescent="0.2">
      <c r="J134" s="1"/>
    </row>
    <row r="135" spans="10:10" ht="12.75" hidden="1" customHeight="1" x14ac:dyDescent="0.2">
      <c r="J135" s="1"/>
    </row>
    <row r="136" spans="10:10" ht="12.75" hidden="1" customHeight="1" x14ac:dyDescent="0.2">
      <c r="J136" s="1"/>
    </row>
    <row r="137" spans="10:10" ht="12.75" hidden="1" customHeight="1" x14ac:dyDescent="0.2">
      <c r="J137" s="1"/>
    </row>
    <row r="138" spans="10:10" ht="12.75" hidden="1" customHeight="1" x14ac:dyDescent="0.2">
      <c r="J138" s="1"/>
    </row>
    <row r="139" spans="10:10" ht="12.75" hidden="1" customHeight="1" x14ac:dyDescent="0.2">
      <c r="J139" s="1"/>
    </row>
    <row r="140" spans="10:10" ht="12.75" hidden="1" customHeight="1" x14ac:dyDescent="0.2">
      <c r="J140" s="1"/>
    </row>
    <row r="141" spans="10:10" ht="12.75" hidden="1" customHeight="1" x14ac:dyDescent="0.2">
      <c r="J141" s="1"/>
    </row>
    <row r="142" spans="10:10" ht="12.75" hidden="1" customHeight="1" x14ac:dyDescent="0.2">
      <c r="J142" s="1"/>
    </row>
    <row r="143" spans="10:10" ht="12.75" hidden="1" customHeight="1" x14ac:dyDescent="0.2">
      <c r="J143" s="1"/>
    </row>
    <row r="144" spans="10:10" ht="12.75" hidden="1" customHeight="1" x14ac:dyDescent="0.2">
      <c r="J144" s="1"/>
    </row>
    <row r="145" spans="10:10" ht="12.75" hidden="1" customHeight="1" x14ac:dyDescent="0.2">
      <c r="J145" s="1"/>
    </row>
    <row r="146" spans="10:10" ht="12.75" hidden="1" customHeight="1" x14ac:dyDescent="0.2">
      <c r="J146" s="1"/>
    </row>
    <row r="147" spans="10:10" ht="12.75" hidden="1" customHeight="1" x14ac:dyDescent="0.2">
      <c r="J147" s="1"/>
    </row>
    <row r="148" spans="10:10" ht="12.75" hidden="1" customHeight="1" x14ac:dyDescent="0.2">
      <c r="J148" s="1"/>
    </row>
    <row r="149" spans="10:10" ht="12.75" hidden="1" customHeight="1" x14ac:dyDescent="0.2">
      <c r="J149" s="1"/>
    </row>
    <row r="150" spans="10:10" ht="12.75" hidden="1" customHeight="1" x14ac:dyDescent="0.2">
      <c r="J150" s="1"/>
    </row>
    <row r="151" spans="10:10" ht="12.75" hidden="1" customHeight="1" x14ac:dyDescent="0.2">
      <c r="J151" s="1"/>
    </row>
    <row r="152" spans="10:10" ht="12.75" hidden="1" customHeight="1" x14ac:dyDescent="0.2">
      <c r="J152" s="1"/>
    </row>
    <row r="153" spans="10:10" ht="12.75" hidden="1" customHeight="1" x14ac:dyDescent="0.2">
      <c r="J153" s="1"/>
    </row>
    <row r="154" spans="10:10" ht="12.75" hidden="1" customHeight="1" x14ac:dyDescent="0.2">
      <c r="J154" s="1"/>
    </row>
    <row r="155" spans="10:10" ht="12.75" hidden="1" customHeight="1" x14ac:dyDescent="0.2">
      <c r="J155" s="1"/>
    </row>
    <row r="156" spans="10:10" ht="12.75" hidden="1" customHeight="1" x14ac:dyDescent="0.2">
      <c r="J156" s="1"/>
    </row>
    <row r="157" spans="10:10" ht="12.75" hidden="1" customHeight="1" x14ac:dyDescent="0.2">
      <c r="J157" s="1"/>
    </row>
    <row r="158" spans="10:10" ht="12.75" hidden="1" customHeight="1" x14ac:dyDescent="0.2">
      <c r="J158" s="1"/>
    </row>
    <row r="159" spans="10:10" ht="12.75" hidden="1" customHeight="1" x14ac:dyDescent="0.2">
      <c r="J159" s="1"/>
    </row>
    <row r="160" spans="10:10" ht="12.75" hidden="1" customHeight="1" x14ac:dyDescent="0.2">
      <c r="J160" s="1"/>
    </row>
    <row r="161" spans="10:10" ht="12.75" hidden="1" customHeight="1" x14ac:dyDescent="0.2">
      <c r="J161" s="1"/>
    </row>
    <row r="162" spans="10:10" ht="12.75" hidden="1" customHeight="1" x14ac:dyDescent="0.2">
      <c r="J162" s="1"/>
    </row>
    <row r="163" spans="10:10" ht="12.75" hidden="1" customHeight="1" x14ac:dyDescent="0.2">
      <c r="J163" s="1"/>
    </row>
    <row r="164" spans="10:10" ht="12.75" hidden="1" customHeight="1" x14ac:dyDescent="0.2">
      <c r="J164" s="1"/>
    </row>
    <row r="165" spans="10:10" ht="12.75" hidden="1" customHeight="1" x14ac:dyDescent="0.2">
      <c r="J165" s="1"/>
    </row>
    <row r="166" spans="10:10" ht="12.75" hidden="1" customHeight="1" x14ac:dyDescent="0.2">
      <c r="J166" s="1"/>
    </row>
    <row r="167" spans="10:10" ht="12.75" hidden="1" customHeight="1" x14ac:dyDescent="0.2">
      <c r="J167" s="1"/>
    </row>
    <row r="168" spans="10:10" ht="12.75" hidden="1" customHeight="1" x14ac:dyDescent="0.2">
      <c r="J168" s="1"/>
    </row>
    <row r="169" spans="10:10" ht="12.75" hidden="1" customHeight="1" x14ac:dyDescent="0.2">
      <c r="J169" s="1"/>
    </row>
    <row r="170" spans="10:10" ht="12.75" hidden="1" customHeight="1" x14ac:dyDescent="0.2">
      <c r="J170" s="1"/>
    </row>
    <row r="171" spans="10:10" ht="12.75" hidden="1" customHeight="1" x14ac:dyDescent="0.2">
      <c r="J171" s="1"/>
    </row>
    <row r="172" spans="10:10" ht="12.75" hidden="1" customHeight="1" x14ac:dyDescent="0.2">
      <c r="J172" s="1"/>
    </row>
    <row r="173" spans="10:10" ht="12.75" hidden="1" customHeight="1" x14ac:dyDescent="0.2">
      <c r="J173" s="1"/>
    </row>
    <row r="174" spans="10:10" ht="12.75" hidden="1" customHeight="1" x14ac:dyDescent="0.2">
      <c r="J174" s="1"/>
    </row>
    <row r="175" spans="10:10" ht="12.75" hidden="1" customHeight="1" x14ac:dyDescent="0.2">
      <c r="J175" s="1"/>
    </row>
    <row r="176" spans="10:10" ht="12.75" hidden="1" customHeight="1" x14ac:dyDescent="0.2">
      <c r="J176" s="1"/>
    </row>
    <row r="177" spans="10:10" ht="12.75" hidden="1" customHeight="1" x14ac:dyDescent="0.2">
      <c r="J177" s="1"/>
    </row>
    <row r="178" spans="10:10" ht="12.75" hidden="1" customHeight="1" x14ac:dyDescent="0.2">
      <c r="J178" s="1"/>
    </row>
    <row r="179" spans="10:10" ht="12.75" hidden="1" customHeight="1" x14ac:dyDescent="0.2">
      <c r="J179" s="1"/>
    </row>
    <row r="180" spans="10:10" ht="12.75" hidden="1" customHeight="1" x14ac:dyDescent="0.2">
      <c r="J180" s="1"/>
    </row>
    <row r="181" spans="10:10" ht="12.75" hidden="1" customHeight="1" x14ac:dyDescent="0.2">
      <c r="J181" s="1"/>
    </row>
    <row r="182" spans="10:10" ht="12.75" hidden="1" customHeight="1" x14ac:dyDescent="0.2">
      <c r="J182" s="1"/>
    </row>
    <row r="183" spans="10:10" ht="12.75" hidden="1" customHeight="1" x14ac:dyDescent="0.2">
      <c r="J183" s="1"/>
    </row>
    <row r="184" spans="10:10" ht="12.75" hidden="1" customHeight="1" x14ac:dyDescent="0.2">
      <c r="J184" s="1"/>
    </row>
    <row r="185" spans="10:10" ht="12.75" hidden="1" customHeight="1" x14ac:dyDescent="0.2">
      <c r="J185" s="1"/>
    </row>
    <row r="186" spans="10:10" ht="12.75" hidden="1" customHeight="1" x14ac:dyDescent="0.2">
      <c r="J186" s="1"/>
    </row>
    <row r="187" spans="10:10" ht="12.75" hidden="1" customHeight="1" x14ac:dyDescent="0.2">
      <c r="J187" s="1"/>
    </row>
    <row r="188" spans="10:10" ht="12.75" hidden="1" customHeight="1" x14ac:dyDescent="0.2">
      <c r="J188" s="1"/>
    </row>
    <row r="189" spans="10:10" ht="12.75" hidden="1" customHeight="1" x14ac:dyDescent="0.2">
      <c r="J189" s="1"/>
    </row>
    <row r="190" spans="10:10" ht="12.75" hidden="1" customHeight="1" x14ac:dyDescent="0.2">
      <c r="J190" s="1"/>
    </row>
    <row r="191" spans="10:10" ht="12.75" hidden="1" customHeight="1" x14ac:dyDescent="0.2">
      <c r="J191" s="1"/>
    </row>
    <row r="192" spans="10:10" ht="12.75" hidden="1" customHeight="1" x14ac:dyDescent="0.2">
      <c r="J192" s="1"/>
    </row>
    <row r="193" spans="10:10" ht="12.75" hidden="1" customHeight="1" x14ac:dyDescent="0.2">
      <c r="J193" s="1"/>
    </row>
  </sheetData>
  <sheetProtection algorithmName="SHA-512" hashValue="IXHY12iP8oFrXP02q3GyjkYesQwJBh1x1w3oJfKvHA6pIvgqv5lNwyX8EHAjR1xGKw2tle0pKbDEdWU8JsxK3Q==" saltValue="fu8SKgfEuquf5wmE+OKCjA==" spinCount="100000" sheet="1" objects="1" scenarios="1"/>
  <mergeCells count="66">
    <mergeCell ref="B78:B79"/>
    <mergeCell ref="G74:H74"/>
    <mergeCell ref="B76:H76"/>
    <mergeCell ref="B77:C77"/>
    <mergeCell ref="E78:E79"/>
    <mergeCell ref="B84:H84"/>
    <mergeCell ref="B88:C88"/>
    <mergeCell ref="G83:H83"/>
    <mergeCell ref="G85:H85"/>
    <mergeCell ref="G86:H86"/>
    <mergeCell ref="G87:H87"/>
    <mergeCell ref="B64:C64"/>
    <mergeCell ref="B65:C65"/>
    <mergeCell ref="B66:C66"/>
    <mergeCell ref="B67:C67"/>
    <mergeCell ref="B68:C68"/>
    <mergeCell ref="B18:H18"/>
    <mergeCell ref="B22:H22"/>
    <mergeCell ref="B23:B24"/>
    <mergeCell ref="C23:C24"/>
    <mergeCell ref="D23:D24"/>
    <mergeCell ref="G23:G24"/>
    <mergeCell ref="H23:H24"/>
    <mergeCell ref="E23:E24"/>
    <mergeCell ref="F23:F24"/>
    <mergeCell ref="B95:F95"/>
    <mergeCell ref="G95:H95"/>
    <mergeCell ref="G69:H69"/>
    <mergeCell ref="B72:C72"/>
    <mergeCell ref="B73:C73"/>
    <mergeCell ref="B69:C69"/>
    <mergeCell ref="B70:C70"/>
    <mergeCell ref="B71:C71"/>
    <mergeCell ref="G94:H94"/>
    <mergeCell ref="G93:H93"/>
    <mergeCell ref="G92:H92"/>
    <mergeCell ref="B91:H91"/>
    <mergeCell ref="G81:H82"/>
    <mergeCell ref="G80:H80"/>
    <mergeCell ref="G89:H89"/>
    <mergeCell ref="G88:H88"/>
    <mergeCell ref="B31:H31"/>
    <mergeCell ref="B60:C60"/>
    <mergeCell ref="B61:C61"/>
    <mergeCell ref="B62:C62"/>
    <mergeCell ref="B63:C63"/>
    <mergeCell ref="B58:C58"/>
    <mergeCell ref="B59:C59"/>
    <mergeCell ref="B41:C41"/>
    <mergeCell ref="B37:C37"/>
    <mergeCell ref="B38:C38"/>
    <mergeCell ref="B39:C39"/>
    <mergeCell ref="B40:H40"/>
    <mergeCell ref="B35:H35"/>
    <mergeCell ref="B52:C52"/>
    <mergeCell ref="B36:C36"/>
    <mergeCell ref="K1:K2"/>
    <mergeCell ref="H15:H16"/>
    <mergeCell ref="B3:H3"/>
    <mergeCell ref="E4:H4"/>
    <mergeCell ref="E12:E14"/>
    <mergeCell ref="F12:F14"/>
    <mergeCell ref="G12:G14"/>
    <mergeCell ref="H12:H14"/>
    <mergeCell ref="B1:I1"/>
    <mergeCell ref="E15:G16"/>
  </mergeCells>
  <phoneticPr fontId="4" type="noConversion"/>
  <conditionalFormatting sqref="F42:F45 F51 F48">
    <cfRule type="expression" dxfId="90" priority="2" stopIfTrue="1">
      <formula>OR($D42="",$E42="")</formula>
    </cfRule>
  </conditionalFormatting>
  <conditionalFormatting sqref="F60:F72">
    <cfRule type="expression" dxfId="89" priority="3" stopIfTrue="1">
      <formula>AND($D60="",$E60="")</formula>
    </cfRule>
  </conditionalFormatting>
  <conditionalFormatting sqref="G5:G8 H5:H9 D4:D7 C9:C11 D9:D10 D77 C80:D81 G11:H11 C13:D13 D15:D16 C19:C21 F20 E92 C32:C33 D36:D39 H15:H16 D42:D45 D51 D48">
    <cfRule type="cellIs" dxfId="88" priority="4" stopIfTrue="1" operator="equal">
      <formula>""</formula>
    </cfRule>
  </conditionalFormatting>
  <conditionalFormatting sqref="E42:E45 E51 E48">
    <cfRule type="cellIs" dxfId="87" priority="5" stopIfTrue="1" operator="equal">
      <formula>""</formula>
    </cfRule>
  </conditionalFormatting>
  <conditionalFormatting sqref="F80:F81">
    <cfRule type="expression" dxfId="86" priority="6" stopIfTrue="1">
      <formula>$C80=""</formula>
    </cfRule>
  </conditionalFormatting>
  <conditionalFormatting sqref="E80:E81">
    <cfRule type="expression" dxfId="85" priority="7" stopIfTrue="1">
      <formula>$C80=""</formula>
    </cfRule>
  </conditionalFormatting>
  <printOptions horizontalCentered="1"/>
  <pageMargins left="0.39370078740157483" right="0.39370078740157483" top="0.59055118110236227" bottom="0.39370078740157483" header="0" footer="0"/>
  <pageSetup paperSize="9" orientation="portrait" blackAndWhite="1" horizontalDpi="4294967295" r:id="rId1"/>
  <headerFooter alignWithMargins="0">
    <oddHeader>&amp;R&amp;8&amp;U&amp;F - Seite &amp;P/&amp;N</oddHeader>
  </headerFooter>
  <rowBreaks count="1" manualBreakCount="1">
    <brk id="55" max="16383"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42">
    <tabColor indexed="10"/>
  </sheetPr>
  <dimension ref="A1:M199"/>
  <sheetViews>
    <sheetView showGridLines="0" zoomScaleNormal="100" workbookViewId="0">
      <pane ySplit="2" topLeftCell="A3" activePane="bottomLeft" state="frozen"/>
      <selection pane="bottomLeft" activeCell="A3" sqref="A3"/>
    </sheetView>
  </sheetViews>
  <sheetFormatPr baseColWidth="10" defaultColWidth="0" defaultRowHeight="0" customHeight="1" zeroHeight="1" x14ac:dyDescent="0.2"/>
  <cols>
    <col min="1" max="1" width="2.7109375" style="18" customWidth="1"/>
    <col min="2" max="5" width="9.28515625" style="18" customWidth="1"/>
    <col min="6" max="10" width="8.7109375" style="18" customWidth="1"/>
    <col min="11" max="11" width="2.7109375" style="18" customWidth="1"/>
    <col min="12" max="12" width="0.85546875" style="179" customWidth="1"/>
    <col min="13" max="13" width="22.7109375" style="179" customWidth="1"/>
    <col min="14" max="16384" width="11.42578125" style="1" hidden="1"/>
  </cols>
  <sheetData>
    <row r="1" spans="1:13" ht="24.95" customHeight="1" x14ac:dyDescent="0.2">
      <c r="A1" s="181"/>
      <c r="B1" s="332" t="s">
        <v>293</v>
      </c>
      <c r="C1" s="333"/>
      <c r="D1" s="333"/>
      <c r="E1" s="333"/>
      <c r="F1" s="333"/>
      <c r="G1" s="333"/>
      <c r="H1" s="333"/>
      <c r="I1" s="333"/>
      <c r="J1" s="333"/>
      <c r="K1" s="333"/>
      <c r="L1" s="130"/>
      <c r="M1" s="1039" t="s">
        <v>101</v>
      </c>
    </row>
    <row r="2" spans="1:13" ht="30" customHeight="1" x14ac:dyDescent="0.2">
      <c r="A2" s="334"/>
      <c r="B2" s="335"/>
      <c r="C2" s="335"/>
      <c r="D2" s="335"/>
      <c r="E2" s="335"/>
      <c r="F2" s="335"/>
      <c r="G2" s="335"/>
      <c r="H2" s="335"/>
      <c r="I2" s="335"/>
      <c r="J2" s="335"/>
      <c r="K2" s="335"/>
      <c r="L2" s="131"/>
      <c r="M2" s="1040"/>
    </row>
    <row r="3" spans="1:13" ht="12.75" customHeight="1" x14ac:dyDescent="0.2">
      <c r="A3" s="335"/>
      <c r="B3" s="336" t="s">
        <v>294</v>
      </c>
      <c r="C3" s="337"/>
      <c r="D3" s="337"/>
      <c r="E3" s="337"/>
      <c r="F3" s="337"/>
      <c r="G3" s="337"/>
      <c r="H3" s="337"/>
      <c r="I3" s="337"/>
      <c r="J3" s="337"/>
      <c r="K3" s="335"/>
      <c r="L3" s="131"/>
      <c r="M3" s="134"/>
    </row>
    <row r="4" spans="1:13" ht="12.75" customHeight="1" x14ac:dyDescent="0.2">
      <c r="A4" s="335"/>
      <c r="B4" s="194" t="s">
        <v>295</v>
      </c>
      <c r="C4" s="194"/>
      <c r="D4" s="194"/>
      <c r="E4" s="194"/>
      <c r="F4" s="194" t="s">
        <v>296</v>
      </c>
      <c r="G4" s="194"/>
      <c r="H4" s="194"/>
      <c r="I4" s="194" t="s">
        <v>297</v>
      </c>
      <c r="J4" s="194"/>
      <c r="K4" s="335"/>
      <c r="L4" s="131"/>
      <c r="M4" s="134"/>
    </row>
    <row r="5" spans="1:13" ht="12.75" x14ac:dyDescent="0.2">
      <c r="A5" s="335"/>
      <c r="B5" s="184" t="str">
        <f>IF([1]MuKu!B12="","",[1]MuKu!B12)</f>
        <v>Erhaltungsbedarf</v>
      </c>
      <c r="C5" s="184"/>
      <c r="D5" s="338">
        <f>IF(OR(H8="",[1]MuKu!D14="",[1]MuKu!D16=""),"",POWER(H8,[1]MuKu!D14)*[1]MuKu!D16)</f>
        <v>35.520662572215024</v>
      </c>
      <c r="E5" s="339" t="s">
        <v>298</v>
      </c>
      <c r="F5" s="184" t="str">
        <f>IF([1]MuKu!B21="","",[1]MuKu!B21)</f>
        <v>Milchleistung:</v>
      </c>
      <c r="G5" s="184"/>
      <c r="H5" s="340">
        <f>IF([1]MuKu!O21="","",[1]MuKu!O21)</f>
        <v>2900</v>
      </c>
      <c r="I5" s="341">
        <f>IF([1]MuKu!K21="","",[1]MuKu!K21)</f>
        <v>1</v>
      </c>
      <c r="J5" s="342">
        <f>IF([1]MuKu!R21="","",[1]MuKu!R21)</f>
        <v>-0.2</v>
      </c>
      <c r="K5" s="335"/>
      <c r="L5" s="131"/>
      <c r="M5" s="134"/>
    </row>
    <row r="6" spans="1:13" ht="12.75" x14ac:dyDescent="0.2">
      <c r="A6" s="335"/>
      <c r="B6" s="184" t="str">
        <f>IF([1]MuKu!F12="","",[1]MuKu!F12)</f>
        <v>Leistungsbedarf</v>
      </c>
      <c r="C6" s="184"/>
      <c r="D6" s="343">
        <f>IF(OR([1]MuKu!I14="",H5="",[1]MuKu!I16=""),"",[1]MuKu!I14*H5/[1]MuKu!I16)</f>
        <v>25.536111111111111</v>
      </c>
      <c r="E6" s="339" t="s">
        <v>298</v>
      </c>
      <c r="F6" s="184" t="str">
        <f>IF([1]MuKu!B23="","",[1]MuKu!B23)</f>
        <v>Fett</v>
      </c>
      <c r="G6" s="184"/>
      <c r="H6" s="344">
        <f>IF([1]MuKu!O23="","",[1]MuKu!O23)</f>
        <v>0.04</v>
      </c>
      <c r="I6" s="341">
        <f>IF([1]MuKu!K23="","",[1]MuKu!K23)</f>
        <v>2</v>
      </c>
      <c r="J6" s="342">
        <f>IF([1]MuKu!R23="","",[1]MuKu!R23)</f>
        <v>-0.1</v>
      </c>
      <c r="K6" s="335"/>
      <c r="L6" s="131"/>
      <c r="M6" s="134"/>
    </row>
    <row r="7" spans="1:13" ht="12.75" x14ac:dyDescent="0.2">
      <c r="A7" s="335"/>
      <c r="B7" s="184" t="s">
        <v>299</v>
      </c>
      <c r="C7" s="184"/>
      <c r="D7" s="748">
        <f>SUM(D5:D6)</f>
        <v>61.056773683326135</v>
      </c>
      <c r="E7" s="339" t="s">
        <v>298</v>
      </c>
      <c r="F7" s="184" t="str">
        <f>IF([1]MuKu!B25="","",[1]MuKu!B25)</f>
        <v>Eiweiß</v>
      </c>
      <c r="G7" s="184"/>
      <c r="H7" s="344">
        <f>IF([1]MuKu!O25="","",[1]MuKu!O25)</f>
        <v>3.1E-2</v>
      </c>
      <c r="I7" s="341">
        <f>IF([1]MuKu!K25="","",[1]MuKu!K25)</f>
        <v>4</v>
      </c>
      <c r="J7" s="342">
        <f>IF([1]MuKu!R25="","",[1]MuKu!R25)</f>
        <v>0.1</v>
      </c>
      <c r="K7" s="335"/>
      <c r="L7" s="131"/>
      <c r="M7" s="134"/>
    </row>
    <row r="8" spans="1:13" ht="12.75" x14ac:dyDescent="0.2">
      <c r="A8" s="335"/>
      <c r="B8" s="184" t="s">
        <v>300</v>
      </c>
      <c r="C8" s="184"/>
      <c r="D8" s="727">
        <f>D7*H10</f>
        <v>17095.896631331318</v>
      </c>
      <c r="E8" s="346" t="s">
        <v>522</v>
      </c>
      <c r="F8" s="184" t="str">
        <f>IF([1]MuKu!B27="","",[1]MuKu!B27)</f>
        <v>Mutterkuhgewicht lebend</v>
      </c>
      <c r="G8" s="184"/>
      <c r="H8" s="340">
        <f>IF([1]MuKu!O27="","",[1]MuKu!O27)</f>
        <v>600</v>
      </c>
      <c r="I8" s="341">
        <f>IF([1]MuKu!K27="","",[1]MuKu!K27)</f>
        <v>5</v>
      </c>
      <c r="J8" s="342">
        <f>IF([1]MuKu!R27="","",[1]MuKu!R27)</f>
        <v>0.2</v>
      </c>
      <c r="K8" s="335"/>
      <c r="L8" s="131"/>
      <c r="M8" s="134"/>
    </row>
    <row r="9" spans="1:13" ht="13.5" thickBot="1" x14ac:dyDescent="0.25">
      <c r="A9" s="335"/>
      <c r="B9" s="184" t="str">
        <f>IF([1]MuKu!B18="","",[1]MuKu!B18)</f>
        <v>Bedarf je Nachkomme</v>
      </c>
      <c r="C9" s="184"/>
      <c r="D9" s="347">
        <f>IF([1]MuKu!O18="","",[1]MuKu!O18)</f>
        <v>7000</v>
      </c>
      <c r="E9" s="346" t="s">
        <v>522</v>
      </c>
      <c r="F9" s="184" t="str">
        <f>IF([1]MuKu!B29="","",[1]MuKu!B29)</f>
        <v>Nutzungsdauer</v>
      </c>
      <c r="G9" s="184"/>
      <c r="H9" s="348">
        <f>IF([1]MuKu!O29="","",[1]MuKu!O29)</f>
        <v>6</v>
      </c>
      <c r="I9" s="349" t="s">
        <v>301</v>
      </c>
      <c r="J9" s="349"/>
      <c r="K9" s="335"/>
      <c r="L9" s="131"/>
      <c r="M9" s="134"/>
    </row>
    <row r="10" spans="1:13" ht="13.5" thickBot="1" x14ac:dyDescent="0.25">
      <c r="A10" s="335"/>
      <c r="B10" s="184" t="s">
        <v>302</v>
      </c>
      <c r="C10" s="184"/>
      <c r="D10" s="345"/>
      <c r="E10" s="346" t="s">
        <v>522</v>
      </c>
      <c r="F10" s="184" t="str">
        <f>IF([1]MuKu!F21="","",[1]MuKu!F21)</f>
        <v>Stallhaltungstage</v>
      </c>
      <c r="G10" s="184"/>
      <c r="H10" s="348">
        <f>IF([1]MuKu!Q21="","",[1]MuKu!Q21)</f>
        <v>280</v>
      </c>
      <c r="I10" s="350" t="s">
        <v>303</v>
      </c>
      <c r="J10" s="350" t="s">
        <v>304</v>
      </c>
      <c r="K10" s="335"/>
      <c r="L10" s="131"/>
      <c r="M10" s="134"/>
    </row>
    <row r="11" spans="1:13" ht="12.75" x14ac:dyDescent="0.2">
      <c r="A11" s="335"/>
      <c r="B11" s="194" t="s">
        <v>305</v>
      </c>
      <c r="C11" s="194"/>
      <c r="D11" s="194"/>
      <c r="E11" s="194"/>
      <c r="F11" s="184" t="str">
        <f>IF([1]MuKu!F23="","",[1]MuKu!F23)</f>
        <v>Abkalbequote</v>
      </c>
      <c r="G11" s="184"/>
      <c r="H11" s="351">
        <f>IF([1]MuKu!Q23="","",[1]MuKu!Q23)</f>
        <v>0.9</v>
      </c>
      <c r="I11" s="352">
        <f>IF([1]MuKu!Q27="","",[1]MuKu!Q27)</f>
        <v>0.5</v>
      </c>
      <c r="J11" s="352">
        <f>1-I11</f>
        <v>0.5</v>
      </c>
      <c r="K11" s="335"/>
      <c r="L11" s="131"/>
      <c r="M11" s="134"/>
    </row>
    <row r="12" spans="1:13" ht="12.75" x14ac:dyDescent="0.2">
      <c r="A12" s="335"/>
      <c r="B12" s="184" t="str">
        <f>IF([1]MuKu!B33="","",[1]MuKu!B33)</f>
        <v>Nutzungsform</v>
      </c>
      <c r="C12" s="184"/>
      <c r="D12" s="353" t="str">
        <f>IF([1]MuKu!O33="","",[1]MuKu!O33)</f>
        <v>Baby-beef</v>
      </c>
      <c r="E12" s="354" t="str">
        <f>IF([1]MuKu!F33="","",[1]MuKu!F33)</f>
        <v/>
      </c>
      <c r="F12" s="349" t="s">
        <v>306</v>
      </c>
      <c r="G12" s="349"/>
      <c r="H12" s="349"/>
      <c r="I12" s="349"/>
      <c r="J12" s="349"/>
      <c r="K12" s="335"/>
      <c r="L12" s="131"/>
      <c r="M12" s="134"/>
    </row>
    <row r="13" spans="1:13" ht="12.75" x14ac:dyDescent="0.2">
      <c r="A13" s="335"/>
      <c r="B13" s="184" t="str">
        <f>IF([1]MuKu!B35="","",[1]MuKu!B35)</f>
        <v>Haltungsdauer</v>
      </c>
      <c r="C13" s="184" t="str">
        <f>IF([1]MuKu!B37="","",[1]MuKu!B37)</f>
        <v>Kalbin</v>
      </c>
      <c r="D13" s="355" t="str">
        <f>IF([1]MuKu!O37="","",[1]MuKu!O37)</f>
        <v/>
      </c>
      <c r="E13" s="179" t="str">
        <f>IF([1]MuKu!E37="","",[1]MuKu!E37)</f>
        <v xml:space="preserve"> Tage</v>
      </c>
      <c r="F13" s="356" t="s">
        <v>307</v>
      </c>
      <c r="G13" s="356"/>
      <c r="H13" s="356"/>
      <c r="I13" s="356"/>
      <c r="J13" s="356"/>
      <c r="K13" s="335"/>
      <c r="L13" s="131"/>
      <c r="M13" s="134"/>
    </row>
    <row r="14" spans="1:13" ht="12.75" customHeight="1" x14ac:dyDescent="0.2">
      <c r="A14" s="335"/>
      <c r="B14" s="357"/>
      <c r="C14" s="184" t="str">
        <f>IF([1]MuKu!B39="","",[1]MuKu!B39)</f>
        <v>Stier</v>
      </c>
      <c r="D14" s="355" t="str">
        <f>IF([1]MuKu!O39="","",[1]MuKu!O39)</f>
        <v/>
      </c>
      <c r="E14" s="179" t="str">
        <f>IF([1]MuKu!E39="","",[1]MuKu!E39)</f>
        <v xml:space="preserve"> Tage</v>
      </c>
      <c r="F14" s="358" t="s">
        <v>308</v>
      </c>
      <c r="G14" s="358"/>
      <c r="H14" s="358"/>
      <c r="I14" s="358"/>
      <c r="J14" s="358"/>
      <c r="K14" s="335"/>
      <c r="L14" s="131"/>
      <c r="M14" s="134"/>
    </row>
    <row r="15" spans="1:13" ht="12.75" x14ac:dyDescent="0.2">
      <c r="A15" s="335"/>
      <c r="B15" s="349" t="s">
        <v>309</v>
      </c>
      <c r="C15" s="349"/>
      <c r="D15" s="349"/>
      <c r="E15" s="349"/>
      <c r="F15" s="359">
        <f>IF(OR(J5="",H15=""),"",ROUND($H15*SUM(1,$J$5),2))</f>
        <v>0.84</v>
      </c>
      <c r="G15" s="359">
        <f>IF(OR(J6="",H15=""),"",ROUND($H15*SUM(1,$J$6),2))</f>
        <v>0.95</v>
      </c>
      <c r="H15" s="360">
        <f>IF([1]MuKu!R35="","",[1]MuKu!R35)</f>
        <v>1.05</v>
      </c>
      <c r="I15" s="359">
        <f>IF(OR(J7="",H15=""),"",ROUND($H15*SUM(1,$J$7),2))</f>
        <v>1.1599999999999999</v>
      </c>
      <c r="J15" s="359">
        <f>IF(OR(J8="",H15=""),"",ROUND($H15*SUM(1,$J$8),2))</f>
        <v>1.26</v>
      </c>
      <c r="K15" s="335"/>
      <c r="L15" s="131"/>
      <c r="M15" s="134"/>
    </row>
    <row r="16" spans="1:13" ht="12.75" x14ac:dyDescent="0.2">
      <c r="A16" s="335"/>
      <c r="B16" s="194" t="s">
        <v>310</v>
      </c>
      <c r="C16" s="1075" t="s">
        <v>311</v>
      </c>
      <c r="D16" s="1075" t="s">
        <v>312</v>
      </c>
      <c r="E16" s="1075" t="s">
        <v>313</v>
      </c>
      <c r="F16" s="356" t="s">
        <v>314</v>
      </c>
      <c r="G16" s="356"/>
      <c r="H16" s="356"/>
      <c r="I16" s="356"/>
      <c r="J16" s="356"/>
      <c r="K16" s="335"/>
      <c r="L16" s="131"/>
      <c r="M16" s="134"/>
    </row>
    <row r="17" spans="1:13" ht="12.75" x14ac:dyDescent="0.2">
      <c r="A17" s="335"/>
      <c r="B17" s="194" t="s">
        <v>310</v>
      </c>
      <c r="C17" s="1075" t="s">
        <v>310</v>
      </c>
      <c r="D17" s="1075" t="s">
        <v>310</v>
      </c>
      <c r="E17" s="1075" t="s">
        <v>310</v>
      </c>
      <c r="F17" s="358" t="s">
        <v>315</v>
      </c>
      <c r="G17" s="358"/>
      <c r="H17" s="358"/>
      <c r="I17" s="358"/>
      <c r="J17" s="358"/>
      <c r="K17" s="335"/>
      <c r="L17" s="131"/>
      <c r="M17" s="134"/>
    </row>
    <row r="18" spans="1:13" ht="12.75" x14ac:dyDescent="0.2">
      <c r="A18" s="335"/>
      <c r="B18" s="184" t="str">
        <f>IF([1]MuKu!D46="","",[1]MuKu!D46)</f>
        <v>Kalbin</v>
      </c>
      <c r="C18" s="340">
        <f>IF([1]MuKu!O47="","",[1]MuKu!O47)</f>
        <v>280</v>
      </c>
      <c r="D18" s="361" t="str">
        <f>IF([1]MuKu!O49="","",[1]MuKu!O49)</f>
        <v>mittel</v>
      </c>
      <c r="E18" s="362">
        <f>IF([1]MuKu!O51="","",[1]MuKu!O51)</f>
        <v>0.5</v>
      </c>
      <c r="F18" s="359">
        <f>IF(OR($J$5="",$H18=""),"",ROUND($H18*SUM(1,$J$5),2))</f>
        <v>4.49</v>
      </c>
      <c r="G18" s="359">
        <f>IF(OR($J$6="",$H18=""),"",ROUND($H18*SUM(1,$J$6),2))</f>
        <v>5.05</v>
      </c>
      <c r="H18" s="360">
        <f>IF([1]MuKu!R41="","",[1]MuKu!R41)</f>
        <v>5.61</v>
      </c>
      <c r="I18" s="359">
        <f>IF(OR($J$7="",$H18=""),"",ROUND($H18*SUM(1,$J$7),2))</f>
        <v>6.17</v>
      </c>
      <c r="J18" s="359">
        <f>IF(OR($J$8="",$H18=""),"",ROUND($H18*SUM(1,$J$8),2))</f>
        <v>6.73</v>
      </c>
      <c r="K18" s="335"/>
      <c r="L18" s="131"/>
      <c r="M18" s="134"/>
    </row>
    <row r="19" spans="1:13" ht="12.75" x14ac:dyDescent="0.2">
      <c r="A19" s="335"/>
      <c r="B19" s="184" t="str">
        <f>IF([1]MuKu!F46="","",[1]MuKu!F46)</f>
        <v>Stier</v>
      </c>
      <c r="C19" s="340">
        <f>IF([1]MuKu!P47="","",[1]MuKu!P47)</f>
        <v>310</v>
      </c>
      <c r="D19" s="361" t="str">
        <f>IF([1]MuKu!P49="","",[1]MuKu!P49)</f>
        <v>mittel</v>
      </c>
      <c r="E19" s="362">
        <f>IF([1]MuKu!P51="","",[1]MuKu!P51)</f>
        <v>0.53</v>
      </c>
      <c r="F19" s="359">
        <f>IF(OR($J$5="",$H19=""),"",ROUND($H19*SUM(1,$J$5),2))</f>
        <v>4.71</v>
      </c>
      <c r="G19" s="359">
        <f>IF(OR($J$6="",$H19=""),"",ROUND($H19*SUM(1,$J$6),2))</f>
        <v>5.3</v>
      </c>
      <c r="H19" s="360">
        <f>IF([1]MuKu!R43="","",[1]MuKu!R43)</f>
        <v>5.89</v>
      </c>
      <c r="I19" s="359">
        <f>IF(OR($J$7="",$H19=""),"",ROUND($H19*SUM(1,$J$7),2))</f>
        <v>6.48</v>
      </c>
      <c r="J19" s="359">
        <f>IF(OR($J$8="",$H19=""),"",ROUND($H19*SUM(1,$J$8),2))</f>
        <v>7.07</v>
      </c>
      <c r="K19" s="335"/>
      <c r="L19" s="131"/>
      <c r="M19" s="134"/>
    </row>
    <row r="20" spans="1:13" ht="12.75" customHeight="1" x14ac:dyDescent="0.2">
      <c r="A20" s="335"/>
      <c r="B20" s="363"/>
      <c r="C20" s="363"/>
      <c r="D20" s="363"/>
      <c r="E20" s="335"/>
      <c r="F20" s="364"/>
      <c r="G20" s="364"/>
      <c r="H20" s="364"/>
      <c r="I20" s="364"/>
      <c r="J20" s="364"/>
      <c r="K20" s="335"/>
      <c r="L20" s="131"/>
      <c r="M20" s="134"/>
    </row>
    <row r="21" spans="1:13" ht="12.75" x14ac:dyDescent="0.2">
      <c r="A21" s="335"/>
      <c r="B21" s="194" t="s">
        <v>34</v>
      </c>
      <c r="C21" s="194"/>
      <c r="D21" s="194"/>
      <c r="E21" s="194"/>
      <c r="F21" s="183"/>
      <c r="G21" s="183"/>
      <c r="H21" s="183" t="s">
        <v>316</v>
      </c>
      <c r="I21" s="183"/>
      <c r="J21" s="183"/>
      <c r="K21" s="335"/>
      <c r="L21" s="131"/>
      <c r="M21" s="134"/>
    </row>
    <row r="22" spans="1:13" ht="12.75" x14ac:dyDescent="0.2">
      <c r="A22" s="335"/>
      <c r="B22" s="248"/>
      <c r="C22" s="183"/>
      <c r="D22" s="183" t="s">
        <v>317</v>
      </c>
      <c r="E22" s="183" t="s">
        <v>276</v>
      </c>
      <c r="F22" s="365">
        <f>$I$5</f>
        <v>1</v>
      </c>
      <c r="G22" s="365">
        <f>$I$6</f>
        <v>2</v>
      </c>
      <c r="H22" s="366" t="s">
        <v>318</v>
      </c>
      <c r="I22" s="365">
        <f>$I$7</f>
        <v>4</v>
      </c>
      <c r="J22" s="365">
        <f>$I$8</f>
        <v>5</v>
      </c>
      <c r="K22" s="335"/>
      <c r="L22" s="141"/>
      <c r="M22" s="134"/>
    </row>
    <row r="23" spans="1:13" ht="12.75" x14ac:dyDescent="0.2">
      <c r="A23" s="335"/>
      <c r="B23" s="184" t="s">
        <v>319</v>
      </c>
      <c r="C23" s="367"/>
      <c r="D23" s="746">
        <f>IF(C18="","",C18)</f>
        <v>280</v>
      </c>
      <c r="E23" s="749">
        <f>H11*I11-D29</f>
        <v>0.28333333333333333</v>
      </c>
      <c r="F23" s="373">
        <f>IF(OR($E$23="",$D$23="",$E$18="",F18=""),"",($E$23*$D$23)*$E$18*F18)</f>
        <v>178.10333333333332</v>
      </c>
      <c r="G23" s="371">
        <f>IF(OR($E$23="",$D$23="",$E$18="",G18=""),"",($E$23*$D$23)*$E$18*G18)</f>
        <v>200.31666666666663</v>
      </c>
      <c r="H23" s="429">
        <f>D23*E23*E18*H18</f>
        <v>222.53</v>
      </c>
      <c r="I23" s="373">
        <f>IF(OR($E$23="",$D$23="",$E$18="",I18=""),"",($E$23*$D$23)*$E$18*I18)</f>
        <v>244.74333333333331</v>
      </c>
      <c r="J23" s="370">
        <f>IF(OR($E$23="",$D$23="",$E$18="",J18=""),"",($E$23*$D$23)*$E$18*J18)</f>
        <v>266.95666666666665</v>
      </c>
      <c r="K23" s="335"/>
      <c r="L23" s="131"/>
      <c r="M23" s="134"/>
    </row>
    <row r="24" spans="1:13" ht="13.5" thickBot="1" x14ac:dyDescent="0.25">
      <c r="A24" s="335"/>
      <c r="B24" s="184" t="s">
        <v>320</v>
      </c>
      <c r="C24" s="367"/>
      <c r="D24" s="747">
        <f>IF(C19="","",C19)</f>
        <v>310</v>
      </c>
      <c r="E24" s="750">
        <f>H11*J11</f>
        <v>0.45</v>
      </c>
      <c r="F24" s="373">
        <f>IF(OR($E$24="",$D$24="",$E$19="",F19=""),"",($E$24*$D$24)*$E$19*F19)</f>
        <v>348.23385000000002</v>
      </c>
      <c r="G24" s="371">
        <f>IF(OR($E$24="",$D$24="",$E$19="",G19=""),"",($E$24*$D$24)*$E$19*G19)</f>
        <v>391.85550000000001</v>
      </c>
      <c r="H24" s="429">
        <f>D24*E24*E19*H19</f>
        <v>435.47714999999999</v>
      </c>
      <c r="I24" s="373">
        <f>IF(OR($E$24="",$D$24="",$E$19="",I19=""),"",($E$24*$D$24)*$E$19*I19)</f>
        <v>479.09880000000004</v>
      </c>
      <c r="J24" s="370">
        <f>IF(OR($E$24="",$D$24="",$E$19="",J19=""),"",($E$24*$D$24)*$E$19*J19)</f>
        <v>522.72045000000003</v>
      </c>
      <c r="K24" s="335"/>
      <c r="L24" s="131"/>
      <c r="M24" s="134"/>
    </row>
    <row r="25" spans="1:13" ht="13.5" thickBot="1" x14ac:dyDescent="0.25">
      <c r="A25" s="335"/>
      <c r="B25" s="184" t="s">
        <v>271</v>
      </c>
      <c r="C25" s="367"/>
      <c r="D25" s="374">
        <f>IF(H8="","",H8)</f>
        <v>600</v>
      </c>
      <c r="E25" s="369"/>
      <c r="F25" s="373" t="str">
        <f>IF(OR($D$25="",$E$25="",F15=""),"",$D$25*$E$25*F15)</f>
        <v/>
      </c>
      <c r="G25" s="371" t="str">
        <f>IF(OR($D$25="",$E$25="",G15=""),"",$D$25*$E$25*G15)</f>
        <v/>
      </c>
      <c r="H25" s="751">
        <f>D25*E25*H15</f>
        <v>0</v>
      </c>
      <c r="I25" s="373" t="str">
        <f>IF(OR($D$25="",$E$25="",I15=""),"",$D$25*$E$25*I15)</f>
        <v/>
      </c>
      <c r="J25" s="370" t="str">
        <f>IF(OR($D$25="",$E$25="",J15=""),"",$D$25*$E$25*J15)</f>
        <v/>
      </c>
      <c r="K25" s="335"/>
      <c r="L25" s="131"/>
      <c r="M25" s="134"/>
    </row>
    <row r="26" spans="1:13" ht="13.5" thickBot="1" x14ac:dyDescent="0.25">
      <c r="A26" s="335"/>
      <c r="B26" s="200" t="s">
        <v>273</v>
      </c>
      <c r="C26" s="200"/>
      <c r="D26" s="200"/>
      <c r="E26" s="200"/>
      <c r="F26" s="375">
        <f>SUM(F23:F25)</f>
        <v>526.33718333333331</v>
      </c>
      <c r="G26" s="376">
        <f>SUM(G23:G25)</f>
        <v>592.17216666666661</v>
      </c>
      <c r="H26" s="377"/>
      <c r="I26" s="378">
        <f>SUM(I23:I25)</f>
        <v>723.84213333333332</v>
      </c>
      <c r="J26" s="375">
        <f>SUM(J23:J25)</f>
        <v>789.67711666666673</v>
      </c>
      <c r="K26" s="335"/>
      <c r="L26" s="131"/>
      <c r="M26" s="134"/>
    </row>
    <row r="27" spans="1:13" ht="3.95" customHeight="1" x14ac:dyDescent="0.2">
      <c r="A27" s="335"/>
      <c r="B27" s="363"/>
      <c r="C27" s="363"/>
      <c r="D27" s="363"/>
      <c r="E27" s="363"/>
      <c r="F27" s="363"/>
      <c r="G27" s="363"/>
      <c r="H27" s="379"/>
      <c r="I27" s="363"/>
      <c r="J27" s="363"/>
      <c r="K27" s="335"/>
      <c r="L27" s="131"/>
      <c r="M27" s="134"/>
    </row>
    <row r="28" spans="1:13" ht="12.75" x14ac:dyDescent="0.2">
      <c r="A28" s="335"/>
      <c r="B28" s="194" t="s">
        <v>60</v>
      </c>
      <c r="C28" s="337"/>
      <c r="D28" s="183" t="s">
        <v>276</v>
      </c>
      <c r="E28" s="194" t="s">
        <v>321</v>
      </c>
      <c r="F28" s="365">
        <f>$I$5</f>
        <v>1</v>
      </c>
      <c r="G28" s="365">
        <f>$I$6</f>
        <v>2</v>
      </c>
      <c r="H28" s="366" t="s">
        <v>318</v>
      </c>
      <c r="I28" s="365">
        <f>$I$7</f>
        <v>4</v>
      </c>
      <c r="J28" s="365">
        <f>$I$8</f>
        <v>5</v>
      </c>
      <c r="K28" s="335"/>
      <c r="L28" s="131"/>
      <c r="M28" s="134"/>
    </row>
    <row r="29" spans="1:13" ht="13.5" thickBot="1" x14ac:dyDescent="0.25">
      <c r="A29" s="335"/>
      <c r="B29" s="184" t="s">
        <v>322</v>
      </c>
      <c r="C29" s="367"/>
      <c r="D29" s="749">
        <f>1/H9</f>
        <v>0.16666666666666666</v>
      </c>
      <c r="E29" s="380"/>
      <c r="F29" s="370">
        <f>IF(OR(F23="",$E$23="",$D$29=""),"",F23/$E$23*$D$29)</f>
        <v>104.76666666666667</v>
      </c>
      <c r="G29" s="371">
        <f>IF(OR(G23="",$E$23="",$D$29=""),"",G23/$E$23*$D$29)</f>
        <v>117.83333333333331</v>
      </c>
      <c r="H29" s="751">
        <f>D23*D29*E18*H18</f>
        <v>130.9</v>
      </c>
      <c r="I29" s="373">
        <f>IF(OR(I23="",$E$23="",$D$29=""),"",I23/$E$23*$D$29)</f>
        <v>143.96666666666664</v>
      </c>
      <c r="J29" s="370">
        <f>IF(OR(J23="",$E$23="",$D$29=""),"",J23/$E$23*$D$29)</f>
        <v>157.0333333333333</v>
      </c>
      <c r="K29" s="335"/>
      <c r="L29" s="143"/>
      <c r="M29" s="134"/>
    </row>
    <row r="30" spans="1:13" ht="13.5" thickBot="1" x14ac:dyDescent="0.25">
      <c r="A30" s="335"/>
      <c r="B30" s="184" t="str">
        <f>IF([1]MuKu!B56="","",[1]MuKu!B56)</f>
        <v xml:space="preserve">KF-Gaben </v>
      </c>
      <c r="C30" s="367"/>
      <c r="D30" s="381">
        <f>IF([1]MuKu!O56="","",[1]MuKu!O56)</f>
        <v>40</v>
      </c>
      <c r="E30" s="382">
        <f>IF([1]MuKu!P56="","",[1]MuKu!P56)</f>
        <v>0.21</v>
      </c>
      <c r="F30" s="370">
        <f>IF(OR($D$30="",$E$30=""),"",$D$30*$E$30)</f>
        <v>8.4</v>
      </c>
      <c r="G30" s="371">
        <f>IF(OR($D$30="",$E$30=""),"",$D$30*$E$30)</f>
        <v>8.4</v>
      </c>
      <c r="H30" s="372"/>
      <c r="I30" s="373">
        <f>IF(OR($D$30="",$E$30=""),"",$D$30*$E$30)</f>
        <v>8.4</v>
      </c>
      <c r="J30" s="370">
        <f>IF(OR($D$30="",$E$30=""),"",$D$30*$E$30)</f>
        <v>8.4</v>
      </c>
      <c r="K30" s="335"/>
      <c r="L30" s="143"/>
      <c r="M30" s="134"/>
    </row>
    <row r="31" spans="1:13" ht="13.5" thickBot="1" x14ac:dyDescent="0.25">
      <c r="A31" s="335"/>
      <c r="B31" s="184" t="str">
        <f>IF([1]MuKu!B58="","",[1]MuKu!B58)</f>
        <v>Mineralstoffe</v>
      </c>
      <c r="C31" s="367"/>
      <c r="D31" s="368">
        <f>IF([1]MuKu!O58="","",[1]MuKu!O58)</f>
        <v>10</v>
      </c>
      <c r="E31" s="382">
        <f>IF([1]MuKu!P58="","",[1]MuKu!P58)</f>
        <v>0.86</v>
      </c>
      <c r="F31" s="370">
        <f>IF(OR($D$31="",$E$31=""),"",$D$31*$E$31)</f>
        <v>8.6</v>
      </c>
      <c r="G31" s="371">
        <f>IF(OR($D$31="",$E$31=""),"",$D$31*$E$31)</f>
        <v>8.6</v>
      </c>
      <c r="H31" s="372"/>
      <c r="I31" s="373">
        <f>IF(OR($D$31="",$E$31=""),"",$D$31*$E$31)</f>
        <v>8.6</v>
      </c>
      <c r="J31" s="370">
        <f>IF(OR($D$31="",$E$31=""),"",$D$31*$E$31)</f>
        <v>8.6</v>
      </c>
      <c r="K31" s="335"/>
      <c r="L31" s="143"/>
      <c r="M31" s="134"/>
    </row>
    <row r="32" spans="1:13" ht="12.75" x14ac:dyDescent="0.2">
      <c r="A32" s="335"/>
      <c r="B32" s="184" t="str">
        <f>IF([1]MuKu!B60="","",[1]MuKu!B60)</f>
        <v>Tierarzt Med.</v>
      </c>
      <c r="C32" s="367"/>
      <c r="D32" s="383"/>
      <c r="E32" s="382">
        <f>IF([1]MuKu!P60="","",[1]MuKu!P60)</f>
        <v>16.149999999999999</v>
      </c>
      <c r="F32" s="370">
        <f>$E$32</f>
        <v>16.149999999999999</v>
      </c>
      <c r="G32" s="371">
        <f>$E$32</f>
        <v>16.149999999999999</v>
      </c>
      <c r="H32" s="752">
        <f>E32</f>
        <v>16.149999999999999</v>
      </c>
      <c r="I32" s="373">
        <f>$E$32</f>
        <v>16.149999999999999</v>
      </c>
      <c r="J32" s="370">
        <f>$E$32</f>
        <v>16.149999999999999</v>
      </c>
      <c r="K32" s="335"/>
      <c r="L32" s="131"/>
      <c r="M32" s="134"/>
    </row>
    <row r="33" spans="1:13" ht="12.75" x14ac:dyDescent="0.2">
      <c r="A33" s="335"/>
      <c r="B33" s="184" t="str">
        <f>IF([1]MuKu!B62="","",[1]MuKu!B62)</f>
        <v>Deckgeld</v>
      </c>
      <c r="C33" s="367"/>
      <c r="D33" s="384"/>
      <c r="E33" s="385">
        <f>IF([1]MuKu!P62="","",[1]MuKu!P62)</f>
        <v>28.5</v>
      </c>
      <c r="F33" s="370">
        <f>$E$33</f>
        <v>28.5</v>
      </c>
      <c r="G33" s="371">
        <f>$E$33</f>
        <v>28.5</v>
      </c>
      <c r="H33" s="429">
        <f>E33</f>
        <v>28.5</v>
      </c>
      <c r="I33" s="373">
        <f>$E$33</f>
        <v>28.5</v>
      </c>
      <c r="J33" s="370">
        <f>$E$33</f>
        <v>28.5</v>
      </c>
      <c r="K33" s="335"/>
      <c r="L33" s="131"/>
      <c r="M33" s="134"/>
    </row>
    <row r="34" spans="1:13" ht="12.75" x14ac:dyDescent="0.2">
      <c r="A34" s="335"/>
      <c r="B34" s="184" t="str">
        <f>IF([1]MuKu!B64="","",[1]MuKu!B64)</f>
        <v>Versicherung</v>
      </c>
      <c r="C34" s="367"/>
      <c r="D34" s="1150">
        <v>0.03</v>
      </c>
      <c r="E34" s="1151"/>
      <c r="F34" s="373">
        <f>IF(F26="","",F26*$D$34)</f>
        <v>15.790115499999999</v>
      </c>
      <c r="G34" s="371">
        <f>IF(G26="","",G26*$D$34)</f>
        <v>17.765164999999996</v>
      </c>
      <c r="H34" s="429">
        <f>D34*H26</f>
        <v>0</v>
      </c>
      <c r="I34" s="373">
        <f>IF(I26="","",I26*$D$34)</f>
        <v>21.715263999999998</v>
      </c>
      <c r="J34" s="370">
        <f>IF(J26="","",J26*$D$34)</f>
        <v>23.690313500000002</v>
      </c>
      <c r="K34" s="335"/>
      <c r="L34" s="131"/>
      <c r="M34" s="134"/>
    </row>
    <row r="35" spans="1:13" ht="12.75" x14ac:dyDescent="0.2">
      <c r="A35" s="335"/>
      <c r="B35" s="184" t="str">
        <f>IF([1]MuKu!K56="","",[1]MuKu!K56)</f>
        <v>Beiträge</v>
      </c>
      <c r="C35" s="367"/>
      <c r="D35" s="386"/>
      <c r="E35" s="387">
        <f>IF([1]MuKu!R56="","",[1]MuKu!R56)</f>
        <v>13.3</v>
      </c>
      <c r="F35" s="370">
        <f>$E$35</f>
        <v>13.3</v>
      </c>
      <c r="G35" s="371">
        <f>$E$35</f>
        <v>13.3</v>
      </c>
      <c r="H35" s="429">
        <f>E35</f>
        <v>13.3</v>
      </c>
      <c r="I35" s="373">
        <f>$E$35</f>
        <v>13.3</v>
      </c>
      <c r="J35" s="370">
        <f>$E$35</f>
        <v>13.3</v>
      </c>
      <c r="K35" s="335"/>
      <c r="L35" s="131"/>
      <c r="M35" s="134"/>
    </row>
    <row r="36" spans="1:13" ht="12.75" x14ac:dyDescent="0.2">
      <c r="A36" s="335"/>
      <c r="B36" s="184" t="str">
        <f>IF([1]MuKu!K58="","",[1]MuKu!K58)</f>
        <v>Sonstige Kosten</v>
      </c>
      <c r="C36" s="367"/>
      <c r="D36" s="383"/>
      <c r="E36" s="382">
        <f>IF([1]MuKu!R58="","",[1]MuKu!R58)</f>
        <v>45.6</v>
      </c>
      <c r="F36" s="370">
        <f>$E$36</f>
        <v>45.6</v>
      </c>
      <c r="G36" s="371">
        <f>$E$36</f>
        <v>45.6</v>
      </c>
      <c r="H36" s="429">
        <f>E36</f>
        <v>45.6</v>
      </c>
      <c r="I36" s="373">
        <f>$E$36</f>
        <v>45.6</v>
      </c>
      <c r="J36" s="370">
        <f>$E$36</f>
        <v>45.6</v>
      </c>
      <c r="K36" s="335"/>
      <c r="L36" s="131"/>
      <c r="M36" s="134"/>
    </row>
    <row r="37" spans="1:13" ht="12.75" x14ac:dyDescent="0.2">
      <c r="A37" s="335"/>
      <c r="B37" s="184" t="str">
        <f>IF([1]MuKu!K60="","",[1]MuKu!K60)</f>
        <v>Alpung, Transportkosten....</v>
      </c>
      <c r="C37" s="367"/>
      <c r="D37" s="383"/>
      <c r="E37" s="382">
        <f>IF([1]MuKu!R60="","",[1]MuKu!R60)</f>
        <v>30.4</v>
      </c>
      <c r="F37" s="370">
        <f>$E$37</f>
        <v>30.4</v>
      </c>
      <c r="G37" s="371">
        <f>$E$37</f>
        <v>30.4</v>
      </c>
      <c r="H37" s="429">
        <f>E37</f>
        <v>30.4</v>
      </c>
      <c r="I37" s="373">
        <f>$E$37</f>
        <v>30.4</v>
      </c>
      <c r="J37" s="370">
        <f>$E$37</f>
        <v>30.4</v>
      </c>
      <c r="K37" s="388"/>
      <c r="L37" s="131"/>
      <c r="M37" s="134"/>
    </row>
    <row r="38" spans="1:13" ht="12.75" x14ac:dyDescent="0.2">
      <c r="A38" s="335"/>
      <c r="B38" s="184" t="str">
        <f>IF([1]MuKu!K62="","",[1]MuKu!K62)</f>
        <v>Schlachtung</v>
      </c>
      <c r="C38" s="367"/>
      <c r="D38" s="383"/>
      <c r="E38" s="382">
        <f>IF([1]MuKu!R62="","",[1]MuKu!R62)</f>
        <v>38.950000000000003</v>
      </c>
      <c r="F38" s="370">
        <f>$E$38</f>
        <v>38.950000000000003</v>
      </c>
      <c r="G38" s="371">
        <f>$E$38</f>
        <v>38.950000000000003</v>
      </c>
      <c r="H38" s="429">
        <f>E38</f>
        <v>38.950000000000003</v>
      </c>
      <c r="I38" s="373">
        <f>$E$38</f>
        <v>38.950000000000003</v>
      </c>
      <c r="J38" s="370">
        <f>$E$38</f>
        <v>38.950000000000003</v>
      </c>
      <c r="K38" s="388"/>
      <c r="L38" s="131"/>
      <c r="M38" s="134"/>
    </row>
    <row r="39" spans="1:13" ht="13.5" thickBot="1" x14ac:dyDescent="0.25">
      <c r="A39" s="335"/>
      <c r="B39" s="184" t="str">
        <f>IF([1]MuKu!K64="","",[1]MuKu!K64)</f>
        <v xml:space="preserve">Mischpakete </v>
      </c>
      <c r="C39" s="367"/>
      <c r="D39" s="383"/>
      <c r="E39" s="382">
        <f>IF([1]MuKu!R64="","",[1]MuKu!R64)</f>
        <v>31.35</v>
      </c>
      <c r="F39" s="370">
        <f>$E$39</f>
        <v>31.35</v>
      </c>
      <c r="G39" s="371">
        <f>$E$39</f>
        <v>31.35</v>
      </c>
      <c r="H39" s="751">
        <f>E39</f>
        <v>31.35</v>
      </c>
      <c r="I39" s="373">
        <f>$E$39</f>
        <v>31.35</v>
      </c>
      <c r="J39" s="370">
        <f>$E$39</f>
        <v>31.35</v>
      </c>
      <c r="K39" s="335"/>
      <c r="L39" s="131"/>
      <c r="M39" s="134"/>
    </row>
    <row r="40" spans="1:13" ht="13.5" thickBot="1" x14ac:dyDescent="0.25">
      <c r="A40" s="335"/>
      <c r="B40" s="200" t="s">
        <v>277</v>
      </c>
      <c r="C40" s="200"/>
      <c r="D40" s="200"/>
      <c r="E40" s="200"/>
      <c r="F40" s="375">
        <f>SUM(F29:F39)</f>
        <v>341.80678216666666</v>
      </c>
      <c r="G40" s="376">
        <f>SUM(G29:G39)</f>
        <v>356.84849833333334</v>
      </c>
      <c r="H40" s="377"/>
      <c r="I40" s="378">
        <f>SUM(I29:I39)</f>
        <v>386.93193066666663</v>
      </c>
      <c r="J40" s="375">
        <f>SUM(J29:J39)</f>
        <v>401.97364683333331</v>
      </c>
      <c r="K40" s="335"/>
      <c r="L40" s="131"/>
      <c r="M40" s="134"/>
    </row>
    <row r="41" spans="1:13" ht="13.5" thickBot="1" x14ac:dyDescent="0.25">
      <c r="A41" s="335"/>
      <c r="B41" s="256" t="s">
        <v>323</v>
      </c>
      <c r="C41" s="257"/>
      <c r="D41" s="257"/>
      <c r="E41" s="257"/>
      <c r="F41" s="389">
        <f>IF(OR(F26="",F40=""),"",F26-F40)</f>
        <v>184.53040116666665</v>
      </c>
      <c r="G41" s="390">
        <f>IF(OR(G26="",G40=""),"",G26-G40)</f>
        <v>235.32366833333327</v>
      </c>
      <c r="H41" s="391"/>
      <c r="I41" s="392">
        <f>IF(OR(I26="",I40=""),"",I26-I40)</f>
        <v>336.91020266666669</v>
      </c>
      <c r="J41" s="389">
        <f>IF(OR(J26="",J40=""),"",J26-J40)</f>
        <v>387.70346983333343</v>
      </c>
      <c r="K41" s="335"/>
      <c r="L41" s="131"/>
      <c r="M41" s="134"/>
    </row>
    <row r="42" spans="1:13" ht="3.95" customHeight="1" x14ac:dyDescent="0.2">
      <c r="A42" s="335"/>
      <c r="B42" s="363"/>
      <c r="C42" s="363"/>
      <c r="D42" s="363"/>
      <c r="E42" s="363"/>
      <c r="F42" s="363"/>
      <c r="G42" s="363"/>
      <c r="H42" s="379"/>
      <c r="I42" s="363"/>
      <c r="J42" s="363"/>
      <c r="K42" s="335"/>
      <c r="L42" s="131"/>
      <c r="M42" s="134"/>
    </row>
    <row r="43" spans="1:13" ht="12.75" x14ac:dyDescent="0.2">
      <c r="A43" s="335"/>
      <c r="B43" s="194" t="s">
        <v>324</v>
      </c>
      <c r="C43" s="350"/>
      <c r="D43" s="350"/>
      <c r="E43" s="350"/>
      <c r="F43" s="365">
        <f>$I$5</f>
        <v>1</v>
      </c>
      <c r="G43" s="365">
        <f>$I$6</f>
        <v>2</v>
      </c>
      <c r="H43" s="366" t="s">
        <v>318</v>
      </c>
      <c r="I43" s="365">
        <f>$I$7</f>
        <v>4</v>
      </c>
      <c r="J43" s="365">
        <f>$I$8</f>
        <v>5</v>
      </c>
      <c r="K43" s="335"/>
      <c r="L43" s="131"/>
      <c r="M43" s="134"/>
    </row>
    <row r="44" spans="1:13" ht="13.5" thickBot="1" x14ac:dyDescent="0.25">
      <c r="A44" s="335"/>
      <c r="B44" s="184" t="str">
        <f>IF([1]MuKu!B67="","",[1]MuKu!B67)</f>
        <v>Variable Kosten je MJ NEL</v>
      </c>
      <c r="C44" s="367"/>
      <c r="D44" s="393" t="str">
        <f>IF(D10="","",D10)</f>
        <v/>
      </c>
      <c r="E44" s="394">
        <f>IF([1]MuKu!P67="","",[1]MuKu!P67)</f>
        <v>1.4E-2</v>
      </c>
      <c r="F44" s="370" t="str">
        <f>IF(OR($D$44="",$E$44=""),"",$D$44*$E$44)</f>
        <v/>
      </c>
      <c r="G44" s="371" t="str">
        <f>IF(OR($D$44="",$E$44=""),"",$D$44*$E$44)</f>
        <v/>
      </c>
      <c r="H44" s="751" t="str">
        <f>IF(OR(D44="",E44=""),"noch leer",D44*E44)</f>
        <v>noch leer</v>
      </c>
      <c r="I44" s="373" t="str">
        <f>IF(OR($D$44="",$E$44=""),"",$D$44*$E$44)</f>
        <v/>
      </c>
      <c r="J44" s="370" t="str">
        <f>IF(OR($D$44="",$E$44=""),"",$D$44*$E$44)</f>
        <v/>
      </c>
      <c r="K44" s="335"/>
      <c r="L44" s="131"/>
      <c r="M44" s="134"/>
    </row>
    <row r="45" spans="1:13" ht="13.5" thickBot="1" x14ac:dyDescent="0.25">
      <c r="A45" s="335"/>
      <c r="B45" s="256" t="s">
        <v>325</v>
      </c>
      <c r="C45" s="257"/>
      <c r="D45" s="257"/>
      <c r="E45" s="257"/>
      <c r="F45" s="389" t="str">
        <f>IF(OR(F41="",F44=""),"",F41-F44)</f>
        <v/>
      </c>
      <c r="G45" s="390" t="str">
        <f>IF(OR(G41="",G44=""),"",G41-G44)</f>
        <v/>
      </c>
      <c r="H45" s="391"/>
      <c r="I45" s="392" t="str">
        <f>IF(OR(I41="",I44=""),"",I41-I44)</f>
        <v/>
      </c>
      <c r="J45" s="389" t="str">
        <f>IF(OR(J41="",J44=""),"",J41-J44)</f>
        <v/>
      </c>
      <c r="K45" s="335"/>
      <c r="L45" s="131"/>
      <c r="M45" s="134"/>
    </row>
    <row r="46" spans="1:13" ht="3.95" customHeight="1" x14ac:dyDescent="0.2">
      <c r="A46" s="335"/>
      <c r="B46" s="363"/>
      <c r="C46" s="363"/>
      <c r="D46" s="363"/>
      <c r="E46" s="363"/>
      <c r="F46" s="363"/>
      <c r="G46" s="363"/>
      <c r="H46" s="379"/>
      <c r="I46" s="363"/>
      <c r="J46" s="363"/>
      <c r="K46" s="335"/>
      <c r="L46" s="131"/>
      <c r="M46" s="134"/>
    </row>
    <row r="47" spans="1:13" ht="12.75" x14ac:dyDescent="0.2">
      <c r="A47" s="335"/>
      <c r="B47" s="194" t="s">
        <v>170</v>
      </c>
      <c r="C47" s="183"/>
      <c r="D47" s="183"/>
      <c r="E47" s="183" t="s">
        <v>188</v>
      </c>
      <c r="F47" s="365">
        <f>$I$5</f>
        <v>1</v>
      </c>
      <c r="G47" s="365">
        <f>$I$6</f>
        <v>2</v>
      </c>
      <c r="H47" s="366" t="s">
        <v>318</v>
      </c>
      <c r="I47" s="365">
        <f>$I$7</f>
        <v>4</v>
      </c>
      <c r="J47" s="365">
        <f>$I$8</f>
        <v>5</v>
      </c>
      <c r="K47" s="335"/>
      <c r="L47" s="131"/>
      <c r="M47" s="134"/>
    </row>
    <row r="48" spans="1:13" ht="12.75" x14ac:dyDescent="0.2">
      <c r="A48" s="335"/>
      <c r="B48" s="210" t="str">
        <f>IF([1]MuKu!B71="","",[1]MuKu!B71)</f>
        <v>Mutterkuhprämie</v>
      </c>
      <c r="C48" s="214"/>
      <c r="D48" s="214"/>
      <c r="E48" s="382">
        <f>IF([1]MuKu!O71="","",[1]MuKu!O71)</f>
        <v>230</v>
      </c>
      <c r="F48" s="370">
        <f t="shared" ref="F48:G50" si="0">IF($E48="","",$E48)</f>
        <v>230</v>
      </c>
      <c r="G48" s="371">
        <f t="shared" si="0"/>
        <v>230</v>
      </c>
      <c r="H48" s="429">
        <f>E48</f>
        <v>230</v>
      </c>
      <c r="I48" s="373">
        <f t="shared" ref="I48:J50" si="1">IF($E48="","",$E48)</f>
        <v>230</v>
      </c>
      <c r="J48" s="370">
        <f t="shared" si="1"/>
        <v>230</v>
      </c>
      <c r="K48" s="335"/>
      <c r="L48" s="131"/>
      <c r="M48" s="753"/>
    </row>
    <row r="49" spans="1:13" ht="12.75" x14ac:dyDescent="0.2">
      <c r="A49" s="335"/>
      <c r="B49" s="210" t="str">
        <f>IF([1]MuKu!B73="","",[1]MuKu!B73)</f>
        <v>Schlachtprämie</v>
      </c>
      <c r="C49" s="214"/>
      <c r="D49" s="214"/>
      <c r="E49" s="382">
        <f>IF([1]MuKu!O73="","",[1]MuKu!O73)</f>
        <v>50</v>
      </c>
      <c r="F49" s="370">
        <f t="shared" si="0"/>
        <v>50</v>
      </c>
      <c r="G49" s="371">
        <f t="shared" si="0"/>
        <v>50</v>
      </c>
      <c r="H49" s="429">
        <f>E49</f>
        <v>50</v>
      </c>
      <c r="I49" s="373">
        <f t="shared" si="1"/>
        <v>50</v>
      </c>
      <c r="J49" s="370">
        <f t="shared" si="1"/>
        <v>50</v>
      </c>
      <c r="K49" s="335"/>
      <c r="L49" s="131"/>
      <c r="M49" s="753"/>
    </row>
    <row r="50" spans="1:13" ht="13.5" thickBot="1" x14ac:dyDescent="0.25">
      <c r="A50" s="335"/>
      <c r="B50" s="210" t="str">
        <f>IF([1]MuKu!B75="","",[1]MuKu!B75)</f>
        <v>Gefährdete Tierrassen</v>
      </c>
      <c r="C50" s="214"/>
      <c r="D50" s="214"/>
      <c r="E50" s="382">
        <f>IF([1]MuKu!O75="","",[1]MuKu!O75)</f>
        <v>20</v>
      </c>
      <c r="F50" s="370">
        <f t="shared" si="0"/>
        <v>20</v>
      </c>
      <c r="G50" s="371">
        <f t="shared" si="0"/>
        <v>20</v>
      </c>
      <c r="H50" s="751">
        <f>E50</f>
        <v>20</v>
      </c>
      <c r="I50" s="373">
        <f t="shared" si="1"/>
        <v>20</v>
      </c>
      <c r="J50" s="370">
        <f t="shared" si="1"/>
        <v>20</v>
      </c>
      <c r="K50" s="335"/>
      <c r="L50" s="131"/>
      <c r="M50" s="753"/>
    </row>
    <row r="51" spans="1:13" ht="13.5" thickBot="1" x14ac:dyDescent="0.25">
      <c r="A51" s="335"/>
      <c r="B51" s="256" t="s">
        <v>326</v>
      </c>
      <c r="C51" s="257"/>
      <c r="D51" s="257"/>
      <c r="E51" s="257"/>
      <c r="F51" s="389" t="str">
        <f>IF(F45="","",SUM(F45,F48:F50))</f>
        <v/>
      </c>
      <c r="G51" s="390" t="str">
        <f>IF(G45="","",SUM(G45,G48:G50))</f>
        <v/>
      </c>
      <c r="H51" s="391"/>
      <c r="I51" s="392" t="str">
        <f>IF(I45="","",SUM(I45,I48:I50))</f>
        <v/>
      </c>
      <c r="J51" s="389" t="str">
        <f>IF(J45="","",SUM(J45,J48:J50))</f>
        <v/>
      </c>
      <c r="K51" s="335"/>
      <c r="L51" s="131"/>
      <c r="M51" s="753"/>
    </row>
    <row r="52" spans="1:13" ht="3.95" customHeight="1" x14ac:dyDescent="0.2">
      <c r="A52" s="335"/>
      <c r="B52" s="363"/>
      <c r="C52" s="363"/>
      <c r="D52" s="363"/>
      <c r="E52" s="363"/>
      <c r="F52" s="363"/>
      <c r="G52" s="363"/>
      <c r="H52" s="379"/>
      <c r="I52" s="363"/>
      <c r="J52" s="363"/>
      <c r="K52" s="335"/>
      <c r="L52" s="131"/>
      <c r="M52" s="753"/>
    </row>
    <row r="53" spans="1:13" ht="12.75" x14ac:dyDescent="0.2">
      <c r="A53" s="335"/>
      <c r="B53" s="194" t="s">
        <v>327</v>
      </c>
      <c r="C53" s="183"/>
      <c r="D53" s="183"/>
      <c r="E53" s="350"/>
      <c r="F53" s="365">
        <f>$I$5</f>
        <v>1</v>
      </c>
      <c r="G53" s="365">
        <f>$I$6</f>
        <v>2</v>
      </c>
      <c r="H53" s="366" t="s">
        <v>318</v>
      </c>
      <c r="I53" s="365">
        <f>$I$7</f>
        <v>4</v>
      </c>
      <c r="J53" s="365">
        <f>$I$8</f>
        <v>5</v>
      </c>
      <c r="K53" s="335"/>
      <c r="L53" s="131"/>
      <c r="M53" s="753"/>
    </row>
    <row r="54" spans="1:13" ht="12.75" x14ac:dyDescent="0.2">
      <c r="A54" s="335"/>
      <c r="B54" s="184" t="str">
        <f>IF([1]MuKu!F71="","",[1]MuKu!F71)</f>
        <v>Stallarbeit</v>
      </c>
      <c r="C54" s="395"/>
      <c r="D54" s="395"/>
      <c r="E54" s="396">
        <f>IF([1]MuKu!Q71="","",[1]MuKu!Q71)</f>
        <v>29</v>
      </c>
      <c r="F54" s="397"/>
      <c r="G54" s="397"/>
      <c r="H54" s="398"/>
      <c r="I54" s="397"/>
      <c r="J54" s="397"/>
      <c r="K54" s="335"/>
      <c r="L54" s="131"/>
      <c r="M54" s="753"/>
    </row>
    <row r="55" spans="1:13" ht="12.75" x14ac:dyDescent="0.2">
      <c r="A55" s="335"/>
      <c r="B55" s="184" t="str">
        <f>IF([1]MuKu!F73="","",[1]MuKu!F73)</f>
        <v>Außenwirtschaft</v>
      </c>
      <c r="C55" s="395"/>
      <c r="D55" s="395"/>
      <c r="E55" s="396">
        <f>IF([1]MuKu!Q73="","",[1]MuKu!Q73)</f>
        <v>13</v>
      </c>
      <c r="F55" s="397"/>
      <c r="G55" s="397"/>
      <c r="H55" s="398"/>
      <c r="I55" s="397"/>
      <c r="J55" s="397"/>
      <c r="K55" s="335"/>
      <c r="L55" s="131"/>
      <c r="M55" s="753"/>
    </row>
    <row r="56" spans="1:13" ht="13.5" thickBot="1" x14ac:dyDescent="0.25">
      <c r="A56" s="335"/>
      <c r="B56" s="184" t="str">
        <f>IF([1]MuKu!F75="","",[1]MuKu!F75)</f>
        <v>Selbstvermarktung</v>
      </c>
      <c r="C56" s="395"/>
      <c r="D56" s="395"/>
      <c r="E56" s="399">
        <f>IF([1]MuKu!Q75="","",[1]MuKu!Q75)</f>
        <v>4</v>
      </c>
      <c r="F56" s="397"/>
      <c r="G56" s="397"/>
      <c r="H56" s="398"/>
      <c r="I56" s="397"/>
      <c r="J56" s="397"/>
      <c r="K56" s="335"/>
      <c r="L56" s="131"/>
      <c r="M56" s="753"/>
    </row>
    <row r="57" spans="1:13" ht="13.5" thickBot="1" x14ac:dyDescent="0.25">
      <c r="A57" s="335"/>
      <c r="B57" s="184"/>
      <c r="C57" s="395"/>
      <c r="D57" s="400" t="s">
        <v>612</v>
      </c>
      <c r="E57" s="401"/>
      <c r="F57" s="397"/>
      <c r="G57" s="397"/>
      <c r="H57" s="398"/>
      <c r="I57" s="397"/>
      <c r="J57" s="397"/>
      <c r="K57" s="335"/>
      <c r="L57" s="131"/>
      <c r="M57" s="134"/>
    </row>
    <row r="58" spans="1:13" ht="13.5" thickBot="1" x14ac:dyDescent="0.25">
      <c r="A58" s="335"/>
      <c r="B58" s="402"/>
      <c r="C58" s="403"/>
      <c r="D58" s="403"/>
      <c r="E58" s="403" t="s">
        <v>328</v>
      </c>
      <c r="F58" s="404" t="str">
        <f>IF($E$57="","",F51/$E$57)</f>
        <v/>
      </c>
      <c r="G58" s="405" t="str">
        <f>IF($E$57="","",G51/$E$57)</f>
        <v/>
      </c>
      <c r="H58" s="406"/>
      <c r="I58" s="407" t="str">
        <f>IF($E$57="","",I51/$E$57)</f>
        <v/>
      </c>
      <c r="J58" s="404" t="str">
        <f>IF($E$57="","",J51/$E$57)</f>
        <v/>
      </c>
      <c r="K58" s="335"/>
      <c r="L58" s="131"/>
      <c r="M58" s="134"/>
    </row>
    <row r="59" spans="1:13" ht="12.75" x14ac:dyDescent="0.2">
      <c r="A59" s="335"/>
      <c r="B59" s="335"/>
      <c r="C59" s="335"/>
      <c r="D59" s="335"/>
      <c r="E59" s="335"/>
      <c r="F59" s="335"/>
      <c r="G59" s="335"/>
      <c r="H59" s="335"/>
      <c r="I59" s="335"/>
      <c r="J59" s="335"/>
      <c r="K59" s="335"/>
      <c r="L59" s="131"/>
      <c r="M59" s="134"/>
    </row>
    <row r="60" spans="1:13" ht="12.75" hidden="1" x14ac:dyDescent="0.2">
      <c r="L60" s="18"/>
      <c r="M60" s="220"/>
    </row>
    <row r="61" spans="1:13" ht="12.75" hidden="1" x14ac:dyDescent="0.2">
      <c r="B61" s="408"/>
      <c r="C61" s="408"/>
      <c r="D61" s="408"/>
      <c r="E61" s="408"/>
      <c r="F61" s="408"/>
      <c r="G61" s="408"/>
      <c r="H61" s="408"/>
      <c r="I61" s="408"/>
      <c r="J61" s="408"/>
      <c r="L61" s="18"/>
      <c r="M61" s="220"/>
    </row>
    <row r="62" spans="1:13" ht="12.75" hidden="1" x14ac:dyDescent="0.2">
      <c r="B62" s="408"/>
      <c r="C62" s="408"/>
      <c r="D62" s="408"/>
      <c r="E62" s="408"/>
      <c r="F62" s="408"/>
      <c r="G62" s="408"/>
      <c r="H62" s="408"/>
      <c r="I62" s="408"/>
      <c r="J62" s="408"/>
      <c r="L62" s="18"/>
      <c r="M62" s="220"/>
    </row>
    <row r="63" spans="1:13" ht="12.75" hidden="1" x14ac:dyDescent="0.2">
      <c r="B63" s="409"/>
      <c r="C63" s="409"/>
      <c r="D63" s="409"/>
      <c r="E63" s="409"/>
      <c r="F63" s="409"/>
      <c r="G63" s="409"/>
      <c r="H63" s="409"/>
      <c r="I63" s="409"/>
      <c r="J63" s="409"/>
      <c r="L63" s="18"/>
    </row>
    <row r="64" spans="1:13" ht="12.75" hidden="1" x14ac:dyDescent="0.2">
      <c r="L64" s="18"/>
    </row>
    <row r="65" ht="0" hidden="1" customHeight="1" x14ac:dyDescent="0.2"/>
    <row r="66" ht="0" hidden="1" customHeight="1" x14ac:dyDescent="0.2"/>
    <row r="67" ht="0" hidden="1" customHeight="1" x14ac:dyDescent="0.2"/>
    <row r="68" ht="0" hidden="1" customHeight="1" x14ac:dyDescent="0.2"/>
    <row r="69" ht="0" hidden="1" customHeight="1" x14ac:dyDescent="0.2"/>
    <row r="70" ht="0" hidden="1" customHeight="1" x14ac:dyDescent="0.2"/>
    <row r="71" ht="0" hidden="1" customHeight="1" x14ac:dyDescent="0.2"/>
    <row r="72" ht="0" hidden="1" customHeight="1" x14ac:dyDescent="0.2"/>
    <row r="73" ht="0" hidden="1" customHeight="1" x14ac:dyDescent="0.2"/>
    <row r="74" ht="0" hidden="1" customHeight="1" x14ac:dyDescent="0.2"/>
    <row r="75" ht="0" hidden="1" customHeight="1" x14ac:dyDescent="0.2"/>
    <row r="76" ht="0" hidden="1" customHeight="1" x14ac:dyDescent="0.2"/>
    <row r="77" ht="0" hidden="1" customHeight="1" x14ac:dyDescent="0.2"/>
    <row r="78" ht="0" hidden="1" customHeight="1" x14ac:dyDescent="0.2"/>
    <row r="79" ht="0" hidden="1" customHeight="1" x14ac:dyDescent="0.2"/>
    <row r="80" ht="0" hidden="1" customHeight="1" x14ac:dyDescent="0.2"/>
    <row r="81" ht="0" hidden="1" customHeight="1" x14ac:dyDescent="0.2"/>
    <row r="82" ht="0" hidden="1" customHeight="1" x14ac:dyDescent="0.2"/>
    <row r="83" ht="0" hidden="1" customHeight="1" x14ac:dyDescent="0.2"/>
    <row r="84" ht="0" hidden="1" customHeight="1" x14ac:dyDescent="0.2"/>
    <row r="85" ht="0" hidden="1" customHeight="1" x14ac:dyDescent="0.2"/>
    <row r="86" ht="0" hidden="1" customHeight="1" x14ac:dyDescent="0.2"/>
    <row r="87" ht="0" hidden="1" customHeight="1" x14ac:dyDescent="0.2"/>
    <row r="88" ht="0" hidden="1" customHeight="1" x14ac:dyDescent="0.2"/>
    <row r="89" ht="0" hidden="1" customHeight="1" x14ac:dyDescent="0.2"/>
    <row r="90" ht="0" hidden="1" customHeight="1" x14ac:dyDescent="0.2"/>
    <row r="91" ht="0" hidden="1" customHeight="1" x14ac:dyDescent="0.2"/>
    <row r="92" ht="0" hidden="1" customHeight="1" x14ac:dyDescent="0.2"/>
    <row r="93" ht="0" hidden="1" customHeight="1" x14ac:dyDescent="0.2"/>
    <row r="94" ht="0" hidden="1" customHeight="1" x14ac:dyDescent="0.2"/>
    <row r="95" ht="0" hidden="1" customHeight="1" x14ac:dyDescent="0.2"/>
    <row r="96" ht="0" hidden="1" customHeight="1" x14ac:dyDescent="0.2"/>
    <row r="97" ht="0" hidden="1" customHeight="1" x14ac:dyDescent="0.2"/>
    <row r="98" ht="0" hidden="1" customHeight="1" x14ac:dyDescent="0.2"/>
    <row r="99" ht="0" hidden="1" customHeight="1" x14ac:dyDescent="0.2"/>
    <row r="100" ht="0" hidden="1" customHeight="1" x14ac:dyDescent="0.2"/>
    <row r="101" ht="0" hidden="1" customHeight="1" x14ac:dyDescent="0.2"/>
    <row r="102" ht="0" hidden="1" customHeight="1" x14ac:dyDescent="0.2"/>
    <row r="103" ht="0" hidden="1" customHeight="1" x14ac:dyDescent="0.2"/>
    <row r="104" ht="0" hidden="1" customHeight="1" x14ac:dyDescent="0.2"/>
    <row r="105" ht="0" hidden="1" customHeight="1" x14ac:dyDescent="0.2"/>
    <row r="106" ht="0" hidden="1" customHeight="1" x14ac:dyDescent="0.2"/>
    <row r="107" ht="0" hidden="1" customHeight="1" x14ac:dyDescent="0.2"/>
    <row r="108" ht="0" hidden="1" customHeight="1" x14ac:dyDescent="0.2"/>
    <row r="109" ht="0" hidden="1" customHeight="1" x14ac:dyDescent="0.2"/>
    <row r="110" ht="0" hidden="1" customHeight="1" x14ac:dyDescent="0.2"/>
    <row r="111" ht="0" hidden="1" customHeight="1" x14ac:dyDescent="0.2"/>
    <row r="112" ht="0" hidden="1" customHeight="1" x14ac:dyDescent="0.2"/>
    <row r="113" ht="0" hidden="1" customHeight="1" x14ac:dyDescent="0.2"/>
    <row r="114" ht="0" hidden="1" customHeight="1" x14ac:dyDescent="0.2"/>
    <row r="115" ht="0" hidden="1" customHeight="1" x14ac:dyDescent="0.2"/>
    <row r="116" ht="0" hidden="1" customHeight="1" x14ac:dyDescent="0.2"/>
    <row r="117" ht="0" hidden="1" customHeight="1" x14ac:dyDescent="0.2"/>
    <row r="118" ht="0" hidden="1" customHeight="1" x14ac:dyDescent="0.2"/>
    <row r="119" ht="0" hidden="1" customHeight="1" x14ac:dyDescent="0.2"/>
    <row r="120" ht="0" hidden="1" customHeight="1" x14ac:dyDescent="0.2"/>
    <row r="121" ht="0" hidden="1" customHeight="1" x14ac:dyDescent="0.2"/>
    <row r="122" ht="0" hidden="1" customHeight="1" x14ac:dyDescent="0.2"/>
    <row r="123" ht="0" hidden="1" customHeight="1" x14ac:dyDescent="0.2"/>
    <row r="124" ht="0" hidden="1" customHeight="1" x14ac:dyDescent="0.2"/>
    <row r="125" ht="0" hidden="1" customHeight="1" x14ac:dyDescent="0.2"/>
    <row r="126" ht="0" hidden="1" customHeight="1" x14ac:dyDescent="0.2"/>
    <row r="127" ht="0" hidden="1" customHeight="1" x14ac:dyDescent="0.2"/>
    <row r="128" ht="0" hidden="1" customHeight="1" x14ac:dyDescent="0.2"/>
    <row r="129" ht="0" hidden="1" customHeight="1" x14ac:dyDescent="0.2"/>
    <row r="130" ht="0" hidden="1" customHeight="1" x14ac:dyDescent="0.2"/>
    <row r="131" ht="0" hidden="1" customHeight="1" x14ac:dyDescent="0.2"/>
    <row r="132" ht="0" hidden="1" customHeight="1" x14ac:dyDescent="0.2"/>
    <row r="133" ht="0" hidden="1" customHeight="1" x14ac:dyDescent="0.2"/>
    <row r="134" ht="0" hidden="1" customHeight="1" x14ac:dyDescent="0.2"/>
    <row r="135" ht="0" hidden="1" customHeight="1" x14ac:dyDescent="0.2"/>
    <row r="136" ht="0" hidden="1" customHeight="1" x14ac:dyDescent="0.2"/>
    <row r="137" ht="0" hidden="1" customHeight="1" x14ac:dyDescent="0.2"/>
    <row r="138" ht="0" hidden="1" customHeight="1" x14ac:dyDescent="0.2"/>
    <row r="139" ht="0" hidden="1" customHeight="1" x14ac:dyDescent="0.2"/>
    <row r="140" ht="0" hidden="1" customHeight="1" x14ac:dyDescent="0.2"/>
    <row r="141" ht="0" hidden="1" customHeight="1" x14ac:dyDescent="0.2"/>
    <row r="142" ht="0" hidden="1" customHeight="1" x14ac:dyDescent="0.2"/>
    <row r="143" ht="0" hidden="1" customHeight="1" x14ac:dyDescent="0.2"/>
    <row r="144" ht="0" hidden="1" customHeight="1" x14ac:dyDescent="0.2"/>
    <row r="145" ht="0" hidden="1" customHeight="1" x14ac:dyDescent="0.2"/>
    <row r="146" ht="0" hidden="1" customHeight="1" x14ac:dyDescent="0.2"/>
    <row r="147" ht="0" hidden="1" customHeight="1" x14ac:dyDescent="0.2"/>
    <row r="148" ht="0" hidden="1" customHeight="1" x14ac:dyDescent="0.2"/>
    <row r="149" ht="0" hidden="1" customHeight="1" x14ac:dyDescent="0.2"/>
    <row r="150" ht="0" hidden="1" customHeight="1" x14ac:dyDescent="0.2"/>
    <row r="151" ht="0" hidden="1" customHeight="1" x14ac:dyDescent="0.2"/>
    <row r="152" ht="0" hidden="1" customHeight="1" x14ac:dyDescent="0.2"/>
    <row r="153" ht="0" hidden="1" customHeight="1" x14ac:dyDescent="0.2"/>
    <row r="154" ht="0" hidden="1" customHeight="1" x14ac:dyDescent="0.2"/>
    <row r="155" ht="0" hidden="1" customHeight="1" x14ac:dyDescent="0.2"/>
    <row r="156" ht="0" hidden="1" customHeight="1" x14ac:dyDescent="0.2"/>
    <row r="157" ht="0" hidden="1" customHeight="1" x14ac:dyDescent="0.2"/>
    <row r="158" ht="0" hidden="1" customHeight="1" x14ac:dyDescent="0.2"/>
    <row r="159" ht="0" hidden="1" customHeight="1" x14ac:dyDescent="0.2"/>
    <row r="160" ht="0" hidden="1" customHeight="1" x14ac:dyDescent="0.2"/>
    <row r="161" ht="0" hidden="1" customHeight="1" x14ac:dyDescent="0.2"/>
    <row r="162" ht="0" hidden="1" customHeight="1" x14ac:dyDescent="0.2"/>
    <row r="163" ht="0" hidden="1" customHeight="1" x14ac:dyDescent="0.2"/>
    <row r="164" ht="0" hidden="1" customHeight="1" x14ac:dyDescent="0.2"/>
    <row r="165" ht="0" hidden="1" customHeight="1" x14ac:dyDescent="0.2"/>
    <row r="166" ht="0" hidden="1" customHeight="1" x14ac:dyDescent="0.2"/>
    <row r="167" ht="0" hidden="1" customHeight="1" x14ac:dyDescent="0.2"/>
    <row r="168" ht="0" hidden="1" customHeight="1" x14ac:dyDescent="0.2"/>
    <row r="169" ht="0" hidden="1" customHeight="1" x14ac:dyDescent="0.2"/>
    <row r="170" ht="0" hidden="1" customHeight="1" x14ac:dyDescent="0.2"/>
    <row r="171" ht="0" hidden="1" customHeight="1" x14ac:dyDescent="0.2"/>
    <row r="172" ht="0" hidden="1" customHeight="1" x14ac:dyDescent="0.2"/>
    <row r="173" ht="0" hidden="1" customHeight="1" x14ac:dyDescent="0.2"/>
    <row r="174" ht="0" hidden="1" customHeight="1" x14ac:dyDescent="0.2"/>
    <row r="175" ht="0" hidden="1" customHeight="1" x14ac:dyDescent="0.2"/>
    <row r="176" ht="0" hidden="1" customHeight="1" x14ac:dyDescent="0.2"/>
    <row r="177" ht="0" hidden="1" customHeight="1" x14ac:dyDescent="0.2"/>
    <row r="178" ht="0" hidden="1" customHeight="1" x14ac:dyDescent="0.2"/>
    <row r="179" ht="0" hidden="1" customHeight="1" x14ac:dyDescent="0.2"/>
    <row r="180" ht="0" hidden="1" customHeight="1" x14ac:dyDescent="0.2"/>
    <row r="181" ht="0" hidden="1" customHeight="1" x14ac:dyDescent="0.2"/>
    <row r="182" ht="0" hidden="1" customHeight="1" x14ac:dyDescent="0.2"/>
    <row r="183" ht="0" hidden="1" customHeight="1" x14ac:dyDescent="0.2"/>
    <row r="184" ht="0" hidden="1" customHeight="1" x14ac:dyDescent="0.2"/>
    <row r="185" ht="0" hidden="1" customHeight="1" x14ac:dyDescent="0.2"/>
    <row r="186" ht="0" hidden="1" customHeight="1" x14ac:dyDescent="0.2"/>
    <row r="187" ht="0" hidden="1" customHeight="1" x14ac:dyDescent="0.2"/>
    <row r="188" ht="0" hidden="1" customHeight="1" x14ac:dyDescent="0.2"/>
    <row r="189" ht="0" hidden="1" customHeight="1" x14ac:dyDescent="0.2"/>
    <row r="190" ht="0" hidden="1" customHeight="1" x14ac:dyDescent="0.2"/>
    <row r="191" ht="0" hidden="1" customHeight="1" x14ac:dyDescent="0.2"/>
    <row r="192" ht="0" hidden="1" customHeight="1" x14ac:dyDescent="0.2"/>
    <row r="193" ht="0" hidden="1" customHeight="1" x14ac:dyDescent="0.2"/>
    <row r="194" ht="0" hidden="1" customHeight="1" x14ac:dyDescent="0.2"/>
    <row r="195" ht="0" hidden="1" customHeight="1" x14ac:dyDescent="0.2"/>
    <row r="196" ht="0" hidden="1" customHeight="1" x14ac:dyDescent="0.2"/>
    <row r="197" ht="0" hidden="1" customHeight="1" x14ac:dyDescent="0.2"/>
    <row r="198" ht="0" hidden="1" customHeight="1" x14ac:dyDescent="0.2"/>
    <row r="199" ht="0" hidden="1" customHeight="1" x14ac:dyDescent="0.2"/>
  </sheetData>
  <mergeCells count="5">
    <mergeCell ref="D34:E34"/>
    <mergeCell ref="M1:M2"/>
    <mergeCell ref="C16:C17"/>
    <mergeCell ref="D16:D17"/>
    <mergeCell ref="E16:E17"/>
  </mergeCells>
  <phoneticPr fontId="4" type="noConversion"/>
  <conditionalFormatting sqref="E29:E39 D9 D44:E44 J5:J8 D30:D39 E54:E56 D23:D25 D5:D6 C18:J19 F15:J15 I11:J11 D12:D14 F54:J57 H5:H11 E48:E50">
    <cfRule type="cellIs" dxfId="84" priority="1" stopIfTrue="1" operator="equal">
      <formula>""</formula>
    </cfRule>
  </conditionalFormatting>
  <conditionalFormatting sqref="E12">
    <cfRule type="expression" dxfId="83" priority="2" stopIfTrue="1">
      <formula>$D$12=""</formula>
    </cfRule>
  </conditionalFormatting>
  <conditionalFormatting sqref="H48:H50">
    <cfRule type="expression" dxfId="82" priority="3" stopIfTrue="1">
      <formula>B48=""</formula>
    </cfRule>
  </conditionalFormatting>
  <conditionalFormatting sqref="F48:G50 I48:J50">
    <cfRule type="cellIs" dxfId="81" priority="4" stopIfTrue="1" operator="equal">
      <formula>""</formula>
    </cfRule>
    <cfRule type="expression" dxfId="80" priority="5" stopIfTrue="1">
      <formula>$A$2="Du musst zuerst alle Berechnungen durchführen, um das Ergebnis ansehen zu können!"</formula>
    </cfRule>
  </conditionalFormatting>
  <conditionalFormatting sqref="F23:G25 I23:J25 I44:J44 I29:J39 F44:G44 F29:G39">
    <cfRule type="expression" dxfId="79" priority="6" stopIfTrue="1">
      <formula>$A$2="Du musst zuerst alle Berechnungen durchführen, um das Ergebnis ansehen zu können!"</formula>
    </cfRule>
  </conditionalFormatting>
  <conditionalFormatting sqref="F26:G26 I26:J26 F40:G40 I40:J40">
    <cfRule type="expression" dxfId="78" priority="7" stopIfTrue="1">
      <formula>$A$2="Du musst zuerst alle Berechnungen durchführen, um das Ergebnis ansehen zu können!"</formula>
    </cfRule>
  </conditionalFormatting>
  <conditionalFormatting sqref="F41:G41 I41:J41 F45:G45 I45:J45 F51:G51 I51:J51">
    <cfRule type="expression" dxfId="77" priority="8" stopIfTrue="1">
      <formula>$A$2="Du musst zuerst alle Berechnungen durchführen, um das Ergebnis ansehen zu können!"</formula>
    </cfRule>
  </conditionalFormatting>
  <conditionalFormatting sqref="F58:G58 I58:J58">
    <cfRule type="expression" dxfId="76" priority="9" stopIfTrue="1">
      <formula>$A$2="Du musst zuerst alle Berechnungen durchführen, um das Ergebnis ansehen zu können!"</formula>
    </cfRule>
  </conditionalFormatting>
  <conditionalFormatting sqref="H44">
    <cfRule type="cellIs" dxfId="75" priority="10" stopIfTrue="1" operator="equal">
      <formula>"noch leer"</formula>
    </cfRule>
  </conditionalFormatting>
  <printOptions horizontalCentered="1"/>
  <pageMargins left="0.39370078740157483" right="0.39370078740157483" top="0.59055118110236227" bottom="0.39370078740157483" header="0" footer="0"/>
  <pageSetup paperSize="9" orientation="portrait" blackAndWhite="1" horizontalDpi="4294967295" r:id="rId1"/>
  <headerFooter alignWithMargins="0">
    <oddHeader>&amp;R&amp;8&amp;U&amp;F - Seite &amp;P/&amp;N</oddHead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31">
    <tabColor indexed="10"/>
  </sheetPr>
  <dimension ref="A1:L275"/>
  <sheetViews>
    <sheetView showGridLines="0" workbookViewId="0">
      <pane ySplit="6" topLeftCell="A7" activePane="bottomLeft" state="frozen"/>
      <selection activeCell="F326" sqref="F326"/>
      <selection pane="bottomLeft" activeCell="I13" sqref="I13"/>
    </sheetView>
  </sheetViews>
  <sheetFormatPr baseColWidth="10" defaultColWidth="0" defaultRowHeight="12.75" customHeight="1" zeroHeight="1" x14ac:dyDescent="0.2"/>
  <cols>
    <col min="1" max="1" width="2.28515625" style="1" customWidth="1"/>
    <col min="2" max="2" width="24.140625" style="1" customWidth="1"/>
    <col min="3" max="9" width="8.7109375" style="1" customWidth="1"/>
    <col min="10" max="10" width="2.28515625" style="1" customWidth="1"/>
    <col min="11" max="11" width="0.85546875" style="179" customWidth="1"/>
    <col min="12" max="12" width="20.7109375" style="179" customWidth="1"/>
    <col min="13" max="16384" width="11.42578125" style="1" hidden="1"/>
  </cols>
  <sheetData>
    <row r="1" spans="1:12" ht="24.95" customHeight="1" x14ac:dyDescent="0.2">
      <c r="A1" s="1152"/>
      <c r="B1" s="453" t="s">
        <v>353</v>
      </c>
      <c r="C1" s="454"/>
      <c r="D1" s="454"/>
      <c r="E1" s="454"/>
      <c r="F1" s="454"/>
      <c r="G1" s="454"/>
      <c r="H1" s="454"/>
      <c r="I1" s="454"/>
      <c r="J1" s="454"/>
      <c r="K1" s="130"/>
      <c r="L1" s="1039" t="s">
        <v>101</v>
      </c>
    </row>
    <row r="2" spans="1:12" s="36" customFormat="1" ht="12.6" customHeight="1" x14ac:dyDescent="0.2">
      <c r="A2" s="1152"/>
      <c r="B2" s="412" t="str">
        <f>IF([1]ILeist!H12="","-",[1]ILeist!H12)</f>
        <v>Dauergrünland 3-schnittig</v>
      </c>
      <c r="C2" s="454"/>
      <c r="D2" s="454"/>
      <c r="E2" s="454"/>
      <c r="F2" s="454"/>
      <c r="G2" s="454"/>
      <c r="H2" s="454"/>
      <c r="I2" s="454"/>
      <c r="J2" s="454"/>
      <c r="K2" s="131"/>
      <c r="L2" s="1039"/>
    </row>
    <row r="3" spans="1:12" ht="11.85" customHeight="1" x14ac:dyDescent="0.2">
      <c r="A3" s="220"/>
      <c r="B3" s="220"/>
      <c r="C3" s="220"/>
      <c r="D3" s="220"/>
      <c r="E3" s="220"/>
      <c r="F3" s="220"/>
      <c r="G3" s="220"/>
      <c r="H3" s="220"/>
      <c r="I3" s="220"/>
      <c r="J3" s="220"/>
      <c r="K3" s="131"/>
      <c r="L3" s="1039"/>
    </row>
    <row r="4" spans="1:12" ht="11.85" customHeight="1" x14ac:dyDescent="0.2">
      <c r="A4" s="220"/>
      <c r="B4" s="757" t="s">
        <v>354</v>
      </c>
      <c r="C4" s="1153" t="str">
        <f>IF([1]ILeist!F12="","",[1]ILeist!F12&amp;" ha "&amp;IF([1]ILeist!H12="","-",[1]ILeist!H12))</f>
        <v>1 ha Dauergrünland 3-schnittig</v>
      </c>
      <c r="D4" s="1153"/>
      <c r="E4" s="220"/>
      <c r="F4" s="220"/>
      <c r="G4" s="220"/>
      <c r="H4" s="220"/>
      <c r="I4" s="220"/>
      <c r="J4" s="220"/>
      <c r="K4" s="131"/>
      <c r="L4" s="1039"/>
    </row>
    <row r="5" spans="1:12" ht="11.85" customHeight="1" x14ac:dyDescent="0.2">
      <c r="A5" s="220"/>
      <c r="B5" s="757" t="s">
        <v>355</v>
      </c>
      <c r="C5" s="1154">
        <f>IF([1]ILeist!F14="","",[1]ILeist!F14)</f>
        <v>3</v>
      </c>
      <c r="D5" s="1154"/>
      <c r="E5" s="220"/>
      <c r="F5" s="220"/>
      <c r="G5" s="220"/>
      <c r="H5" s="220"/>
      <c r="I5" s="220"/>
      <c r="J5" s="220"/>
      <c r="K5" s="131"/>
      <c r="L5" s="1039"/>
    </row>
    <row r="6" spans="1:12" ht="11.85" customHeight="1" x14ac:dyDescent="0.2">
      <c r="A6" s="220"/>
      <c r="B6" s="220"/>
      <c r="C6" s="220"/>
      <c r="D6" s="220"/>
      <c r="E6" s="220"/>
      <c r="F6" s="220"/>
      <c r="G6" s="220"/>
      <c r="H6" s="220"/>
      <c r="I6" s="220"/>
      <c r="J6" s="220"/>
      <c r="K6" s="131"/>
      <c r="L6" s="1039"/>
    </row>
    <row r="7" spans="1:12" ht="2.1" customHeight="1" x14ac:dyDescent="0.2">
      <c r="A7" s="220"/>
      <c r="B7" s="248"/>
      <c r="C7" s="248"/>
      <c r="D7" s="248"/>
      <c r="E7" s="248"/>
      <c r="F7" s="248"/>
      <c r="G7" s="248"/>
      <c r="H7" s="248"/>
      <c r="I7" s="248"/>
      <c r="J7" s="220"/>
      <c r="K7" s="131"/>
      <c r="L7" s="134"/>
    </row>
    <row r="8" spans="1:12" ht="11.85" customHeight="1" x14ac:dyDescent="0.2">
      <c r="A8" s="220"/>
      <c r="B8" s="215" t="s">
        <v>356</v>
      </c>
      <c r="C8" s="195" t="s">
        <v>357</v>
      </c>
      <c r="D8" s="758" t="s">
        <v>358</v>
      </c>
      <c r="E8" s="758"/>
      <c r="F8" s="758"/>
      <c r="G8" s="195" t="s">
        <v>359</v>
      </c>
      <c r="H8" s="933" t="s">
        <v>360</v>
      </c>
      <c r="I8" s="933"/>
      <c r="J8" s="220"/>
      <c r="K8" s="131"/>
      <c r="L8" s="134"/>
    </row>
    <row r="9" spans="1:12" ht="11.85" customHeight="1" x14ac:dyDescent="0.2">
      <c r="A9" s="220"/>
      <c r="B9" s="759" t="s">
        <v>361</v>
      </c>
      <c r="C9" s="195" t="s">
        <v>362</v>
      </c>
      <c r="D9" s="455">
        <f>IF([1]ILeist!H28="","",[1]ILeist!H28)</f>
        <v>45</v>
      </c>
      <c r="E9" s="455">
        <f>IF([1]ILeist!J28="","",[1]ILeist!J28)</f>
        <v>65</v>
      </c>
      <c r="F9" s="456" t="str">
        <f>IF([1]ILeist!L28="","",[1]ILeist!L28)</f>
        <v/>
      </c>
      <c r="G9" s="195" t="s">
        <v>362</v>
      </c>
      <c r="H9" s="195" t="s">
        <v>363</v>
      </c>
      <c r="I9" s="195" t="s">
        <v>336</v>
      </c>
      <c r="J9" s="220"/>
      <c r="K9" s="131"/>
      <c r="L9" s="134"/>
    </row>
    <row r="10" spans="1:12" ht="2.1" customHeight="1" x14ac:dyDescent="0.2">
      <c r="A10" s="220"/>
      <c r="B10" s="759"/>
      <c r="C10" s="195"/>
      <c r="D10" s="195"/>
      <c r="E10" s="195"/>
      <c r="F10" s="195"/>
      <c r="G10" s="195"/>
      <c r="H10" s="195"/>
      <c r="I10" s="195"/>
      <c r="J10" s="220"/>
      <c r="K10" s="131"/>
      <c r="L10" s="134"/>
    </row>
    <row r="11" spans="1:12" ht="11.85" customHeight="1" x14ac:dyDescent="0.2">
      <c r="A11" s="220"/>
      <c r="B11" s="216" t="str">
        <f>IF([1]ILeist!C32="","",[1]ILeist!C32)</f>
        <v xml:space="preserve">  Festmist</v>
      </c>
      <c r="C11" s="429">
        <f>IF([1]ILeist!Q32="","",[1]ILeist!Q32)</f>
        <v>4.8599999999999994</v>
      </c>
      <c r="D11" s="429" t="str">
        <f>IF([1]ILeist!H32="x",'1xDgl'!$C11,"")</f>
        <v/>
      </c>
      <c r="E11" s="429" t="str">
        <f>IF([1]ILeist!J32="x",'1xDgl'!$C11,"")</f>
        <v/>
      </c>
      <c r="F11" s="429" t="str">
        <f>IF([1]ILeist!L32="x",'1xDgl'!$C11,"")</f>
        <v/>
      </c>
      <c r="G11" s="429" t="str">
        <f>IF(AND(C11&lt;&gt;"",H11&lt;&gt;""),C11,"")</f>
        <v/>
      </c>
      <c r="H11" s="429"/>
      <c r="I11" s="429" t="str">
        <f>IF(WD.1Dgl!G24="noch leer","noch leer",WD.1Dgl!G24)</f>
        <v>noch leer</v>
      </c>
      <c r="J11" s="220"/>
      <c r="K11" s="131"/>
      <c r="L11" s="134"/>
    </row>
    <row r="12" spans="1:12" ht="11.85" customHeight="1" thickBot="1" x14ac:dyDescent="0.25">
      <c r="A12" s="220"/>
      <c r="B12" s="216" t="str">
        <f>IF([1]ILeist!C34="","",[1]ILeist!C34)</f>
        <v xml:space="preserve">  Jauche</v>
      </c>
      <c r="C12" s="429">
        <f>IF([1]ILeist!Q34="","",[1]ILeist!Q34)</f>
        <v>3.3249999999999997</v>
      </c>
      <c r="D12" s="429" t="str">
        <f>IF([1]ILeist!H34="x",'1xDgl'!$C12,"")</f>
        <v/>
      </c>
      <c r="E12" s="429" t="str">
        <f>IF([1]ILeist!J34="x",'1xDgl'!$C12,"")</f>
        <v/>
      </c>
      <c r="F12" s="429" t="str">
        <f>IF([1]ILeist!L34="x",'1xDgl'!$C12,"")</f>
        <v/>
      </c>
      <c r="G12" s="429" t="str">
        <f>IF(AND(C12&lt;&gt;"",H12&lt;&gt;""),C12,"")</f>
        <v/>
      </c>
      <c r="H12" s="429"/>
      <c r="I12" s="429" t="str">
        <f>IF(WD.1Dgl!G49="noch leer","noch leer",WD.1Dgl!G49)</f>
        <v>noch leer</v>
      </c>
      <c r="J12" s="220"/>
      <c r="K12" s="131"/>
      <c r="L12" s="134"/>
    </row>
    <row r="13" spans="1:12" ht="11.85" customHeight="1" thickBot="1" x14ac:dyDescent="0.25">
      <c r="A13" s="220"/>
      <c r="B13" s="216" t="str">
        <f>IF([1]ILeist!C36="","",[1]ILeist!C36)</f>
        <v xml:space="preserve">  Abschleppen</v>
      </c>
      <c r="C13" s="429">
        <f>IF([1]ILeist!Q36="","",[1]ILeist!Q36)</f>
        <v>1</v>
      </c>
      <c r="D13" s="429">
        <f>IF([1]ILeist!H36="x",'1xDgl'!$C13,"")</f>
        <v>1</v>
      </c>
      <c r="E13" s="429" t="str">
        <f>IF([1]ILeist!J36="x",'1xDgl'!$C13,"")</f>
        <v/>
      </c>
      <c r="F13" s="429" t="str">
        <f>IF([1]ILeist!L36="x",'1xDgl'!$C13,"")</f>
        <v/>
      </c>
      <c r="G13" s="429">
        <f>IF(AND(C13&lt;&gt;"",H13&lt;&gt;""),C13,"")</f>
        <v>1</v>
      </c>
      <c r="H13" s="949">
        <f>IF([1]ILeist!N36="","",[1]ILeist!N36)</f>
        <v>0.96</v>
      </c>
      <c r="I13" s="372"/>
      <c r="J13" s="220"/>
      <c r="K13" s="131"/>
      <c r="L13" s="134"/>
    </row>
    <row r="14" spans="1:12" ht="11.85" customHeight="1" x14ac:dyDescent="0.2">
      <c r="A14" s="220"/>
      <c r="B14" s="216" t="str">
        <f>IF([1]ILeist!C38="","",[1]ILeist!C38)</f>
        <v xml:space="preserve">  Pflegearbeiten</v>
      </c>
      <c r="C14" s="429">
        <f>IF([1]ILeist!Q38="","",[1]ILeist!Q38)</f>
        <v>3.1</v>
      </c>
      <c r="D14" s="429" t="str">
        <f>IF([1]ILeist!H38="x",'1xDgl'!$C14,"")</f>
        <v/>
      </c>
      <c r="E14" s="429" t="str">
        <f>IF([1]ILeist!J38="x",'1xDgl'!$C14,"")</f>
        <v/>
      </c>
      <c r="F14" s="429" t="str">
        <f>IF([1]ILeist!L38="x",'1xDgl'!$C14,"")</f>
        <v/>
      </c>
      <c r="G14" s="429" t="str">
        <f>IF(AND(C14&lt;&gt;"",H14&lt;&gt;""),C14,"")</f>
        <v/>
      </c>
      <c r="H14" s="429" t="str">
        <f>IF([1]ILeist!N38="","",[1]ILeist!N38)</f>
        <v/>
      </c>
      <c r="I14" s="944"/>
      <c r="J14" s="220"/>
      <c r="K14" s="131"/>
      <c r="L14" s="134"/>
    </row>
    <row r="15" spans="1:12" ht="11.85" customHeight="1" thickBot="1" x14ac:dyDescent="0.25">
      <c r="A15" s="220"/>
      <c r="B15" s="216" t="str">
        <f>IF([1]ILeist!C40="","",[1]ILeist!C40)</f>
        <v/>
      </c>
      <c r="C15" s="429" t="str">
        <f>IF([1]ILeist!Q40="","",[1]ILeist!Q40)</f>
        <v/>
      </c>
      <c r="D15" s="751" t="str">
        <f>IF([1]ILeist!H40="x",'1xDgl'!$C15,"")</f>
        <v/>
      </c>
      <c r="E15" s="751" t="str">
        <f>IF([1]ILeist!J40="x",'1xDgl'!$C15,"")</f>
        <v/>
      </c>
      <c r="F15" s="429" t="str">
        <f>IF([1]ILeist!L40="x",'1xDgl'!$C15,"")</f>
        <v/>
      </c>
      <c r="G15" s="429" t="str">
        <f>IF(AND(C15&lt;&gt;"",H15&lt;&gt;""),C15,"")</f>
        <v/>
      </c>
      <c r="H15" s="429" t="str">
        <f>IF([1]ILeist!N40="","",[1]ILeist!N40)</f>
        <v/>
      </c>
      <c r="I15" s="945"/>
      <c r="J15" s="220"/>
      <c r="K15" s="131"/>
      <c r="L15" s="134"/>
    </row>
    <row r="16" spans="1:12" ht="11.85" customHeight="1" thickBot="1" x14ac:dyDescent="0.25">
      <c r="A16" s="220"/>
      <c r="B16" s="261" t="s">
        <v>51</v>
      </c>
      <c r="C16" s="948">
        <f>SUM(C11:C15)</f>
        <v>12.284999999999998</v>
      </c>
      <c r="D16" s="434"/>
      <c r="E16" s="434"/>
      <c r="F16" s="765"/>
      <c r="G16" s="761"/>
      <c r="H16" s="761"/>
      <c r="I16" s="434"/>
      <c r="J16" s="220"/>
      <c r="K16" s="131"/>
      <c r="L16" s="134"/>
    </row>
    <row r="17" spans="1:12" ht="11.85" customHeight="1" thickBot="1" x14ac:dyDescent="0.25">
      <c r="A17" s="220"/>
      <c r="B17" s="762" t="str">
        <f>"1 x je Schnitt   → "&amp;C36&amp;" x"</f>
        <v>1 x je Schnitt   → 3 x</v>
      </c>
      <c r="C17" s="763" t="str">
        <f>IF([1]ILeist!F41="","",[1]ILeist!F41)</f>
        <v/>
      </c>
      <c r="D17" s="763"/>
      <c r="E17" s="763"/>
      <c r="F17" s="763"/>
      <c r="G17" s="763"/>
      <c r="H17" s="763" t="str">
        <f>IF([1]ILeist!N41="","",[1]ILeist!N41)</f>
        <v/>
      </c>
      <c r="I17" s="763"/>
      <c r="J17" s="220"/>
      <c r="K17" s="131"/>
      <c r="L17" s="134"/>
    </row>
    <row r="18" spans="1:12" ht="11.85" customHeight="1" thickBot="1" x14ac:dyDescent="0.25">
      <c r="A18" s="220"/>
      <c r="B18" s="216" t="str">
        <f>IF([1]ILeist!C42="","",[1]ILeist!C42)</f>
        <v xml:space="preserve">  Mähen</v>
      </c>
      <c r="C18" s="429">
        <f>IF([1]ILeist!Q42="","",[1]ILeist!Q42)</f>
        <v>2.9</v>
      </c>
      <c r="D18" s="429" t="str">
        <f>IF([1]ILeist!H42="x",'1xDgl'!$C18,"")</f>
        <v/>
      </c>
      <c r="E18" s="429">
        <f>IF([1]ILeist!J42="x",'1xDgl'!$C18,"")</f>
        <v>2.9</v>
      </c>
      <c r="F18" s="429" t="str">
        <f>IF([1]ILeist!L42="x",'1xDgl'!$C18,"")</f>
        <v/>
      </c>
      <c r="G18" s="429">
        <f t="shared" ref="G18:G26" si="0">IF(AND(C18&lt;&gt;"",H18&lt;&gt;""),C18,"")</f>
        <v>2.9</v>
      </c>
      <c r="H18" s="949">
        <f>IF([1]ILeist!N42="","",[1]ILeist!N42)</f>
        <v>1.7</v>
      </c>
      <c r="I18" s="372"/>
      <c r="J18" s="220"/>
      <c r="K18" s="131"/>
      <c r="L18" s="134"/>
    </row>
    <row r="19" spans="1:12" ht="11.85" customHeight="1" thickBot="1" x14ac:dyDescent="0.25">
      <c r="A19" s="220"/>
      <c r="B19" s="216" t="str">
        <f>IF([1]ILeist!C44="","",[1]ILeist!C44)</f>
        <v xml:space="preserve">  Zetten&amp;Wenden</v>
      </c>
      <c r="C19" s="429">
        <f>IF([1]ILeist!Q44="","",[1]ILeist!Q44)</f>
        <v>3.2</v>
      </c>
      <c r="D19" s="429">
        <f>IF([1]ILeist!H44="x",'1xDgl'!$C19,"")</f>
        <v>3.2</v>
      </c>
      <c r="E19" s="429" t="str">
        <f>IF([1]ILeist!J44="x",'1xDgl'!$C19,"")</f>
        <v/>
      </c>
      <c r="F19" s="429" t="str">
        <f>IF([1]ILeist!L44="x",'1xDgl'!$C19,"")</f>
        <v/>
      </c>
      <c r="G19" s="429">
        <f t="shared" si="0"/>
        <v>3.2</v>
      </c>
      <c r="H19" s="949">
        <f>IF([1]ILeist!N44="","",[1]ILeist!N44)</f>
        <v>1.48</v>
      </c>
      <c r="I19" s="372"/>
      <c r="J19" s="220"/>
      <c r="K19" s="131"/>
      <c r="L19" s="134"/>
    </row>
    <row r="20" spans="1:12" ht="11.85" customHeight="1" thickBot="1" x14ac:dyDescent="0.25">
      <c r="A20" s="220"/>
      <c r="B20" s="216" t="str">
        <f>IF([1]ILeist!C46="","",[1]ILeist!C46)</f>
        <v xml:space="preserve">  Schwaden</v>
      </c>
      <c r="C20" s="429">
        <f>IF([1]ILeist!Q46="","",[1]ILeist!Q46)</f>
        <v>2.7</v>
      </c>
      <c r="D20" s="429">
        <f>IF([1]ILeist!H46="x",'1xDgl'!$C20,"")</f>
        <v>2.7</v>
      </c>
      <c r="E20" s="429" t="str">
        <f>IF([1]ILeist!J46="x",'1xDgl'!$C20,"")</f>
        <v/>
      </c>
      <c r="F20" s="429" t="str">
        <f>IF([1]ILeist!L46="x",'1xDgl'!$C20,"")</f>
        <v/>
      </c>
      <c r="G20" s="429">
        <f t="shared" si="0"/>
        <v>2.7</v>
      </c>
      <c r="H20" s="949">
        <f>IF([1]ILeist!N46="","",[1]ILeist!N46)</f>
        <v>3.85</v>
      </c>
      <c r="I20" s="372"/>
      <c r="J20" s="220"/>
      <c r="K20" s="131"/>
      <c r="L20" s="134"/>
    </row>
    <row r="21" spans="1:12" ht="11.85" customHeight="1" thickBot="1" x14ac:dyDescent="0.25">
      <c r="A21" s="220"/>
      <c r="B21" s="216" t="str">
        <f>IF([1]ILeist!C48="","",[1]ILeist!C48)</f>
        <v xml:space="preserve">  Laden&amp;Transport</v>
      </c>
      <c r="C21" s="429">
        <f>IF([1]ILeist!Q48="","",[1]ILeist!Q48)</f>
        <v>4.8</v>
      </c>
      <c r="D21" s="429" t="str">
        <f>IF([1]ILeist!H48="x",'1xDgl'!$C21,"")</f>
        <v/>
      </c>
      <c r="E21" s="429">
        <f>IF([1]ILeist!J48="x",'1xDgl'!$C21,"")</f>
        <v>4.8</v>
      </c>
      <c r="F21" s="429" t="str">
        <f>IF([1]ILeist!L48="x",'1xDgl'!$C21,"")</f>
        <v/>
      </c>
      <c r="G21" s="429">
        <f t="shared" si="0"/>
        <v>4.8</v>
      </c>
      <c r="H21" s="949">
        <f>IF([1]ILeist!N48="","",[1]ILeist!N48)</f>
        <v>4.0999999999999996</v>
      </c>
      <c r="I21" s="372"/>
      <c r="J21" s="220"/>
      <c r="K21" s="131"/>
      <c r="L21" s="134"/>
    </row>
    <row r="22" spans="1:12" ht="11.85" customHeight="1" thickBot="1" x14ac:dyDescent="0.25">
      <c r="A22" s="220"/>
      <c r="B22" s="216" t="str">
        <f>IF([1]ILeist!C50="","",[1]ILeist!C50)</f>
        <v xml:space="preserve">  Einlagern</v>
      </c>
      <c r="C22" s="429">
        <f>IF([1]ILeist!Q50="","",[1]ILeist!Q50)</f>
        <v>4.8</v>
      </c>
      <c r="D22" s="429" t="str">
        <f>IF([1]ILeist!H50="x",'1xDgl'!$C22,"")</f>
        <v/>
      </c>
      <c r="E22" s="429">
        <f>IF([1]ILeist!J50="x",'1xDgl'!$C22,"")</f>
        <v>4.8</v>
      </c>
      <c r="F22" s="429" t="str">
        <f>IF([1]ILeist!L50="x",'1xDgl'!$C22,"")</f>
        <v/>
      </c>
      <c r="G22" s="429">
        <f t="shared" si="0"/>
        <v>4.8</v>
      </c>
      <c r="H22" s="949">
        <f>IF([1]ILeist!N50="","",[1]ILeist!N50)</f>
        <v>1.8</v>
      </c>
      <c r="I22" s="372"/>
      <c r="J22" s="220"/>
      <c r="K22" s="141"/>
      <c r="L22" s="134"/>
    </row>
    <row r="23" spans="1:12" ht="11.85" customHeight="1" x14ac:dyDescent="0.2">
      <c r="A23" s="220"/>
      <c r="B23" s="216" t="str">
        <f>IF([1]ILeist!C52="","",[1]ILeist!C52)</f>
        <v/>
      </c>
      <c r="C23" s="429" t="str">
        <f>IF([1]ILeist!Q52="","",[1]ILeist!Q52)</f>
        <v/>
      </c>
      <c r="D23" s="429" t="str">
        <f>IF([1]ILeist!H52="x",'1xDgl'!$C23,"")</f>
        <v/>
      </c>
      <c r="E23" s="429" t="str">
        <f>IF([1]ILeist!J52="x",'1xDgl'!$C23,"")</f>
        <v/>
      </c>
      <c r="F23" s="429" t="str">
        <f>IF([1]ILeist!L52="x",'1xDgl'!$C23,"")</f>
        <v/>
      </c>
      <c r="G23" s="429" t="str">
        <f t="shared" si="0"/>
        <v/>
      </c>
      <c r="H23" s="429" t="str">
        <f>IF([1]ILeist!N52="","",[1]ILeist!N52)</f>
        <v/>
      </c>
      <c r="I23" s="943"/>
      <c r="J23" s="220"/>
      <c r="K23" s="131"/>
      <c r="L23" s="134"/>
    </row>
    <row r="24" spans="1:12" ht="11.85" customHeight="1" x14ac:dyDescent="0.2">
      <c r="A24" s="220"/>
      <c r="B24" s="216" t="str">
        <f>IF([1]ILeist!C54="","",[1]ILeist!C54)</f>
        <v/>
      </c>
      <c r="C24" s="429" t="str">
        <f>IF([1]ILeist!Q54="","",[1]ILeist!Q54)</f>
        <v/>
      </c>
      <c r="D24" s="429" t="str">
        <f>IF([1]ILeist!H54="x",'1xDgl'!$C24,"")</f>
        <v/>
      </c>
      <c r="E24" s="429" t="str">
        <f>IF([1]ILeist!J54="x",'1xDgl'!$C24,"")</f>
        <v/>
      </c>
      <c r="F24" s="429" t="str">
        <f>IF([1]ILeist!L54="x",'1xDgl'!$C24,"")</f>
        <v/>
      </c>
      <c r="G24" s="429" t="str">
        <f t="shared" si="0"/>
        <v/>
      </c>
      <c r="H24" s="429" t="str">
        <f>IF([1]ILeist!N54="","",[1]ILeist!N54)</f>
        <v/>
      </c>
      <c r="I24" s="943"/>
      <c r="J24" s="220"/>
      <c r="K24" s="131"/>
      <c r="L24" s="134"/>
    </row>
    <row r="25" spans="1:12" ht="11.85" customHeight="1" x14ac:dyDescent="0.2">
      <c r="A25" s="220"/>
      <c r="B25" s="216" t="str">
        <f>IF([1]ILeist!C56="","",[1]ILeist!C56)</f>
        <v/>
      </c>
      <c r="C25" s="429" t="str">
        <f>IF([1]ILeist!Q56="","",[1]ILeist!Q56)</f>
        <v/>
      </c>
      <c r="D25" s="429" t="str">
        <f>IF([1]ILeist!H56="x",'1xDgl'!$C25,"")</f>
        <v/>
      </c>
      <c r="E25" s="429" t="str">
        <f>IF([1]ILeist!J56="x",'1xDgl'!$C25,"")</f>
        <v/>
      </c>
      <c r="F25" s="429" t="str">
        <f>IF([1]ILeist!L56="x",'1xDgl'!$C25,"")</f>
        <v/>
      </c>
      <c r="G25" s="429" t="str">
        <f t="shared" si="0"/>
        <v/>
      </c>
      <c r="H25" s="429" t="str">
        <f>IF([1]ILeist!N56="","",[1]ILeist!N56)</f>
        <v/>
      </c>
      <c r="I25" s="943"/>
      <c r="J25" s="220"/>
      <c r="K25" s="131"/>
      <c r="L25" s="134"/>
    </row>
    <row r="26" spans="1:12" ht="11.85" customHeight="1" thickBot="1" x14ac:dyDescent="0.25">
      <c r="A26" s="220"/>
      <c r="B26" s="216" t="str">
        <f>IF([1]ILeist!C58="","",[1]ILeist!C58)</f>
        <v/>
      </c>
      <c r="C26" s="429" t="str">
        <f>IF([1]ILeist!Q58="","",[1]ILeist!Q58)</f>
        <v/>
      </c>
      <c r="D26" s="751" t="str">
        <f>IF([1]ILeist!H58="x",'1xDgl'!$C26,"")</f>
        <v/>
      </c>
      <c r="E26" s="751" t="str">
        <f>IF([1]ILeist!J58="x",'1xDgl'!$C26,"")</f>
        <v/>
      </c>
      <c r="F26" s="429" t="str">
        <f>IF([1]ILeist!L58="x",'1xDgl'!$C26,"")</f>
        <v/>
      </c>
      <c r="G26" s="429" t="str">
        <f t="shared" si="0"/>
        <v/>
      </c>
      <c r="H26" s="429" t="str">
        <f>IF([1]ILeist!N58="","",[1]ILeist!N58)</f>
        <v/>
      </c>
      <c r="I26" s="945"/>
      <c r="J26" s="220"/>
      <c r="K26" s="131"/>
      <c r="L26" s="134"/>
    </row>
    <row r="27" spans="1:12" ht="11.85" customHeight="1" thickBot="1" x14ac:dyDescent="0.25">
      <c r="A27" s="220"/>
      <c r="B27" s="261" t="s">
        <v>53</v>
      </c>
      <c r="C27" s="946">
        <f>SUM(C18:C26)</f>
        <v>18.400000000000002</v>
      </c>
      <c r="D27" s="434"/>
      <c r="E27" s="434"/>
      <c r="F27" s="765"/>
      <c r="G27" s="764"/>
      <c r="H27" s="765"/>
      <c r="I27" s="434"/>
      <c r="J27" s="220"/>
      <c r="K27" s="131"/>
      <c r="L27" s="134"/>
    </row>
    <row r="28" spans="1:12" ht="11.85" customHeight="1" thickBot="1" x14ac:dyDescent="0.25">
      <c r="A28" s="220"/>
      <c r="B28" s="215" t="s">
        <v>510</v>
      </c>
      <c r="C28" s="766"/>
      <c r="D28" s="766"/>
      <c r="E28" s="766"/>
      <c r="F28" s="766"/>
      <c r="G28" s="195" t="s">
        <v>364</v>
      </c>
      <c r="H28" s="767" t="s">
        <v>365</v>
      </c>
      <c r="I28" s="767"/>
      <c r="J28" s="220"/>
      <c r="K28" s="131"/>
      <c r="L28" s="134"/>
    </row>
    <row r="29" spans="1:12" ht="11.85" customHeight="1" thickBot="1" x14ac:dyDescent="0.25">
      <c r="A29" s="220"/>
      <c r="B29" s="216" t="str">
        <f>IF(D9="","","Variable Kosten für den "&amp;D9&amp;" KW-Traktor")</f>
        <v>Variable Kosten für den 45 KW-Traktor</v>
      </c>
      <c r="C29" s="684"/>
      <c r="D29" s="768"/>
      <c r="E29" s="216"/>
      <c r="F29" s="216"/>
      <c r="G29" s="429" t="str">
        <f>IF(D9="","",IF(OR(D16="",D27=""),"noch leer",SUM(D16,D27*$C$36)))</f>
        <v>noch leer</v>
      </c>
      <c r="H29" s="949">
        <f>IF([1]ILeist!H21="","",[1]ILeist!H21)</f>
        <v>8.9499999999999993</v>
      </c>
      <c r="I29" s="372"/>
      <c r="J29" s="220"/>
      <c r="K29" s="143"/>
      <c r="L29" s="134"/>
    </row>
    <row r="30" spans="1:12" ht="11.85" customHeight="1" thickBot="1" x14ac:dyDescent="0.25">
      <c r="A30" s="220"/>
      <c r="B30" s="216" t="str">
        <f>IF(E9="","","Variable Kosten für den "&amp;E9&amp;" KW-Traktor")</f>
        <v>Variable Kosten für den 65 KW-Traktor</v>
      </c>
      <c r="C30" s="684"/>
      <c r="D30" s="216"/>
      <c r="E30" s="768"/>
      <c r="F30" s="768"/>
      <c r="G30" s="429" t="str">
        <f>IF(E9="","",IF(OR(E16="",E27=""),"noch leer",SUM(E16,E27*$C$36)))</f>
        <v>noch leer</v>
      </c>
      <c r="H30" s="949">
        <f>IF([1]ILeist!H23="","",[1]ILeist!H23)</f>
        <v>10.675600000000001</v>
      </c>
      <c r="I30" s="372"/>
      <c r="J30" s="220"/>
      <c r="K30" s="143"/>
      <c r="L30" s="134"/>
    </row>
    <row r="31" spans="1:12" ht="11.85" customHeight="1" x14ac:dyDescent="0.2">
      <c r="A31" s="220"/>
      <c r="B31" s="216" t="str">
        <f>IF(F9="","","Variable Kosten für den "&amp;F9&amp;" KW-Traktor")</f>
        <v/>
      </c>
      <c r="C31" s="684"/>
      <c r="D31" s="216"/>
      <c r="E31" s="768"/>
      <c r="F31" s="768"/>
      <c r="G31" s="429" t="str">
        <f>IF(F9="","",IF(OR(F16="",F27=""),"noch leer",SUM(F16,F27*$C$36)))</f>
        <v/>
      </c>
      <c r="H31" s="727" t="str">
        <f>IF([1]ILeist!H25="","",[1]ILeist!H25)</f>
        <v/>
      </c>
      <c r="I31" s="727"/>
      <c r="J31" s="220"/>
      <c r="K31" s="143"/>
      <c r="L31" s="134"/>
    </row>
    <row r="32" spans="1:12" ht="11.85" customHeight="1" x14ac:dyDescent="0.2">
      <c r="A32" s="220"/>
      <c r="B32" s="261" t="s">
        <v>55</v>
      </c>
      <c r="C32" s="261"/>
      <c r="D32" s="765"/>
      <c r="E32" s="765"/>
      <c r="F32" s="765"/>
      <c r="G32" s="765"/>
      <c r="H32" s="765"/>
      <c r="I32" s="760">
        <f>SUM(I29:I31)</f>
        <v>0</v>
      </c>
      <c r="J32" s="220"/>
      <c r="K32" s="131"/>
      <c r="L32" s="134"/>
    </row>
    <row r="33" spans="1:12" ht="11.85" customHeight="1" thickBot="1" x14ac:dyDescent="0.25">
      <c r="A33" s="220"/>
      <c r="B33" s="215" t="s">
        <v>511</v>
      </c>
      <c r="C33" s="766"/>
      <c r="D33" s="766"/>
      <c r="E33" s="766"/>
      <c r="F33" s="766"/>
      <c r="G33" s="195" t="s">
        <v>366</v>
      </c>
      <c r="H33" s="767" t="s">
        <v>367</v>
      </c>
      <c r="I33" s="767"/>
      <c r="J33" s="220"/>
      <c r="K33" s="131"/>
      <c r="L33" s="134"/>
    </row>
    <row r="34" spans="1:12" ht="11.85" customHeight="1" thickBot="1" x14ac:dyDescent="0.25">
      <c r="A34" s="220"/>
      <c r="B34" s="216" t="str">
        <f>IF([1]ILeist!B61="","",[1]ILeist!B61)</f>
        <v>Belüftungskosten je kg Trockenmasse</v>
      </c>
      <c r="C34" s="684"/>
      <c r="D34" s="216"/>
      <c r="E34" s="216"/>
      <c r="F34" s="216"/>
      <c r="G34" s="947">
        <f>IF(C40="","",C40)</f>
        <v>45980</v>
      </c>
      <c r="H34" s="950">
        <f>IF([1]ILeist!Q61="","",[1]ILeist!Q61)</f>
        <v>1.0999999999999999E-2</v>
      </c>
      <c r="I34" s="372"/>
      <c r="J34" s="220"/>
      <c r="K34" s="131"/>
      <c r="L34" s="134"/>
    </row>
    <row r="35" spans="1:12" ht="11.85" customHeight="1" thickBot="1" x14ac:dyDescent="0.25">
      <c r="A35" s="220"/>
      <c r="B35" s="261" t="s">
        <v>368</v>
      </c>
      <c r="C35" s="261"/>
      <c r="D35" s="765"/>
      <c r="E35" s="765"/>
      <c r="F35" s="765"/>
      <c r="G35" s="765"/>
      <c r="H35" s="769"/>
      <c r="I35" s="797">
        <f>SUM(I34)</f>
        <v>0</v>
      </c>
      <c r="J35" s="220"/>
      <c r="K35" s="131"/>
      <c r="L35" s="134"/>
    </row>
    <row r="36" spans="1:12" ht="11.85" customHeight="1" thickBot="1" x14ac:dyDescent="0.25">
      <c r="A36" s="220"/>
      <c r="B36" s="322" t="s">
        <v>512</v>
      </c>
      <c r="C36" s="770">
        <f>C5</f>
        <v>3</v>
      </c>
      <c r="D36" s="771" t="str">
        <f>IF(C36=1," Schnitt (exkl. MWSt)"," Schnitten (exkl. MWSt)")</f>
        <v xml:space="preserve"> Schnitten (exkl. MWSt)</v>
      </c>
      <c r="E36" s="772"/>
      <c r="F36" s="772"/>
      <c r="G36" s="772"/>
      <c r="H36" s="773"/>
      <c r="I36" s="434"/>
      <c r="J36" s="220"/>
      <c r="K36" s="131"/>
      <c r="L36" s="134"/>
    </row>
    <row r="37" spans="1:12" ht="11.85" customHeight="1" thickBot="1" x14ac:dyDescent="0.25">
      <c r="A37" s="220"/>
      <c r="B37" s="322" t="s">
        <v>513</v>
      </c>
      <c r="C37" s="774">
        <f>IF([1]ILeist!F18="","",[1]ILeist!F18)</f>
        <v>0.2</v>
      </c>
      <c r="D37" s="772" t="s">
        <v>369</v>
      </c>
      <c r="E37" s="772"/>
      <c r="F37" s="772"/>
      <c r="G37" s="772"/>
      <c r="H37" s="772"/>
      <c r="I37" s="438"/>
      <c r="J37" s="220"/>
      <c r="K37" s="131"/>
      <c r="L37" s="134"/>
    </row>
    <row r="38" spans="1:12" ht="18" customHeight="1" x14ac:dyDescent="0.2">
      <c r="A38" s="220"/>
      <c r="B38" s="220"/>
      <c r="C38" s="220"/>
      <c r="D38" s="220"/>
      <c r="E38" s="220"/>
      <c r="F38" s="220"/>
      <c r="G38" s="220"/>
      <c r="H38" s="220"/>
      <c r="I38" s="220"/>
      <c r="J38" s="220"/>
      <c r="K38" s="131"/>
      <c r="L38" s="134"/>
    </row>
    <row r="39" spans="1:12" ht="11.85" customHeight="1" x14ac:dyDescent="0.2">
      <c r="A39" s="220"/>
      <c r="B39" s="194" t="s">
        <v>370</v>
      </c>
      <c r="C39" s="194"/>
      <c r="D39" s="194"/>
      <c r="E39" s="248"/>
      <c r="F39" s="775"/>
      <c r="G39" s="776"/>
      <c r="H39" s="183" t="s">
        <v>371</v>
      </c>
      <c r="I39" s="195" t="s">
        <v>372</v>
      </c>
      <c r="J39" s="220"/>
      <c r="K39" s="131"/>
      <c r="L39" s="134"/>
    </row>
    <row r="40" spans="1:12" ht="11.85" customHeight="1" thickBot="1" x14ac:dyDescent="0.25">
      <c r="A40" s="220"/>
      <c r="B40" s="216" t="s">
        <v>373</v>
      </c>
      <c r="C40" s="1155">
        <f>IF([1]ILeist!Q65="","",[1]ILeist!Q65)</f>
        <v>45980</v>
      </c>
      <c r="D40" s="1155"/>
      <c r="E40" s="216" t="s">
        <v>374</v>
      </c>
      <c r="F40" s="216"/>
      <c r="G40" s="777"/>
      <c r="H40" s="951">
        <f>IF([1]ILeist!F69="","",[1]ILeist!F69)</f>
        <v>7.15</v>
      </c>
      <c r="I40" s="952">
        <f>IF(OR(C40="",H40=""),"",H40*C40)</f>
        <v>328757</v>
      </c>
      <c r="J40" s="220"/>
      <c r="K40" s="131"/>
      <c r="L40" s="134"/>
    </row>
    <row r="41" spans="1:12" ht="11.85" customHeight="1" thickBot="1" x14ac:dyDescent="0.25">
      <c r="A41" s="220"/>
      <c r="B41" s="216" t="s">
        <v>375</v>
      </c>
      <c r="C41" s="1159">
        <f>IF([1]ILeist!Q67="","",[1]ILeist!Q67)</f>
        <v>0.16</v>
      </c>
      <c r="D41" s="1159"/>
      <c r="E41" s="684" t="s">
        <v>376</v>
      </c>
      <c r="F41" s="684"/>
      <c r="G41" s="684"/>
      <c r="H41" s="434"/>
      <c r="I41" s="457"/>
      <c r="J41" s="220"/>
      <c r="K41" s="131"/>
      <c r="L41" s="134"/>
    </row>
    <row r="42" spans="1:12" ht="3" customHeight="1" x14ac:dyDescent="0.2">
      <c r="A42" s="220"/>
      <c r="B42" s="220"/>
      <c r="C42" s="220"/>
      <c r="D42" s="220"/>
      <c r="E42" s="192"/>
      <c r="F42" s="192"/>
      <c r="G42" s="192"/>
      <c r="H42" s="778"/>
      <c r="I42" s="779"/>
      <c r="J42" s="220"/>
      <c r="K42" s="131"/>
      <c r="L42" s="134"/>
    </row>
    <row r="43" spans="1:12" ht="11.85" customHeight="1" x14ac:dyDescent="0.2">
      <c r="A43" s="220"/>
      <c r="B43" s="194" t="s">
        <v>377</v>
      </c>
      <c r="C43" s="194"/>
      <c r="D43" s="194"/>
      <c r="E43" s="248"/>
      <c r="F43" s="698"/>
      <c r="G43" s="698"/>
      <c r="H43" s="698"/>
      <c r="I43" s="698"/>
      <c r="J43" s="220"/>
      <c r="K43" s="131"/>
      <c r="L43" s="134"/>
    </row>
    <row r="44" spans="1:12" ht="11.85" customHeight="1" x14ac:dyDescent="0.2">
      <c r="A44" s="220"/>
      <c r="B44" s="322" t="s">
        <v>378</v>
      </c>
      <c r="C44" s="229"/>
      <c r="D44" s="780" t="str">
        <f>IF([1]ILeist!H84="","",[1]ILeist!H84)</f>
        <v/>
      </c>
      <c r="E44" s="798">
        <f>I37</f>
        <v>0</v>
      </c>
      <c r="F44" s="698"/>
      <c r="G44" s="698"/>
      <c r="H44" s="698"/>
      <c r="I44" s="698"/>
      <c r="J44" s="220"/>
      <c r="K44" s="131"/>
      <c r="L44" s="134"/>
    </row>
    <row r="45" spans="1:12" ht="3" customHeight="1" x14ac:dyDescent="0.2">
      <c r="A45" s="220"/>
      <c r="B45" s="220"/>
      <c r="C45" s="220"/>
      <c r="D45" s="220"/>
      <c r="E45" s="192"/>
      <c r="F45" s="192"/>
      <c r="G45" s="192"/>
      <c r="H45" s="778"/>
      <c r="I45" s="779"/>
      <c r="J45" s="220"/>
      <c r="K45" s="131"/>
      <c r="L45" s="134"/>
    </row>
    <row r="46" spans="1:12" ht="11.85" customHeight="1" x14ac:dyDescent="0.2">
      <c r="A46" s="220"/>
      <c r="B46" s="215" t="s">
        <v>379</v>
      </c>
      <c r="C46" s="781"/>
      <c r="D46" s="195"/>
      <c r="E46" s="194"/>
      <c r="F46" s="698"/>
      <c r="G46" s="698"/>
      <c r="H46" s="698"/>
      <c r="I46" s="698"/>
      <c r="J46" s="220"/>
      <c r="K46" s="131"/>
      <c r="L46" s="134"/>
    </row>
    <row r="47" spans="1:12" ht="11.85" customHeight="1" x14ac:dyDescent="0.2">
      <c r="A47" s="220"/>
      <c r="B47" s="216" t="str">
        <f>IF([1]ILeist!C73="","",[1]ILeist!C73)</f>
        <v/>
      </c>
      <c r="C47" s="953" t="str">
        <f>IF([1]ILeist!Q73="","",[1]ILeist!Q73)</f>
        <v/>
      </c>
      <c r="D47" s="429" t="str">
        <f>IF([1]ILeist!R73="","",[1]ILeist!R73)</f>
        <v/>
      </c>
      <c r="E47" s="954"/>
      <c r="F47" s="698"/>
      <c r="G47" s="698"/>
      <c r="H47" s="698"/>
      <c r="I47" s="698"/>
      <c r="J47" s="220"/>
      <c r="K47" s="131"/>
      <c r="L47" s="134"/>
    </row>
    <row r="48" spans="1:12" ht="11.85" customHeight="1" x14ac:dyDescent="0.2">
      <c r="A48" s="220"/>
      <c r="B48" s="216" t="str">
        <f>IF([1]ILeist!C75="","",[1]ILeist!C75)</f>
        <v/>
      </c>
      <c r="C48" s="953" t="str">
        <f>IF([1]ILeist!Q75="","",[1]ILeist!Q75)</f>
        <v/>
      </c>
      <c r="D48" s="429" t="str">
        <f>IF([1]ILeist!R75="","",[1]ILeist!R75)</f>
        <v/>
      </c>
      <c r="E48" s="954"/>
      <c r="F48" s="698"/>
      <c r="G48" s="698"/>
      <c r="H48" s="698"/>
      <c r="I48" s="698"/>
      <c r="J48" s="220"/>
      <c r="K48" s="131"/>
      <c r="L48" s="753"/>
    </row>
    <row r="49" spans="1:12" ht="11.85" customHeight="1" x14ac:dyDescent="0.2">
      <c r="A49" s="220"/>
      <c r="B49" s="322" t="s">
        <v>380</v>
      </c>
      <c r="C49" s="229"/>
      <c r="D49" s="229"/>
      <c r="E49" s="955"/>
      <c r="F49" s="698"/>
      <c r="G49" s="698"/>
      <c r="H49" s="698"/>
      <c r="I49" s="698"/>
      <c r="J49" s="220"/>
      <c r="K49" s="131"/>
      <c r="L49" s="753"/>
    </row>
    <row r="50" spans="1:12" ht="3" customHeight="1" x14ac:dyDescent="0.2">
      <c r="A50" s="220"/>
      <c r="B50" s="220"/>
      <c r="C50" s="220"/>
      <c r="D50" s="220"/>
      <c r="E50" s="192"/>
      <c r="F50" s="192"/>
      <c r="G50" s="192"/>
      <c r="H50" s="778"/>
      <c r="I50" s="779"/>
      <c r="J50" s="220"/>
      <c r="K50" s="131"/>
      <c r="L50" s="753"/>
    </row>
    <row r="51" spans="1:12" ht="11.85" customHeight="1" x14ac:dyDescent="0.2">
      <c r="A51" s="220"/>
      <c r="B51" s="215" t="s">
        <v>381</v>
      </c>
      <c r="C51" s="781" t="str">
        <f>IF([1]ILeist!F77="","",[1]ILeist!F77)</f>
        <v/>
      </c>
      <c r="D51" s="195" t="str">
        <f>IF([1]ILeist!H77="","",[1]ILeist!H77)</f>
        <v/>
      </c>
      <c r="E51" s="248"/>
      <c r="F51" s="220"/>
      <c r="G51" s="220"/>
      <c r="H51" s="220"/>
      <c r="I51" s="220"/>
      <c r="J51" s="220"/>
      <c r="K51" s="131"/>
      <c r="L51" s="753"/>
    </row>
    <row r="52" spans="1:12" ht="11.85" customHeight="1" x14ac:dyDescent="0.2">
      <c r="A52" s="220"/>
      <c r="B52" s="216" t="str">
        <f>IF([1]ILeist!C78="","",[1]ILeist!C78)</f>
        <v/>
      </c>
      <c r="C52" s="953" t="str">
        <f>IF([1]ILeist!Q78="","",[1]ILeist!Q78)</f>
        <v/>
      </c>
      <c r="D52" s="429" t="str">
        <f>IF([1]ILeist!R78="","",[1]ILeist!R78)</f>
        <v/>
      </c>
      <c r="E52" s="954"/>
      <c r="F52" s="220"/>
      <c r="G52" s="220"/>
      <c r="H52" s="220"/>
      <c r="I52" s="220"/>
      <c r="J52" s="220"/>
      <c r="K52" s="131"/>
      <c r="L52" s="753"/>
    </row>
    <row r="53" spans="1:12" ht="11.85" customHeight="1" x14ac:dyDescent="0.2">
      <c r="A53" s="220"/>
      <c r="B53" s="216" t="str">
        <f>IF([1]ILeist!C80="","",[1]ILeist!C80)</f>
        <v/>
      </c>
      <c r="C53" s="953" t="str">
        <f>IF([1]ILeist!Q80="","",[1]ILeist!Q80)</f>
        <v/>
      </c>
      <c r="D53" s="429" t="str">
        <f>IF([1]ILeist!R80="","",[1]ILeist!R80)</f>
        <v/>
      </c>
      <c r="E53" s="954"/>
      <c r="F53" s="220"/>
      <c r="G53" s="220"/>
      <c r="H53" s="220"/>
      <c r="I53" s="220"/>
      <c r="J53" s="220"/>
      <c r="K53" s="131"/>
      <c r="L53" s="753"/>
    </row>
    <row r="54" spans="1:12" ht="11.85" customHeight="1" x14ac:dyDescent="0.2">
      <c r="A54" s="220"/>
      <c r="B54" s="216" t="str">
        <f>IF([1]ILeist!C82="","",[1]ILeist!C82)</f>
        <v/>
      </c>
      <c r="C54" s="953" t="str">
        <f>IF([1]ILeist!Q82="","",[1]ILeist!Q82)</f>
        <v/>
      </c>
      <c r="D54" s="429" t="str">
        <f>IF([1]ILeist!R82="","",[1]ILeist!R82)</f>
        <v/>
      </c>
      <c r="E54" s="954"/>
      <c r="F54" s="220"/>
      <c r="G54" s="220"/>
      <c r="H54" s="220"/>
      <c r="I54" s="220"/>
      <c r="J54" s="220"/>
      <c r="K54" s="131"/>
      <c r="L54" s="753"/>
    </row>
    <row r="55" spans="1:12" ht="11.85" customHeight="1" x14ac:dyDescent="0.2">
      <c r="A55" s="220"/>
      <c r="B55" s="322" t="s">
        <v>382</v>
      </c>
      <c r="C55" s="782" t="str">
        <f>IF([1]ILeist!F83="","",[1]ILeist!F83)</f>
        <v/>
      </c>
      <c r="D55" s="783" t="str">
        <f>IF([1]ILeist!H83="","",[1]ILeist!H83)</f>
        <v/>
      </c>
      <c r="E55" s="955"/>
      <c r="F55" s="220"/>
      <c r="G55" s="220"/>
      <c r="H55" s="220"/>
      <c r="I55" s="220"/>
      <c r="J55" s="220"/>
      <c r="K55" s="131"/>
      <c r="L55" s="753"/>
    </row>
    <row r="56" spans="1:12" ht="3" customHeight="1" x14ac:dyDescent="0.2">
      <c r="A56" s="220"/>
      <c r="B56" s="220"/>
      <c r="C56" s="220"/>
      <c r="D56" s="220"/>
      <c r="E56" s="192"/>
      <c r="F56" s="192"/>
      <c r="G56" s="192"/>
      <c r="H56" s="778"/>
      <c r="I56" s="779"/>
      <c r="J56" s="220"/>
      <c r="K56" s="131"/>
      <c r="L56" s="753"/>
    </row>
    <row r="57" spans="1:12" ht="11.85" customHeight="1" x14ac:dyDescent="0.2">
      <c r="A57" s="220"/>
      <c r="B57" s="215" t="s">
        <v>383</v>
      </c>
      <c r="C57" s="248"/>
      <c r="D57" s="248"/>
      <c r="E57" s="248"/>
      <c r="F57" s="698"/>
      <c r="G57" s="784"/>
      <c r="H57" s="698"/>
      <c r="I57" s="785"/>
      <c r="J57" s="220"/>
      <c r="K57" s="131"/>
      <c r="L57" s="134"/>
    </row>
    <row r="58" spans="1:12" ht="11.85" customHeight="1" x14ac:dyDescent="0.2">
      <c r="A58" s="220"/>
      <c r="B58" s="216" t="str">
        <f>IF([1]ILeist!C85="","",[1]ILeist!C85)</f>
        <v/>
      </c>
      <c r="C58" s="216"/>
      <c r="D58" s="216"/>
      <c r="E58" s="429" t="str">
        <f>IF([1]ILeist!Q85="","",[1]ILeist!Q85)</f>
        <v/>
      </c>
      <c r="F58" s="698"/>
      <c r="G58" s="786"/>
      <c r="H58" s="698"/>
      <c r="I58" s="785"/>
      <c r="J58" s="220"/>
      <c r="K58" s="131"/>
      <c r="L58" s="134"/>
    </row>
    <row r="59" spans="1:12" ht="11.85" customHeight="1" x14ac:dyDescent="0.2">
      <c r="A59" s="220"/>
      <c r="B59" s="216" t="str">
        <f>IF([1]ILeist!C87="","",[1]ILeist!C87)</f>
        <v/>
      </c>
      <c r="C59" s="216"/>
      <c r="D59" s="216"/>
      <c r="E59" s="429" t="str">
        <f>IF([1]ILeist!Q87="","",[1]ILeist!Q87)</f>
        <v/>
      </c>
      <c r="F59" s="698"/>
      <c r="G59" s="220"/>
      <c r="H59" s="220"/>
      <c r="I59" s="220"/>
      <c r="J59" s="220"/>
      <c r="K59" s="131"/>
      <c r="L59" s="134"/>
    </row>
    <row r="60" spans="1:12" ht="11.85" customHeight="1" x14ac:dyDescent="0.2">
      <c r="A60" s="220"/>
      <c r="B60" s="216" t="str">
        <f>IF([1]ILeist!C89="","",[1]ILeist!C89)</f>
        <v/>
      </c>
      <c r="C60" s="216"/>
      <c r="D60" s="216"/>
      <c r="E60" s="429" t="str">
        <f>IF([1]ILeist!Q89="","",[1]ILeist!Q89)</f>
        <v/>
      </c>
      <c r="F60" s="698"/>
      <c r="G60" s="1163">
        <f>C40</f>
        <v>45980</v>
      </c>
      <c r="H60" s="1163"/>
      <c r="I60" s="787">
        <f>G65</f>
        <v>0.86</v>
      </c>
      <c r="J60" s="220"/>
      <c r="K60" s="131"/>
      <c r="L60" s="134"/>
    </row>
    <row r="61" spans="1:12" ht="11.85" customHeight="1" x14ac:dyDescent="0.2">
      <c r="A61" s="220"/>
      <c r="B61" s="322" t="s">
        <v>384</v>
      </c>
      <c r="C61" s="229"/>
      <c r="D61" s="229"/>
      <c r="E61" s="955"/>
      <c r="F61" s="698"/>
      <c r="G61" s="1164">
        <f>G60*I61/I60</f>
        <v>53465.116279069771</v>
      </c>
      <c r="H61" s="1164"/>
      <c r="I61" s="787">
        <v>1</v>
      </c>
      <c r="J61" s="220"/>
      <c r="K61" s="131"/>
      <c r="L61" s="134"/>
    </row>
    <row r="62" spans="1:12" ht="18" customHeight="1" x14ac:dyDescent="0.2">
      <c r="A62" s="220"/>
      <c r="B62" s="220"/>
      <c r="C62" s="220"/>
      <c r="D62" s="788"/>
      <c r="E62" s="755"/>
      <c r="F62" s="755"/>
      <c r="G62" s="220"/>
      <c r="H62" s="220"/>
      <c r="I62" s="220"/>
      <c r="J62" s="220"/>
      <c r="K62" s="131"/>
      <c r="L62" s="134"/>
    </row>
    <row r="63" spans="1:12" ht="11.85" customHeight="1" thickBot="1" x14ac:dyDescent="0.25">
      <c r="A63" s="220"/>
      <c r="B63" s="194" t="s">
        <v>385</v>
      </c>
      <c r="C63" s="248"/>
      <c r="D63" s="789"/>
      <c r="E63" s="763"/>
      <c r="F63" s="755"/>
      <c r="G63" s="1160" t="s">
        <v>386</v>
      </c>
      <c r="H63" s="1160"/>
      <c r="I63" s="1160"/>
      <c r="J63" s="220"/>
      <c r="K63" s="131"/>
      <c r="L63" s="796"/>
    </row>
    <row r="64" spans="1:12" ht="11.85" customHeight="1" thickBot="1" x14ac:dyDescent="0.25">
      <c r="A64" s="220"/>
      <c r="B64" s="684" t="s">
        <v>387</v>
      </c>
      <c r="C64" s="790"/>
      <c r="D64" s="791"/>
      <c r="E64" s="372"/>
      <c r="F64" s="755"/>
      <c r="G64" s="1161" t="str">
        <f>IF([1]ILeist!H16="","","1kg "&amp;[1]ILeist!H16&amp;" bei")</f>
        <v>1kg Heu bei</v>
      </c>
      <c r="H64" s="1161"/>
      <c r="I64" s="1161"/>
      <c r="J64" s="220"/>
      <c r="K64" s="131"/>
      <c r="L64" s="796"/>
    </row>
    <row r="65" spans="1:12" ht="11.85" customHeight="1" thickBot="1" x14ac:dyDescent="0.25">
      <c r="A65" s="220"/>
      <c r="B65" s="684" t="s">
        <v>388</v>
      </c>
      <c r="C65" s="184"/>
      <c r="D65" s="687" t="str">
        <f>IF([1]ILeist!H90="","",[1]ILeist!H90)</f>
        <v/>
      </c>
      <c r="E65" s="372"/>
      <c r="F65" s="778"/>
      <c r="G65" s="1162">
        <f>IF([1]ILeist!F16="","",[1]ILeist!F16)</f>
        <v>0.86</v>
      </c>
      <c r="H65" s="1162"/>
      <c r="I65" s="1162"/>
      <c r="J65" s="220"/>
      <c r="K65" s="131"/>
      <c r="L65" s="796"/>
    </row>
    <row r="66" spans="1:12" ht="11.85" customHeight="1" thickBot="1" x14ac:dyDescent="0.25">
      <c r="A66" s="220"/>
      <c r="B66" s="792" t="s">
        <v>389</v>
      </c>
      <c r="C66" s="793"/>
      <c r="D66" s="794"/>
      <c r="E66" s="459"/>
      <c r="F66" s="778"/>
      <c r="G66" s="1156">
        <f>E64/C40*G65</f>
        <v>0</v>
      </c>
      <c r="H66" s="1157"/>
      <c r="I66" s="1158"/>
      <c r="J66" s="220"/>
      <c r="K66" s="131"/>
      <c r="L66" s="796"/>
    </row>
    <row r="67" spans="1:12" ht="11.85" customHeight="1" x14ac:dyDescent="0.2">
      <c r="A67" s="220"/>
      <c r="B67" s="220"/>
      <c r="C67" s="795"/>
      <c r="D67" s="220"/>
      <c r="E67" s="220"/>
      <c r="F67" s="220"/>
      <c r="G67" s="220"/>
      <c r="H67" s="220"/>
      <c r="I67" s="220"/>
      <c r="J67" s="220"/>
      <c r="K67" s="131"/>
      <c r="L67" s="796"/>
    </row>
    <row r="68" spans="1:12" ht="11.85" hidden="1" customHeight="1" x14ac:dyDescent="0.2"/>
    <row r="69" spans="1:12" ht="11.85" hidden="1" customHeight="1" x14ac:dyDescent="0.2"/>
    <row r="70" spans="1:12" ht="11.85" hidden="1" customHeight="1" x14ac:dyDescent="0.2"/>
    <row r="71" spans="1:12" ht="11.85" hidden="1" customHeight="1" x14ac:dyDescent="0.2"/>
    <row r="72" spans="1:12" ht="11.85" hidden="1" customHeight="1" x14ac:dyDescent="0.2"/>
    <row r="73" spans="1:12" ht="11.85" hidden="1" customHeight="1" x14ac:dyDescent="0.2"/>
    <row r="74" spans="1:12" ht="11.85" hidden="1" customHeight="1" x14ac:dyDescent="0.2"/>
    <row r="75" spans="1:12" ht="11.85" hidden="1" customHeight="1" x14ac:dyDescent="0.2"/>
    <row r="76" spans="1:12" ht="11.85" hidden="1" customHeight="1" x14ac:dyDescent="0.2"/>
    <row r="77" spans="1:12" ht="11.85" hidden="1" customHeight="1" x14ac:dyDescent="0.2"/>
    <row r="78" spans="1:12" ht="11.85" hidden="1" customHeight="1" x14ac:dyDescent="0.2"/>
    <row r="79" spans="1:12" ht="11.85" hidden="1" customHeight="1" x14ac:dyDescent="0.2"/>
    <row r="80" spans="1:12" ht="11.85" hidden="1" customHeight="1" x14ac:dyDescent="0.2"/>
    <row r="81" ht="11.85" hidden="1" customHeight="1" x14ac:dyDescent="0.2"/>
    <row r="82" ht="11.85" hidden="1" customHeight="1" x14ac:dyDescent="0.2"/>
    <row r="83" ht="11.85" hidden="1" customHeight="1" x14ac:dyDescent="0.2"/>
    <row r="84" ht="11.85" hidden="1" customHeight="1" x14ac:dyDescent="0.2"/>
    <row r="85" ht="11.85" hidden="1" customHeight="1" x14ac:dyDescent="0.2"/>
    <row r="86" ht="11.85" hidden="1" customHeight="1" x14ac:dyDescent="0.2"/>
    <row r="87" ht="11.85" hidden="1" customHeight="1" x14ac:dyDescent="0.2"/>
    <row r="88" ht="11.85" hidden="1" customHeight="1" x14ac:dyDescent="0.2"/>
    <row r="89" ht="11.85" hidden="1" customHeight="1" x14ac:dyDescent="0.2"/>
    <row r="90" ht="11.85" hidden="1" customHeight="1" x14ac:dyDescent="0.2"/>
    <row r="91" ht="11.85" hidden="1" customHeight="1" x14ac:dyDescent="0.2"/>
    <row r="92" ht="11.85" hidden="1" customHeight="1" x14ac:dyDescent="0.2"/>
    <row r="93" ht="11.85" hidden="1" customHeight="1" x14ac:dyDescent="0.2"/>
    <row r="94" ht="11.85" hidden="1" customHeight="1" x14ac:dyDescent="0.2"/>
    <row r="95" ht="11.85" hidden="1" customHeight="1" x14ac:dyDescent="0.2"/>
    <row r="96" ht="11.85" hidden="1" customHeight="1" x14ac:dyDescent="0.2"/>
    <row r="97" ht="11.85" hidden="1" customHeight="1" x14ac:dyDescent="0.2"/>
    <row r="98" ht="11.85" hidden="1" customHeight="1" x14ac:dyDescent="0.2"/>
    <row r="99" ht="11.85" hidden="1" customHeight="1" x14ac:dyDescent="0.2"/>
    <row r="100" ht="11.85" hidden="1" customHeight="1" x14ac:dyDescent="0.2"/>
    <row r="101" ht="11.85" hidden="1" customHeight="1" x14ac:dyDescent="0.2"/>
    <row r="102" ht="11.85" hidden="1" customHeight="1" x14ac:dyDescent="0.2"/>
    <row r="103" ht="11.85" hidden="1" customHeight="1" x14ac:dyDescent="0.2"/>
    <row r="104" ht="11.85" hidden="1" customHeight="1" x14ac:dyDescent="0.2"/>
    <row r="105" ht="11.85" hidden="1" customHeight="1" x14ac:dyDescent="0.2"/>
    <row r="106" ht="11.85" hidden="1" customHeight="1" x14ac:dyDescent="0.2"/>
    <row r="107" ht="11.85" hidden="1" customHeight="1" x14ac:dyDescent="0.2"/>
    <row r="108" ht="11.85" hidden="1" customHeight="1" x14ac:dyDescent="0.2"/>
    <row r="109" ht="11.85" hidden="1" customHeight="1" x14ac:dyDescent="0.2"/>
    <row r="110" ht="11.85" hidden="1" customHeight="1" x14ac:dyDescent="0.2"/>
    <row r="111" ht="11.85" hidden="1" customHeight="1" x14ac:dyDescent="0.2"/>
    <row r="112" ht="11.85" hidden="1" customHeight="1" x14ac:dyDescent="0.2"/>
    <row r="113" ht="11.85" hidden="1" customHeight="1" x14ac:dyDescent="0.2"/>
    <row r="114" ht="11.85" hidden="1" customHeight="1" x14ac:dyDescent="0.2"/>
    <row r="115" ht="11.85" hidden="1" customHeight="1" x14ac:dyDescent="0.2"/>
    <row r="116" ht="11.85" hidden="1" customHeight="1" x14ac:dyDescent="0.2"/>
    <row r="117" ht="11.85" hidden="1" customHeight="1" x14ac:dyDescent="0.2"/>
    <row r="118" ht="11.85" hidden="1" customHeight="1" x14ac:dyDescent="0.2"/>
    <row r="119" ht="11.85" hidden="1" customHeight="1" x14ac:dyDescent="0.2"/>
    <row r="120" ht="11.85" hidden="1" customHeight="1" x14ac:dyDescent="0.2"/>
    <row r="121" ht="11.85" hidden="1" customHeight="1" x14ac:dyDescent="0.2"/>
    <row r="122" ht="11.85" hidden="1" customHeight="1" x14ac:dyDescent="0.2"/>
    <row r="123" ht="11.85" hidden="1" customHeight="1" x14ac:dyDescent="0.2"/>
    <row r="124" ht="11.85" hidden="1" customHeight="1" x14ac:dyDescent="0.2"/>
    <row r="125" ht="11.85" hidden="1" customHeight="1" x14ac:dyDescent="0.2"/>
    <row r="126" ht="11.85" hidden="1" customHeight="1" x14ac:dyDescent="0.2"/>
    <row r="127" ht="11.85" hidden="1" customHeight="1" x14ac:dyDescent="0.2"/>
    <row r="128" ht="11.85" hidden="1" customHeight="1" x14ac:dyDescent="0.2"/>
    <row r="129" ht="11.85" hidden="1" customHeight="1" x14ac:dyDescent="0.2"/>
    <row r="130" ht="11.85" hidden="1" customHeight="1" x14ac:dyDescent="0.2"/>
    <row r="131" ht="11.85" hidden="1" customHeight="1" x14ac:dyDescent="0.2"/>
    <row r="132" ht="11.85" hidden="1" customHeight="1" x14ac:dyDescent="0.2"/>
    <row r="133" ht="11.85" hidden="1" customHeight="1" x14ac:dyDescent="0.2"/>
    <row r="134" ht="11.85" hidden="1" customHeight="1" x14ac:dyDescent="0.2"/>
    <row r="135" ht="11.85" hidden="1" customHeight="1" x14ac:dyDescent="0.2"/>
    <row r="136" ht="11.85" hidden="1" customHeight="1" x14ac:dyDescent="0.2"/>
    <row r="137" ht="11.85" hidden="1" customHeight="1" x14ac:dyDescent="0.2"/>
    <row r="138" ht="11.85" hidden="1" customHeight="1" x14ac:dyDescent="0.2"/>
    <row r="139" ht="11.85" hidden="1" customHeight="1" x14ac:dyDescent="0.2"/>
    <row r="140" ht="11.85" hidden="1" customHeight="1" x14ac:dyDescent="0.2"/>
    <row r="141" ht="11.85" hidden="1" customHeight="1" x14ac:dyDescent="0.2"/>
    <row r="142" ht="11.85" hidden="1" customHeight="1" x14ac:dyDescent="0.2"/>
    <row r="143" ht="11.85" hidden="1" customHeight="1" x14ac:dyDescent="0.2"/>
    <row r="144" ht="11.85" hidden="1" customHeight="1" x14ac:dyDescent="0.2"/>
    <row r="145" ht="11.85" hidden="1" customHeight="1" x14ac:dyDescent="0.2"/>
    <row r="146" ht="11.85" hidden="1" customHeight="1" x14ac:dyDescent="0.2"/>
    <row r="147" ht="11.85" hidden="1" customHeight="1" x14ac:dyDescent="0.2"/>
    <row r="148" ht="11.85" hidden="1" customHeight="1" x14ac:dyDescent="0.2"/>
    <row r="149" ht="11.85" hidden="1" customHeight="1" x14ac:dyDescent="0.2"/>
    <row r="150" ht="11.85" hidden="1" customHeight="1" x14ac:dyDescent="0.2"/>
    <row r="151" ht="11.85" hidden="1" customHeight="1" x14ac:dyDescent="0.2"/>
    <row r="152" ht="11.85" hidden="1" customHeight="1" x14ac:dyDescent="0.2"/>
    <row r="153" ht="11.85" hidden="1" customHeight="1" x14ac:dyDescent="0.2"/>
    <row r="154" ht="11.85" hidden="1" customHeight="1" x14ac:dyDescent="0.2"/>
    <row r="155" ht="11.85" hidden="1" customHeight="1" x14ac:dyDescent="0.2"/>
    <row r="156" ht="11.85" hidden="1" customHeight="1" x14ac:dyDescent="0.2"/>
    <row r="157" ht="11.85" hidden="1" customHeight="1" x14ac:dyDescent="0.2"/>
    <row r="158" ht="11.85" hidden="1" customHeight="1" x14ac:dyDescent="0.2"/>
    <row r="159" ht="11.85" hidden="1" customHeight="1" x14ac:dyDescent="0.2"/>
    <row r="160" ht="11.85" hidden="1" customHeight="1" x14ac:dyDescent="0.2"/>
    <row r="161" ht="11.85" hidden="1" customHeight="1" x14ac:dyDescent="0.2"/>
    <row r="162" ht="11.85" hidden="1" customHeight="1" x14ac:dyDescent="0.2"/>
    <row r="163" ht="11.85" hidden="1" customHeight="1" x14ac:dyDescent="0.2"/>
    <row r="164" ht="11.85" hidden="1" customHeight="1" x14ac:dyDescent="0.2"/>
    <row r="165" ht="11.85" hidden="1" customHeight="1" x14ac:dyDescent="0.2"/>
    <row r="166" ht="11.85" hidden="1" customHeight="1" x14ac:dyDescent="0.2"/>
    <row r="167" ht="11.85" hidden="1" customHeight="1" x14ac:dyDescent="0.2"/>
    <row r="168" ht="11.85" hidden="1" customHeight="1" x14ac:dyDescent="0.2"/>
    <row r="169" ht="11.85" hidden="1" customHeight="1" x14ac:dyDescent="0.2"/>
    <row r="170" ht="11.85" hidden="1" customHeight="1" x14ac:dyDescent="0.2"/>
    <row r="171" ht="11.85" hidden="1" customHeight="1" x14ac:dyDescent="0.2"/>
    <row r="172" ht="11.85" hidden="1" customHeight="1" x14ac:dyDescent="0.2"/>
    <row r="173" ht="11.85" hidden="1" customHeight="1" x14ac:dyDescent="0.2"/>
    <row r="174" ht="11.85" hidden="1" customHeight="1" x14ac:dyDescent="0.2"/>
    <row r="175" ht="11.85" hidden="1" customHeight="1" x14ac:dyDescent="0.2"/>
    <row r="176" ht="11.85" hidden="1" customHeight="1" x14ac:dyDescent="0.2"/>
    <row r="177" ht="11.85" hidden="1" customHeight="1" x14ac:dyDescent="0.2"/>
    <row r="178" ht="11.85" hidden="1" customHeight="1" x14ac:dyDescent="0.2"/>
    <row r="179" ht="11.85" hidden="1" customHeight="1" x14ac:dyDescent="0.2"/>
    <row r="180" ht="11.85" hidden="1" customHeight="1" x14ac:dyDescent="0.2"/>
    <row r="181" ht="11.85" hidden="1" customHeight="1" x14ac:dyDescent="0.2"/>
    <row r="182" ht="11.85" hidden="1" customHeight="1" x14ac:dyDescent="0.2"/>
    <row r="183" ht="11.85" hidden="1" customHeight="1" x14ac:dyDescent="0.2"/>
    <row r="184" ht="11.85" hidden="1" customHeight="1" x14ac:dyDescent="0.2"/>
    <row r="185" ht="11.85" hidden="1" customHeight="1" x14ac:dyDescent="0.2"/>
    <row r="186" ht="11.85" hidden="1" customHeight="1" x14ac:dyDescent="0.2"/>
    <row r="187" ht="11.85" hidden="1" customHeight="1" x14ac:dyDescent="0.2"/>
    <row r="188" ht="11.85" hidden="1" customHeight="1" x14ac:dyDescent="0.2"/>
    <row r="189" ht="11.85" hidden="1" customHeight="1" x14ac:dyDescent="0.2"/>
    <row r="190" ht="11.85" hidden="1" customHeight="1" x14ac:dyDescent="0.2"/>
    <row r="191" ht="11.85" hidden="1" customHeight="1" x14ac:dyDescent="0.2"/>
    <row r="192" ht="11.85" hidden="1" customHeight="1" x14ac:dyDescent="0.2"/>
    <row r="193" ht="11.85" hidden="1" customHeight="1" x14ac:dyDescent="0.2"/>
    <row r="194" ht="11.85" hidden="1" customHeight="1" x14ac:dyDescent="0.2"/>
    <row r="195" ht="11.85" hidden="1" customHeight="1" x14ac:dyDescent="0.2"/>
    <row r="196" ht="11.85" hidden="1" customHeight="1" x14ac:dyDescent="0.2"/>
    <row r="197" ht="11.85" hidden="1" customHeight="1" x14ac:dyDescent="0.2"/>
    <row r="198" ht="11.85" hidden="1" customHeight="1" x14ac:dyDescent="0.2"/>
    <row r="199" ht="11.85" hidden="1" customHeight="1" x14ac:dyDescent="0.2"/>
    <row r="200" ht="11.85" hidden="1" customHeight="1" x14ac:dyDescent="0.2"/>
    <row r="201" ht="11.85" hidden="1" customHeight="1" x14ac:dyDescent="0.2"/>
    <row r="202" ht="11.85" hidden="1" customHeight="1" x14ac:dyDescent="0.2"/>
    <row r="203" ht="11.85" hidden="1" customHeight="1" x14ac:dyDescent="0.2"/>
    <row r="204" ht="11.85" hidden="1" customHeight="1" x14ac:dyDescent="0.2"/>
    <row r="205" ht="11.85" hidden="1" customHeight="1" x14ac:dyDescent="0.2"/>
    <row r="206" ht="11.85" hidden="1" customHeight="1" x14ac:dyDescent="0.2"/>
    <row r="207" ht="11.85" hidden="1" customHeight="1" x14ac:dyDescent="0.2"/>
    <row r="208" ht="11.85" hidden="1" customHeight="1" x14ac:dyDescent="0.2"/>
    <row r="209" ht="11.85" hidden="1" customHeight="1" x14ac:dyDescent="0.2"/>
    <row r="210" ht="11.85" hidden="1" customHeight="1" x14ac:dyDescent="0.2"/>
    <row r="211" ht="11.85" hidden="1" customHeight="1" x14ac:dyDescent="0.2"/>
    <row r="212" ht="11.85" hidden="1" customHeight="1" x14ac:dyDescent="0.2"/>
    <row r="213" ht="11.85" hidden="1" customHeight="1" x14ac:dyDescent="0.2"/>
    <row r="214" ht="11.85" hidden="1" customHeight="1" x14ac:dyDescent="0.2"/>
    <row r="215" ht="11.85" hidden="1" customHeight="1" x14ac:dyDescent="0.2"/>
    <row r="216" ht="11.85" hidden="1" customHeight="1" x14ac:dyDescent="0.2"/>
    <row r="217" ht="11.85" hidden="1" customHeight="1" x14ac:dyDescent="0.2"/>
    <row r="218" ht="11.85" hidden="1" customHeight="1" x14ac:dyDescent="0.2"/>
    <row r="219" ht="11.85" hidden="1" customHeight="1" x14ac:dyDescent="0.2"/>
    <row r="220" ht="11.85" hidden="1" customHeight="1" x14ac:dyDescent="0.2"/>
    <row r="221" ht="11.85" hidden="1" customHeight="1" x14ac:dyDescent="0.2"/>
    <row r="222" ht="11.85" hidden="1" customHeight="1" x14ac:dyDescent="0.2"/>
    <row r="223" ht="11.85" hidden="1" customHeight="1" x14ac:dyDescent="0.2"/>
    <row r="224" ht="11.85" hidden="1" customHeight="1" x14ac:dyDescent="0.2"/>
    <row r="225" ht="11.85" hidden="1" customHeight="1" x14ac:dyDescent="0.2"/>
    <row r="226" ht="11.85" hidden="1" customHeight="1" x14ac:dyDescent="0.2"/>
    <row r="227" ht="11.85" hidden="1" customHeight="1" x14ac:dyDescent="0.2"/>
    <row r="228" ht="11.85" hidden="1" customHeight="1" x14ac:dyDescent="0.2"/>
    <row r="229" ht="11.85" hidden="1" customHeight="1" x14ac:dyDescent="0.2"/>
    <row r="230" ht="11.85" hidden="1" customHeight="1" x14ac:dyDescent="0.2"/>
    <row r="231" ht="11.85" hidden="1" customHeight="1" x14ac:dyDescent="0.2"/>
    <row r="232" ht="11.85" hidden="1" customHeight="1" x14ac:dyDescent="0.2"/>
    <row r="233" ht="11.85" hidden="1" customHeight="1" x14ac:dyDescent="0.2"/>
    <row r="234" ht="11.85" hidden="1" customHeight="1" x14ac:dyDescent="0.2"/>
    <row r="235" ht="11.85" hidden="1" customHeight="1" x14ac:dyDescent="0.2"/>
    <row r="236" ht="11.85" hidden="1" customHeight="1" x14ac:dyDescent="0.2"/>
    <row r="237" ht="11.85" hidden="1" customHeight="1" x14ac:dyDescent="0.2"/>
    <row r="238" ht="11.85" hidden="1" customHeight="1" x14ac:dyDescent="0.2"/>
    <row r="239" ht="11.85" hidden="1" customHeight="1" x14ac:dyDescent="0.2"/>
    <row r="240" ht="11.85" hidden="1" customHeight="1" x14ac:dyDescent="0.2"/>
    <row r="241" ht="11.85" hidden="1" customHeight="1" x14ac:dyDescent="0.2"/>
    <row r="242" ht="11.85" hidden="1" customHeight="1" x14ac:dyDescent="0.2"/>
    <row r="243" ht="11.85" hidden="1" customHeight="1" x14ac:dyDescent="0.2"/>
    <row r="244" ht="11.85" hidden="1" customHeight="1" x14ac:dyDescent="0.2"/>
    <row r="245" ht="11.85" hidden="1" customHeight="1" x14ac:dyDescent="0.2"/>
    <row r="246" ht="11.85" hidden="1" customHeight="1" x14ac:dyDescent="0.2"/>
    <row r="247" ht="11.85" hidden="1" customHeight="1" x14ac:dyDescent="0.2"/>
    <row r="248" ht="11.85" hidden="1" customHeight="1" x14ac:dyDescent="0.2"/>
    <row r="249" ht="11.85" hidden="1" customHeight="1" x14ac:dyDescent="0.2"/>
    <row r="250" ht="11.85" hidden="1" customHeight="1" x14ac:dyDescent="0.2"/>
    <row r="251" ht="11.85" hidden="1" customHeight="1" x14ac:dyDescent="0.2"/>
    <row r="252" ht="11.85" hidden="1" customHeight="1" x14ac:dyDescent="0.2"/>
    <row r="253" ht="11.85" hidden="1" customHeight="1" x14ac:dyDescent="0.2"/>
    <row r="254" ht="11.85" hidden="1" customHeight="1" x14ac:dyDescent="0.2"/>
    <row r="255" ht="11.85" hidden="1" customHeight="1" x14ac:dyDescent="0.2"/>
    <row r="256" ht="11.85" hidden="1" customHeight="1" x14ac:dyDescent="0.2"/>
    <row r="257" ht="11.85" hidden="1" customHeight="1" x14ac:dyDescent="0.2"/>
    <row r="258" ht="11.85" hidden="1" customHeight="1" x14ac:dyDescent="0.2"/>
    <row r="259" ht="11.85" hidden="1" customHeight="1" x14ac:dyDescent="0.2"/>
    <row r="260" ht="11.85" hidden="1" customHeight="1" x14ac:dyDescent="0.2"/>
    <row r="261" ht="11.85" hidden="1" customHeight="1" x14ac:dyDescent="0.2"/>
    <row r="262" ht="11.85" hidden="1" customHeight="1" x14ac:dyDescent="0.2"/>
    <row r="263" ht="11.85" hidden="1" customHeight="1" x14ac:dyDescent="0.2"/>
    <row r="264" ht="11.85" hidden="1" customHeight="1" x14ac:dyDescent="0.2"/>
    <row r="265" ht="11.85" hidden="1" customHeight="1" x14ac:dyDescent="0.2"/>
    <row r="266" ht="11.85" hidden="1" customHeight="1" x14ac:dyDescent="0.2"/>
    <row r="267" ht="11.85" hidden="1" customHeight="1" x14ac:dyDescent="0.2"/>
    <row r="268" ht="11.85" hidden="1" customHeight="1" x14ac:dyDescent="0.2"/>
    <row r="269" ht="11.85" hidden="1" customHeight="1" x14ac:dyDescent="0.2"/>
    <row r="270" ht="11.85" hidden="1" customHeight="1" x14ac:dyDescent="0.2"/>
    <row r="271" ht="11.85" hidden="1" customHeight="1" x14ac:dyDescent="0.2"/>
    <row r="272" ht="11.85" hidden="1" customHeight="1" x14ac:dyDescent="0.2"/>
    <row r="273" ht="11.85" hidden="1" customHeight="1" x14ac:dyDescent="0.2"/>
    <row r="274" ht="11.85" hidden="1" customHeight="1" x14ac:dyDescent="0.2"/>
    <row r="275" ht="11.85" hidden="1" customHeight="1" x14ac:dyDescent="0.2"/>
  </sheetData>
  <sheetProtection algorithmName="SHA-512" hashValue="5o4H2/EyJsW9KaZWAUsSiMtSbWzQup2o67LA+YrsymMslRIZa649tnfxLHeq73Dc3SPkXE7iqC7ndB/662sByw==" saltValue="P/jGRLYXtS8EsNsvCB3Mug==" spinCount="100000" sheet="1" objects="1" scenarios="1"/>
  <mergeCells count="12">
    <mergeCell ref="G66:I66"/>
    <mergeCell ref="C41:D41"/>
    <mergeCell ref="G63:I63"/>
    <mergeCell ref="G64:I64"/>
    <mergeCell ref="G65:I65"/>
    <mergeCell ref="G60:H60"/>
    <mergeCell ref="G61:H61"/>
    <mergeCell ref="L1:L6"/>
    <mergeCell ref="A1:A2"/>
    <mergeCell ref="C4:D4"/>
    <mergeCell ref="C5:D5"/>
    <mergeCell ref="C40:D40"/>
  </mergeCells>
  <phoneticPr fontId="4" type="noConversion"/>
  <conditionalFormatting sqref="I13 I18:I22">
    <cfRule type="expression" dxfId="74" priority="5" stopIfTrue="1">
      <formula>OR($C13="",$H13="")</formula>
    </cfRule>
  </conditionalFormatting>
  <conditionalFormatting sqref="D9">
    <cfRule type="expression" dxfId="73" priority="6" stopIfTrue="1">
      <formula>B9=""</formula>
    </cfRule>
    <cfRule type="expression" dxfId="72" priority="7" stopIfTrue="1">
      <formula>C9&lt;&gt;" kg"</formula>
    </cfRule>
  </conditionalFormatting>
  <conditionalFormatting sqref="I34">
    <cfRule type="expression" dxfId="71" priority="8" stopIfTrue="1">
      <formula>OR($H34="")</formula>
    </cfRule>
  </conditionalFormatting>
  <conditionalFormatting sqref="I29:I30">
    <cfRule type="expression" dxfId="70" priority="10" stopIfTrue="1">
      <formula>OR($G29="",$H29="")</formula>
    </cfRule>
  </conditionalFormatting>
  <conditionalFormatting sqref="D62:D66 F62:F66 E62:E63 H50:I50 H42:I42 C40:D41 H45:I45 H56:I56 C36 C4:D5 G34 H35:H36">
    <cfRule type="cellIs" dxfId="69" priority="11" stopIfTrue="1" operator="notEqual">
      <formula>""</formula>
    </cfRule>
  </conditionalFormatting>
  <conditionalFormatting sqref="G66">
    <cfRule type="cellIs" dxfId="68" priority="12" stopIfTrue="1" operator="equal">
      <formula>"noch leer!"</formula>
    </cfRule>
  </conditionalFormatting>
  <conditionalFormatting sqref="C37">
    <cfRule type="cellIs" dxfId="67" priority="14" stopIfTrue="1" operator="equal">
      <formula>""</formula>
    </cfRule>
  </conditionalFormatting>
  <conditionalFormatting sqref="C16 C27">
    <cfRule type="expression" dxfId="66" priority="15" stopIfTrue="1">
      <formula>$D$9=""</formula>
    </cfRule>
  </conditionalFormatting>
  <conditionalFormatting sqref="D16:E16 D27:E27">
    <cfRule type="expression" dxfId="65" priority="16" stopIfTrue="1">
      <formula>$E$9=""</formula>
    </cfRule>
  </conditionalFormatting>
  <conditionalFormatting sqref="G29:G30">
    <cfRule type="cellIs" dxfId="64" priority="18" stopIfTrue="1" operator="equal">
      <formula>"noch leer"</formula>
    </cfRule>
    <cfRule type="cellIs" dxfId="63" priority="19" stopIfTrue="1" operator="equal">
      <formula>""</formula>
    </cfRule>
  </conditionalFormatting>
  <conditionalFormatting sqref="E9">
    <cfRule type="expression" dxfId="62" priority="22" stopIfTrue="1">
      <formula>B9=""</formula>
    </cfRule>
    <cfRule type="expression" dxfId="61" priority="23" stopIfTrue="1">
      <formula>D9&lt;&gt;" kg"</formula>
    </cfRule>
  </conditionalFormatting>
  <conditionalFormatting sqref="F9">
    <cfRule type="expression" dxfId="60" priority="24" stopIfTrue="1">
      <formula>B9=""</formula>
    </cfRule>
    <cfRule type="expression" dxfId="59" priority="25" stopIfTrue="1">
      <formula>E9&lt;&gt;" kg"</formula>
    </cfRule>
  </conditionalFormatting>
  <conditionalFormatting sqref="I11">
    <cfRule type="cellIs" dxfId="58" priority="3" stopIfTrue="1" operator="equal">
      <formula>"noch leer"</formula>
    </cfRule>
    <cfRule type="cellIs" dxfId="57" priority="4" stopIfTrue="1" operator="equal">
      <formula>""</formula>
    </cfRule>
  </conditionalFormatting>
  <conditionalFormatting sqref="I12">
    <cfRule type="cellIs" dxfId="56" priority="1" stopIfTrue="1" operator="equal">
      <formula>"noch leer"</formula>
    </cfRule>
    <cfRule type="cellIs" dxfId="55" priority="2" stopIfTrue="1" operator="equal">
      <formula>""</formula>
    </cfRule>
  </conditionalFormatting>
  <printOptions horizontalCentered="1"/>
  <pageMargins left="0.39370078740157483" right="0.39370078740157483" top="0.59055118110236227" bottom="0.39370078740157483" header="0" footer="0"/>
  <pageSetup paperSize="9" orientation="portrait" blackAndWhite="1" horizontalDpi="4294967295" r:id="rId1"/>
  <headerFooter alignWithMargins="0">
    <oddHeader>&amp;R&amp;8&amp;U&amp;F - Seite &amp;P/&amp;N</oddHead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28">
    <tabColor indexed="10"/>
  </sheetPr>
  <dimension ref="A1:L199"/>
  <sheetViews>
    <sheetView showGridLines="0" workbookViewId="0">
      <pane ySplit="3" topLeftCell="A4" activePane="bottomLeft" state="frozen"/>
      <selection activeCell="F326" sqref="F326"/>
      <selection pane="bottomLeft" activeCell="F13" sqref="F13"/>
    </sheetView>
  </sheetViews>
  <sheetFormatPr baseColWidth="10" defaultColWidth="0" defaultRowHeight="12.75" zeroHeight="1" x14ac:dyDescent="0.2"/>
  <cols>
    <col min="1" max="1" width="2.7109375" style="146" customWidth="1"/>
    <col min="2" max="2" width="3.7109375" style="146" customWidth="1"/>
    <col min="3" max="4" width="14.7109375" style="146" customWidth="1"/>
    <col min="5" max="9" width="9.7109375" style="146" customWidth="1"/>
    <col min="10" max="10" width="2.7109375" style="146" customWidth="1"/>
    <col min="11" max="11" width="0.85546875" style="179" customWidth="1"/>
    <col min="12" max="12" width="20.7109375" style="179" customWidth="1"/>
    <col min="13" max="16384" width="9.7109375" style="1" hidden="1"/>
  </cols>
  <sheetData>
    <row r="1" spans="1:12" ht="24.95" customHeight="1" x14ac:dyDescent="0.2">
      <c r="A1" s="1152"/>
      <c r="B1" s="410" t="s">
        <v>329</v>
      </c>
      <c r="C1" s="332"/>
      <c r="D1" s="411"/>
      <c r="E1" s="411"/>
      <c r="F1" s="411"/>
      <c r="G1" s="411"/>
      <c r="H1" s="411"/>
      <c r="I1" s="411"/>
      <c r="J1" s="411"/>
      <c r="K1" s="130"/>
      <c r="L1" s="1039" t="s">
        <v>101</v>
      </c>
    </row>
    <row r="2" spans="1:12" s="3" customFormat="1" ht="12.6" customHeight="1" x14ac:dyDescent="0.2">
      <c r="A2" s="1152"/>
      <c r="B2" s="412" t="str">
        <f>IF([1]WD.ILeist!D12="","",[1]WD.ILeist!D12)</f>
        <v>Dauergrünland 3-schnittig</v>
      </c>
      <c r="C2" s="413"/>
      <c r="D2" s="414"/>
      <c r="E2" s="414"/>
      <c r="F2" s="414"/>
      <c r="G2" s="414"/>
      <c r="H2" s="414"/>
      <c r="I2" s="414"/>
      <c r="J2" s="414"/>
      <c r="K2" s="131"/>
      <c r="L2" s="1039"/>
    </row>
    <row r="3" spans="1:12" ht="39.950000000000003" customHeight="1" x14ac:dyDescent="0.2">
      <c r="K3" s="131"/>
      <c r="L3" s="1039"/>
    </row>
    <row r="4" spans="1:12" ht="3" customHeight="1" x14ac:dyDescent="0.2">
      <c r="B4" s="275"/>
      <c r="C4" s="275"/>
      <c r="D4" s="275"/>
      <c r="E4" s="275"/>
      <c r="F4" s="275"/>
      <c r="G4" s="275"/>
      <c r="H4" s="275"/>
      <c r="I4" s="275"/>
      <c r="K4" s="131"/>
      <c r="L4" s="134"/>
    </row>
    <row r="5" spans="1:12" ht="12.75" customHeight="1" x14ac:dyDescent="0.2">
      <c r="A5" s="179"/>
      <c r="B5" s="415"/>
      <c r="C5" s="1165" t="str">
        <f>IF([1]WD.ILeist!D22="","",[1]WD.ILeist!D22)</f>
        <v>Festmist</v>
      </c>
      <c r="D5" s="416" t="s">
        <v>330</v>
      </c>
      <c r="E5" s="417"/>
      <c r="F5" s="418">
        <f>IF([1]WD.ILeist!X119="","",[1]WD.ILeist!X119)</f>
        <v>3.5</v>
      </c>
      <c r="G5" s="419" t="str">
        <f>IF([1]WD.ILeist!Y119="","",[1]WD.ILeist!Y119)</f>
        <v xml:space="preserve"> t</v>
      </c>
      <c r="H5" s="420">
        <f>IF(G5&lt;&gt;" t",F5/1000,F5*10)</f>
        <v>35</v>
      </c>
      <c r="I5" s="419" t="str">
        <f>IF(G5=" t"," dt"," m³")</f>
        <v xml:space="preserve"> dt</v>
      </c>
      <c r="J5" s="179"/>
      <c r="K5" s="131"/>
      <c r="L5" s="134"/>
    </row>
    <row r="6" spans="1:12" ht="12.75" customHeight="1" x14ac:dyDescent="0.2">
      <c r="A6" s="179"/>
      <c r="B6" s="415"/>
      <c r="C6" s="1166"/>
      <c r="D6" s="416" t="str">
        <f>"Zeitbedarf pro "&amp;IF(C5="Festmist","Fuhre","Fass")</f>
        <v>Zeitbedarf pro Fuhre</v>
      </c>
      <c r="E6" s="421"/>
      <c r="F6" s="421"/>
      <c r="G6" s="422"/>
      <c r="H6" s="423">
        <f>SUM(E10,E13,E16)</f>
        <v>63</v>
      </c>
      <c r="I6" s="419" t="s">
        <v>331</v>
      </c>
      <c r="J6" s="179"/>
      <c r="K6" s="131"/>
      <c r="L6" s="134"/>
    </row>
    <row r="7" spans="1:12" ht="15.6" customHeight="1" x14ac:dyDescent="0.2">
      <c r="A7" s="424"/>
      <c r="B7" s="288"/>
      <c r="C7" s="288"/>
      <c r="D7" s="276"/>
      <c r="E7" s="1167" t="str">
        <f>"Zeit/"&amp;IF(C5="Festmist","Fuhre","Fass")</f>
        <v>Zeit/Fuhre</v>
      </c>
      <c r="F7" s="1167"/>
      <c r="G7" s="425" t="str">
        <f>"Zeit/"&amp;IF(C5="Festmist",100&amp;" dt",10&amp;" m³")</f>
        <v>Zeit/100 dt</v>
      </c>
      <c r="H7" s="425" t="s">
        <v>60</v>
      </c>
      <c r="I7" s="425"/>
      <c r="J7" s="424"/>
      <c r="K7" s="131"/>
      <c r="L7" s="134"/>
    </row>
    <row r="8" spans="1:12" ht="9.9499999999999993" customHeight="1" x14ac:dyDescent="0.2">
      <c r="A8" s="179"/>
      <c r="B8" s="183"/>
      <c r="C8" s="183"/>
      <c r="D8" s="183" t="s">
        <v>332</v>
      </c>
      <c r="E8" s="183" t="s">
        <v>333</v>
      </c>
      <c r="F8" s="183" t="s">
        <v>334</v>
      </c>
      <c r="G8" s="349" t="s">
        <v>334</v>
      </c>
      <c r="H8" s="183" t="s">
        <v>335</v>
      </c>
      <c r="I8" s="183" t="s">
        <v>336</v>
      </c>
      <c r="J8" s="179"/>
      <c r="K8" s="131"/>
      <c r="L8" s="134"/>
    </row>
    <row r="9" spans="1:12" ht="12.75" customHeight="1" x14ac:dyDescent="0.2">
      <c r="A9" s="179"/>
      <c r="B9" s="426" t="s">
        <v>337</v>
      </c>
      <c r="C9" s="426"/>
      <c r="D9" s="427"/>
      <c r="E9" s="754"/>
      <c r="F9" s="941"/>
      <c r="G9" s="941"/>
      <c r="H9" s="942"/>
      <c r="I9" s="943"/>
      <c r="J9" s="179"/>
      <c r="K9" s="131"/>
      <c r="L9" s="134"/>
    </row>
    <row r="10" spans="1:12" ht="12.75" customHeight="1" x14ac:dyDescent="0.2">
      <c r="A10" s="179"/>
      <c r="B10" s="428">
        <v>1</v>
      </c>
      <c r="C10" s="184" t="str">
        <f>IF([1]WD.ILeist!$AB$101&lt;$B10,"",VLOOKUP("L1",Matrix1,4,0))</f>
        <v>Standardtraktor</v>
      </c>
      <c r="D10" s="395" t="str">
        <f>IF([1]WD.ILeist!$AB$101&lt;$B10,"",VLOOKUP("L1",Matrix1,6,0))</f>
        <v>45 KW</v>
      </c>
      <c r="E10" s="754">
        <f>IF([1]WD.ILeist!R41="","",[1]WD.ILeist!R41)</f>
        <v>8</v>
      </c>
      <c r="F10" s="191">
        <f>E10/60</f>
        <v>0.13333333333333333</v>
      </c>
      <c r="G10" s="191">
        <f>F10/$H$5*100</f>
        <v>0.38095238095238093</v>
      </c>
      <c r="H10" s="429">
        <f>IF([1]WD.ILeist!$AB$101&lt;$B10,"",VLOOKUP("L1",Matrix1,7,0))</f>
        <v>8.9499999999999993</v>
      </c>
      <c r="I10" s="429">
        <f>G10*H10</f>
        <v>3.409523809523809</v>
      </c>
      <c r="J10" s="179"/>
      <c r="K10" s="131"/>
      <c r="L10" s="134"/>
    </row>
    <row r="11" spans="1:12" ht="12.75" customHeight="1" x14ac:dyDescent="0.2">
      <c r="A11" s="179"/>
      <c r="B11" s="428">
        <v>2</v>
      </c>
      <c r="C11" s="184" t="str">
        <f>IF([1]WD.ILeist!$AB$101&lt;$B11,"",VLOOKUP("L2",Matrix1,4,0))</f>
        <v>Frontlader</v>
      </c>
      <c r="D11" s="395" t="str">
        <f>IF([1]WD.ILeist!$AB$101&lt;$B11,"",VLOOKUP("L2",Matrix1,6,0))</f>
        <v>1,4 m</v>
      </c>
      <c r="E11" s="754">
        <f>IF(C11="","",E10)</f>
        <v>8</v>
      </c>
      <c r="F11" s="191">
        <f>E11/60</f>
        <v>0.13333333333333333</v>
      </c>
      <c r="G11" s="191">
        <f>F11/$H$5*100</f>
        <v>0.38095238095238093</v>
      </c>
      <c r="H11" s="429">
        <f>IF([1]WD.ILeist!$AB$101&lt;$B11,"",VLOOKUP("L2",Matrix1,7,0))</f>
        <v>0.52</v>
      </c>
      <c r="I11" s="429">
        <f>G11*H11</f>
        <v>0.1980952380952381</v>
      </c>
      <c r="J11" s="179"/>
      <c r="K11" s="131"/>
      <c r="L11" s="134"/>
    </row>
    <row r="12" spans="1:12" ht="12.75" customHeight="1" thickBot="1" x14ac:dyDescent="0.25">
      <c r="A12" s="179"/>
      <c r="B12" s="426" t="s">
        <v>338</v>
      </c>
      <c r="C12" s="426"/>
      <c r="D12" s="430"/>
      <c r="E12" s="754"/>
      <c r="F12" s="941"/>
      <c r="G12" s="941"/>
      <c r="H12" s="942"/>
      <c r="I12" s="943"/>
      <c r="J12" s="179"/>
      <c r="K12" s="131"/>
      <c r="L12" s="134"/>
    </row>
    <row r="13" spans="1:12" ht="12.75" customHeight="1" thickBot="1" x14ac:dyDescent="0.25">
      <c r="A13" s="179"/>
      <c r="B13" s="428">
        <v>1</v>
      </c>
      <c r="C13" s="184" t="str">
        <f>IF([1]WD.ILeist!$AB$109&lt;$B13,"",VLOOKUP("T1",Matrix1,4,0))</f>
        <v>Allradtraktor</v>
      </c>
      <c r="D13" s="395" t="str">
        <f>IF([1]WD.ILeist!$AB$109&lt;$B13,"",VLOOKUP("T1",Matrix1,6,0))</f>
        <v>65 KW</v>
      </c>
      <c r="E13" s="754">
        <f>IF([1]WD.ILeist!R43="","",[1]WD.ILeist!R43)</f>
        <v>36</v>
      </c>
      <c r="F13" s="849"/>
      <c r="G13" s="849"/>
      <c r="H13" s="429">
        <f>IF([1]WD.ILeist!$AB$109&lt;$B13,"",VLOOKUP("T1",Matrix1,7,0))</f>
        <v>10.675600000000001</v>
      </c>
      <c r="I13" s="372"/>
      <c r="J13" s="179"/>
      <c r="K13" s="131"/>
      <c r="L13" s="134"/>
    </row>
    <row r="14" spans="1:12" ht="12.75" customHeight="1" thickBot="1" x14ac:dyDescent="0.25">
      <c r="A14" s="179"/>
      <c r="B14" s="428">
        <v>2</v>
      </c>
      <c r="C14" s="184" t="str">
        <f>IF([1]WD.ILeist!$AB$109&lt;$B14,"",VLOOKUP("T2",Matrix1,4,0))</f>
        <v>Miststreuer</v>
      </c>
      <c r="D14" s="431" t="str">
        <f>IF([1]WD.ILeist!$AB$109&lt;$B14,"",VLOOKUP("T2",Matrix1,6,0))</f>
        <v>3,5 t</v>
      </c>
      <c r="E14" s="383">
        <f>IF(C14="","",E13)</f>
        <v>36</v>
      </c>
      <c r="F14" s="849"/>
      <c r="G14" s="849"/>
      <c r="H14" s="429">
        <f>IF([1]WD.ILeist!$AB$109&lt;$B14,"",VLOOKUP("T2",Matrix1,7,0))</f>
        <v>2.17</v>
      </c>
      <c r="I14" s="372"/>
      <c r="J14" s="179"/>
      <c r="K14" s="131"/>
      <c r="L14" s="134"/>
    </row>
    <row r="15" spans="1:12" ht="12.75" customHeight="1" x14ac:dyDescent="0.2">
      <c r="A15" s="179"/>
      <c r="B15" s="426" t="s">
        <v>339</v>
      </c>
      <c r="C15" s="426"/>
      <c r="D15" s="430"/>
      <c r="E15" s="754"/>
      <c r="F15" s="941"/>
      <c r="G15" s="941"/>
      <c r="H15" s="942"/>
      <c r="I15" s="943"/>
      <c r="J15" s="179"/>
      <c r="K15" s="131"/>
      <c r="L15" s="134"/>
    </row>
    <row r="16" spans="1:12" ht="12.75" customHeight="1" x14ac:dyDescent="0.2">
      <c r="A16" s="179"/>
      <c r="B16" s="428">
        <v>1</v>
      </c>
      <c r="C16" s="184" t="str">
        <f>IF([1]WD.ILeist!$AB$117&lt;$B16,"",VLOOKUP("A1",Matrix1,4,0))</f>
        <v>Allradtraktor</v>
      </c>
      <c r="D16" s="395" t="str">
        <f>IF([1]WD.ILeist!$AB$117&lt;$B16,"",VLOOKUP("A1",Matrix1,6,0))</f>
        <v>65 KW</v>
      </c>
      <c r="E16" s="754">
        <f>IF([1]WD.ILeist!R45="","",[1]WD.ILeist!R45)</f>
        <v>19</v>
      </c>
      <c r="F16" s="191">
        <f>E16/60</f>
        <v>0.31666666666666665</v>
      </c>
      <c r="G16" s="191">
        <f>F16/$H$5*100</f>
        <v>0.90476190476190477</v>
      </c>
      <c r="H16" s="429">
        <f>IF([1]WD.ILeist!$AB$117&lt;$B16,"",VLOOKUP("A1",Matrix1,7,0))</f>
        <v>10.675600000000001</v>
      </c>
      <c r="I16" s="429">
        <f>G16*H16</f>
        <v>9.6588761904761924</v>
      </c>
      <c r="J16" s="179"/>
      <c r="K16" s="131"/>
      <c r="L16" s="134"/>
    </row>
    <row r="17" spans="1:12" ht="12.75" customHeight="1" thickBot="1" x14ac:dyDescent="0.25">
      <c r="A17" s="179"/>
      <c r="B17" s="428">
        <v>2</v>
      </c>
      <c r="C17" s="184" t="str">
        <f>IF([1]WD.ILeist!$AB$117&lt;$B17,"",VLOOKUP("A2",Matrix1,4,0))</f>
        <v>Miststreuer</v>
      </c>
      <c r="D17" s="431" t="str">
        <f>IF([1]WD.ILeist!$AB$117&lt;$B17,"",VLOOKUP("A2",Matrix1,6,0))</f>
        <v>3,5 t</v>
      </c>
      <c r="E17" s="754">
        <f>IF(C17="","",E16)</f>
        <v>19</v>
      </c>
      <c r="F17" s="191">
        <f>E17/60</f>
        <v>0.31666666666666665</v>
      </c>
      <c r="G17" s="191">
        <f>F17/$H$5*100</f>
        <v>0.90476190476190477</v>
      </c>
      <c r="H17" s="429">
        <f>IF([1]WD.ILeist!$AB$117&lt;$B17,"",VLOOKUP("A2",Matrix1,7,0))</f>
        <v>2.17</v>
      </c>
      <c r="I17" s="751">
        <f>G17*H17</f>
        <v>1.9633333333333334</v>
      </c>
      <c r="J17" s="179"/>
      <c r="K17" s="131"/>
      <c r="L17" s="134"/>
    </row>
    <row r="18" spans="1:12" ht="12.75" customHeight="1" thickBot="1" x14ac:dyDescent="0.25">
      <c r="A18" s="179"/>
      <c r="B18" s="200" t="str">
        <f>"Summe variable Maschinenkosten - "&amp;WD.1Dgl!C5</f>
        <v>Summe variable Maschinenkosten - Festmist</v>
      </c>
      <c r="C18" s="200"/>
      <c r="D18" s="200"/>
      <c r="E18" s="200"/>
      <c r="F18" s="200"/>
      <c r="G18" s="432"/>
      <c r="H18" s="433"/>
      <c r="I18" s="434"/>
      <c r="J18" s="179"/>
      <c r="K18" s="131"/>
      <c r="L18" s="134"/>
    </row>
    <row r="19" spans="1:12" ht="12.75" customHeight="1" thickBot="1" x14ac:dyDescent="0.25">
      <c r="A19" s="179"/>
      <c r="B19" s="197" t="s">
        <v>340</v>
      </c>
      <c r="C19" s="197"/>
      <c r="D19" s="184"/>
      <c r="E19" s="184"/>
      <c r="F19" s="184"/>
      <c r="G19" s="435"/>
      <c r="H19" s="352">
        <f>IF([1]WD.ILeist!D24="","",[1]WD.ILeist!D24)</f>
        <v>0.2</v>
      </c>
      <c r="I19" s="850"/>
      <c r="J19" s="179"/>
      <c r="K19" s="131"/>
      <c r="L19" s="134"/>
    </row>
    <row r="20" spans="1:12" ht="12.75" customHeight="1" thickBot="1" x14ac:dyDescent="0.25">
      <c r="A20" s="179"/>
      <c r="B20" s="184"/>
      <c r="C20" s="184"/>
      <c r="D20" s="184"/>
      <c r="E20" s="184"/>
      <c r="F20" s="184"/>
      <c r="G20" s="400" t="s">
        <v>341</v>
      </c>
      <c r="H20" s="352">
        <f>IF([1]WD.ILeist!S47="","",[1]WD.ILeist!S47)</f>
        <v>0.09</v>
      </c>
      <c r="I20" s="850"/>
      <c r="J20" s="179"/>
      <c r="K20" s="131"/>
      <c r="L20" s="134"/>
    </row>
    <row r="21" spans="1:12" ht="12.75" customHeight="1" thickBot="1" x14ac:dyDescent="0.25">
      <c r="A21" s="179"/>
      <c r="B21" s="436" t="str">
        <f>"GESAMTE MASCHINENKOSTEN je "&amp;IF(C5="Festmist",100&amp;" dt",10&amp;" m³")</f>
        <v>GESAMTE MASCHINENKOSTEN je 100 dt</v>
      </c>
      <c r="C21" s="437"/>
      <c r="D21" s="437"/>
      <c r="E21" s="437"/>
      <c r="F21" s="437"/>
      <c r="G21" s="437"/>
      <c r="H21" s="437"/>
      <c r="I21" s="438"/>
      <c r="J21" s="179"/>
      <c r="K21" s="131"/>
      <c r="L21" s="134"/>
    </row>
    <row r="22" spans="1:12" ht="6" customHeight="1" x14ac:dyDescent="0.2">
      <c r="A22" s="179"/>
      <c r="B22" s="179"/>
      <c r="C22" s="179"/>
      <c r="D22" s="179"/>
      <c r="E22" s="179"/>
      <c r="F22" s="179"/>
      <c r="G22" s="179"/>
      <c r="H22" s="179"/>
      <c r="I22" s="439"/>
      <c r="J22" s="179"/>
      <c r="K22" s="141"/>
      <c r="L22" s="134"/>
    </row>
    <row r="23" spans="1:12" ht="12.75" customHeight="1" thickBot="1" x14ac:dyDescent="0.25">
      <c r="A23" s="179"/>
      <c r="B23" s="440" t="s">
        <v>342</v>
      </c>
      <c r="C23" s="440"/>
      <c r="D23" s="440"/>
      <c r="E23" s="440"/>
      <c r="F23" s="440"/>
      <c r="G23" s="1168" t="s">
        <v>343</v>
      </c>
      <c r="H23" s="1168"/>
      <c r="I23" s="183" t="s">
        <v>344</v>
      </c>
      <c r="J23" s="179"/>
      <c r="K23" s="131"/>
      <c r="L23" s="134"/>
    </row>
    <row r="24" spans="1:12" ht="12.75" customHeight="1" thickBot="1" x14ac:dyDescent="0.25">
      <c r="A24" s="179"/>
      <c r="B24" s="441">
        <f>IF([1]WD.ILeist!S49="","",[1]WD.ILeist!S49)</f>
        <v>162</v>
      </c>
      <c r="C24" s="442" t="str">
        <f>IF([1]WD.ILeist!F49="","",[1]WD.ILeist!I49)</f>
        <v>dt</v>
      </c>
      <c r="D24" s="443" t="str">
        <f>IF([1]WD.ILeist!D22="Festmist",[1]WD.ILeist!D16&amp;" kg Stickstoff/t",[1]WD.ILeist!D16&amp;" kg Stickstoff/m³")</f>
        <v>3,5 kg Stickstoff/t</v>
      </c>
      <c r="E24" s="1169">
        <f>IF([1]WD.ILeist!D22="Festmist",[1]WD.ILeist!D16*[1]WD.ILeist!F49/10,[1]WD.ILeist!D16*[1]WD.ILeist!F49)</f>
        <v>66.5</v>
      </c>
      <c r="F24" s="1170"/>
      <c r="G24" s="1171" t="str">
        <f>IF(OR(H19="",I24=""),"noch leer",(I24*100%)/(100%+H19))</f>
        <v>noch leer</v>
      </c>
      <c r="H24" s="1172"/>
      <c r="I24" s="851"/>
      <c r="J24" s="179"/>
      <c r="K24" s="131"/>
      <c r="L24" s="134"/>
    </row>
    <row r="25" spans="1:12" ht="6" customHeight="1" x14ac:dyDescent="0.2">
      <c r="A25" s="179"/>
      <c r="B25" s="179"/>
      <c r="C25" s="179"/>
      <c r="D25" s="179"/>
      <c r="E25" s="179"/>
      <c r="F25" s="179"/>
      <c r="G25" s="179"/>
      <c r="H25" s="179"/>
      <c r="I25" s="439"/>
      <c r="J25" s="179"/>
      <c r="K25" s="131"/>
      <c r="L25" s="134"/>
    </row>
    <row r="26" spans="1:12" ht="12.75" customHeight="1" thickBot="1" x14ac:dyDescent="0.25">
      <c r="A26" s="179"/>
      <c r="B26" s="444" t="str">
        <f>"Arbeitszeitbedarf - "&amp;C5</f>
        <v>Arbeitszeitbedarf - Festmist</v>
      </c>
      <c r="C26" s="444"/>
      <c r="D26" s="248"/>
      <c r="E26" s="445"/>
      <c r="F26" s="445"/>
      <c r="G26" s="445"/>
      <c r="H26" s="445"/>
      <c r="I26" s="439"/>
      <c r="J26" s="179"/>
      <c r="K26" s="131"/>
      <c r="L26" s="134"/>
    </row>
    <row r="27" spans="1:12" ht="12.75" customHeight="1" thickBot="1" x14ac:dyDescent="0.25">
      <c r="A27" s="179"/>
      <c r="B27" s="446" t="s">
        <v>345</v>
      </c>
      <c r="C27" s="446"/>
      <c r="D27" s="446"/>
      <c r="E27" s="446"/>
      <c r="F27" s="446"/>
      <c r="G27" s="852"/>
      <c r="H27" s="3" t="s">
        <v>529</v>
      </c>
      <c r="I27" s="439"/>
      <c r="J27" s="179"/>
      <c r="K27" s="131"/>
      <c r="L27" s="134"/>
    </row>
    <row r="28" spans="1:12" ht="30" customHeight="1" x14ac:dyDescent="0.2">
      <c r="A28" s="179"/>
      <c r="B28" s="179"/>
      <c r="C28" s="179"/>
      <c r="D28" s="179"/>
      <c r="E28" s="179"/>
      <c r="F28" s="179"/>
      <c r="G28" s="179"/>
      <c r="H28" s="179"/>
      <c r="I28" s="439"/>
      <c r="J28" s="179"/>
      <c r="K28" s="131"/>
      <c r="L28" s="134"/>
    </row>
    <row r="29" spans="1:12" ht="3" customHeight="1" x14ac:dyDescent="0.2">
      <c r="B29" s="275"/>
      <c r="C29" s="275"/>
      <c r="D29" s="275"/>
      <c r="E29" s="275"/>
      <c r="F29" s="275"/>
      <c r="G29" s="275"/>
      <c r="H29" s="275"/>
      <c r="I29" s="447"/>
      <c r="K29" s="143"/>
      <c r="L29" s="134"/>
    </row>
    <row r="30" spans="1:12" ht="12.75" customHeight="1" x14ac:dyDescent="0.2">
      <c r="A30" s="179"/>
      <c r="B30" s="415"/>
      <c r="C30" s="1165" t="str">
        <f>IF([1]WD.ILeist!D52="","",[1]WD.ILeist!D52)</f>
        <v>Jauche</v>
      </c>
      <c r="D30" s="416" t="s">
        <v>330</v>
      </c>
      <c r="E30" s="448"/>
      <c r="F30" s="418">
        <f>IF([1]WD.ILeist!X152="","",[1]WD.ILeist!X152)</f>
        <v>4000</v>
      </c>
      <c r="G30" s="419" t="str">
        <f>IF([1]WD.ILeist!Y152="","",[1]WD.ILeist!Y152)</f>
        <v xml:space="preserve"> lt</v>
      </c>
      <c r="H30" s="420">
        <f>IF(G30&lt;&gt;" t",F30/1000,F30*10)</f>
        <v>4</v>
      </c>
      <c r="I30" s="449" t="str">
        <f>IF(G30=" t"," dt"," m³")</f>
        <v xml:space="preserve"> m³</v>
      </c>
      <c r="J30" s="179"/>
      <c r="K30" s="143"/>
      <c r="L30" s="134"/>
    </row>
    <row r="31" spans="1:12" ht="12.75" customHeight="1" x14ac:dyDescent="0.2">
      <c r="A31" s="179"/>
      <c r="B31" s="415"/>
      <c r="C31" s="1166"/>
      <c r="D31" s="416" t="str">
        <f>"Zeitbedarf pro "&amp;IF(C30="Festmist","Fuhre","Fass")</f>
        <v>Zeitbedarf pro Fass</v>
      </c>
      <c r="E31" s="248"/>
      <c r="F31" s="182"/>
      <c r="G31" s="422"/>
      <c r="H31" s="423">
        <f>SUM(E35,E38,E41)</f>
        <v>57</v>
      </c>
      <c r="I31" s="449" t="s">
        <v>331</v>
      </c>
      <c r="J31" s="179"/>
      <c r="K31" s="143"/>
      <c r="L31" s="134"/>
    </row>
    <row r="32" spans="1:12" ht="15.6" customHeight="1" x14ac:dyDescent="0.2">
      <c r="A32" s="424"/>
      <c r="B32" s="288"/>
      <c r="C32" s="288"/>
      <c r="D32" s="276"/>
      <c r="E32" s="1167" t="str">
        <f>"Zeit/"&amp;IF(C30="Festmist","Fuhre","Fass")</f>
        <v>Zeit/Fass</v>
      </c>
      <c r="F32" s="1167"/>
      <c r="G32" s="425" t="str">
        <f>"Zeit/"&amp;IF(C30="Festmist",100&amp;" dt",10&amp;" m³")</f>
        <v>Zeit/10 m³</v>
      </c>
      <c r="H32" s="425" t="s">
        <v>60</v>
      </c>
      <c r="I32" s="425"/>
      <c r="J32" s="424"/>
      <c r="K32" s="131"/>
      <c r="L32" s="134"/>
    </row>
    <row r="33" spans="1:12" ht="9.9499999999999993" customHeight="1" x14ac:dyDescent="0.2">
      <c r="A33" s="179"/>
      <c r="B33" s="183"/>
      <c r="C33" s="183"/>
      <c r="D33" s="183" t="s">
        <v>346</v>
      </c>
      <c r="E33" s="183" t="s">
        <v>347</v>
      </c>
      <c r="F33" s="183" t="s">
        <v>334</v>
      </c>
      <c r="G33" s="349" t="s">
        <v>334</v>
      </c>
      <c r="H33" s="183" t="s">
        <v>335</v>
      </c>
      <c r="I33" s="183" t="s">
        <v>336</v>
      </c>
      <c r="J33" s="179"/>
      <c r="K33" s="131"/>
      <c r="L33" s="134"/>
    </row>
    <row r="34" spans="1:12" ht="12.75" customHeight="1" thickBot="1" x14ac:dyDescent="0.25">
      <c r="A34" s="179"/>
      <c r="B34" s="426" t="s">
        <v>337</v>
      </c>
      <c r="C34" s="426"/>
      <c r="D34" s="427"/>
      <c r="E34" s="754"/>
      <c r="F34" s="941"/>
      <c r="G34" s="941"/>
      <c r="H34" s="942"/>
      <c r="I34" s="943"/>
      <c r="J34" s="179"/>
      <c r="K34" s="131"/>
      <c r="L34" s="134"/>
    </row>
    <row r="35" spans="1:12" ht="12.75" customHeight="1" thickBot="1" x14ac:dyDescent="0.25">
      <c r="A35" s="179"/>
      <c r="B35" s="428">
        <v>1</v>
      </c>
      <c r="C35" s="184" t="str">
        <f>IF([1]WD.ILeist!$AB$134&lt;$B35,"",VLOOKUP("L1",Matrix2,4,0))</f>
        <v>Allradtraktor</v>
      </c>
      <c r="D35" s="395" t="str">
        <f>IF([1]WD.ILeist!$AB$134&lt;$B35,"",VLOOKUP("L1",Matrix2,6,0))</f>
        <v>65 KW</v>
      </c>
      <c r="E35" s="383">
        <f>IF([1]WD.ILeist!R69="","",[1]WD.ILeist!R69)</f>
        <v>6</v>
      </c>
      <c r="F35" s="849"/>
      <c r="G35" s="849"/>
      <c r="H35" s="751">
        <f>IF([1]WD.ILeist!$AB$134&lt;$B35,"",VLOOKUP("L1",Matrix2,7,0))</f>
        <v>10.675600000000001</v>
      </c>
      <c r="I35" s="372"/>
      <c r="J35" s="179"/>
      <c r="K35" s="131"/>
      <c r="L35" s="134"/>
    </row>
    <row r="36" spans="1:12" ht="12.75" customHeight="1" thickBot="1" x14ac:dyDescent="0.25">
      <c r="A36" s="179"/>
      <c r="B36" s="428">
        <v>2</v>
      </c>
      <c r="C36" s="184" t="str">
        <f>IF([1]WD.ILeist!$AB$134&lt;$B36,"",VLOOKUP("L2",Matrix2,4,0))</f>
        <v>Vakuumfass</v>
      </c>
      <c r="D36" s="395" t="str">
        <f>IF([1]WD.ILeist!$AB$134&lt;$B36,"",VLOOKUP("L2",Matrix2,6,0))</f>
        <v>4000 lt</v>
      </c>
      <c r="E36" s="754">
        <f>IF(C36="","",E35)</f>
        <v>6</v>
      </c>
      <c r="F36" s="849"/>
      <c r="G36" s="849"/>
      <c r="H36" s="751">
        <f>IF([1]WD.ILeist!$AB$134&lt;$B36,"",VLOOKUP("L2",Matrix2,7,0))</f>
        <v>1.32</v>
      </c>
      <c r="I36" s="372"/>
      <c r="J36" s="179"/>
      <c r="K36" s="131"/>
      <c r="L36" s="134"/>
    </row>
    <row r="37" spans="1:12" ht="12.75" customHeight="1" x14ac:dyDescent="0.2">
      <c r="A37" s="179"/>
      <c r="B37" s="426" t="s">
        <v>338</v>
      </c>
      <c r="C37" s="426"/>
      <c r="D37" s="430"/>
      <c r="E37" s="754"/>
      <c r="F37" s="941"/>
      <c r="G37" s="941"/>
      <c r="H37" s="942"/>
      <c r="I37" s="943"/>
      <c r="J37" s="179"/>
      <c r="K37" s="131"/>
      <c r="L37" s="134"/>
    </row>
    <row r="38" spans="1:12" ht="12.75" customHeight="1" x14ac:dyDescent="0.2">
      <c r="A38" s="179"/>
      <c r="B38" s="428">
        <v>1</v>
      </c>
      <c r="C38" s="184" t="str">
        <f>IF([1]WD.ILeist!$AB$142&lt;$B38,"",VLOOKUP("T1",Matrix2,4,0))</f>
        <v>Allradtraktor</v>
      </c>
      <c r="D38" s="395" t="str">
        <f>IF([1]WD.ILeist!$AB$142&lt;$B38,"",VLOOKUP("T1",Matrix2,6,0))</f>
        <v>65 KW</v>
      </c>
      <c r="E38" s="754">
        <f>IF([1]WD.ILeist!R71="","",[1]WD.ILeist!R71)</f>
        <v>36</v>
      </c>
      <c r="F38" s="191">
        <f>E38/60</f>
        <v>0.6</v>
      </c>
      <c r="G38" s="191">
        <f>F38/$H$30*10</f>
        <v>1.5</v>
      </c>
      <c r="H38" s="429">
        <f>IF([1]WD.ILeist!$AB$142&lt;$B38,"",VLOOKUP("T1",Matrix2,7,0))</f>
        <v>10.675600000000001</v>
      </c>
      <c r="I38" s="429">
        <f>G38*H38</f>
        <v>16.013400000000001</v>
      </c>
      <c r="J38" s="179"/>
      <c r="K38" s="131"/>
      <c r="L38" s="134"/>
    </row>
    <row r="39" spans="1:12" ht="12.75" customHeight="1" x14ac:dyDescent="0.2">
      <c r="A39" s="179"/>
      <c r="B39" s="428">
        <v>2</v>
      </c>
      <c r="C39" s="184" t="str">
        <f>IF([1]WD.ILeist!$AB$142&lt;$B39,"",VLOOKUP("T2",Matrix2,4,0))</f>
        <v>Vakuumfass</v>
      </c>
      <c r="D39" s="431" t="str">
        <f>IF([1]WD.ILeist!$AB$142&lt;$B39,"",VLOOKUP("T2",Matrix2,6,0))</f>
        <v>4000 lt</v>
      </c>
      <c r="E39" s="754">
        <f>IF(C39="","",E38)</f>
        <v>36</v>
      </c>
      <c r="F39" s="191">
        <f>E39/60</f>
        <v>0.6</v>
      </c>
      <c r="G39" s="191">
        <f>F39/$H$30*10</f>
        <v>1.5</v>
      </c>
      <c r="H39" s="429">
        <f>IF([1]WD.ILeist!$AB$142&lt;$B39,"",VLOOKUP("T2",Matrix2,7,0))</f>
        <v>1.32</v>
      </c>
      <c r="I39" s="429">
        <f>G39*H39</f>
        <v>1.98</v>
      </c>
      <c r="J39" s="179"/>
      <c r="K39" s="131"/>
      <c r="L39" s="134"/>
    </row>
    <row r="40" spans="1:12" ht="12.75" customHeight="1" x14ac:dyDescent="0.2">
      <c r="A40" s="179"/>
      <c r="B40" s="426" t="s">
        <v>339</v>
      </c>
      <c r="C40" s="426"/>
      <c r="D40" s="430"/>
      <c r="E40" s="754"/>
      <c r="F40" s="941"/>
      <c r="G40" s="941"/>
      <c r="H40" s="942"/>
      <c r="I40" s="943"/>
      <c r="J40" s="179"/>
      <c r="K40" s="131"/>
      <c r="L40" s="134"/>
    </row>
    <row r="41" spans="1:12" ht="12.75" customHeight="1" x14ac:dyDescent="0.2">
      <c r="A41" s="179"/>
      <c r="B41" s="428">
        <v>1</v>
      </c>
      <c r="C41" s="184" t="str">
        <f>IF([1]WD.ILeist!$AB$150&lt;$B41,"",VLOOKUP("A1",Matrix2,4,0))</f>
        <v>Allradtraktor</v>
      </c>
      <c r="D41" s="395" t="str">
        <f>IF([1]WD.ILeist!$AB$150&lt;$B41,"",VLOOKUP("A1",Matrix2,6,0))</f>
        <v>65 KW</v>
      </c>
      <c r="E41" s="754">
        <f>IF([1]WD.ILeist!R73="","",[1]WD.ILeist!R73)</f>
        <v>15</v>
      </c>
      <c r="F41" s="191">
        <f>E41/60</f>
        <v>0.25</v>
      </c>
      <c r="G41" s="191">
        <f>F41/$H$30*10</f>
        <v>0.625</v>
      </c>
      <c r="H41" s="429">
        <f>IF([1]WD.ILeist!$AB$150&lt;$B41,"",VLOOKUP("A1",Matrix2,7,0))</f>
        <v>10.675600000000001</v>
      </c>
      <c r="I41" s="429">
        <f>G41*H41</f>
        <v>6.6722500000000009</v>
      </c>
      <c r="J41" s="179"/>
      <c r="K41" s="131"/>
      <c r="L41" s="134"/>
    </row>
    <row r="42" spans="1:12" ht="12.75" customHeight="1" thickBot="1" x14ac:dyDescent="0.25">
      <c r="A42" s="179"/>
      <c r="B42" s="428">
        <v>2</v>
      </c>
      <c r="C42" s="184" t="str">
        <f>IF([1]WD.ILeist!$AB$150&lt;$B42,"",VLOOKUP("A2",Matrix2,4,0))</f>
        <v>Vakuumfass</v>
      </c>
      <c r="D42" s="431" t="str">
        <f>IF([1]WD.ILeist!$AB$150&lt;$B42,"",VLOOKUP("A2",Matrix2,6,0))</f>
        <v>4000 lt</v>
      </c>
      <c r="E42" s="754">
        <f>IF(C42="","",E41)</f>
        <v>15</v>
      </c>
      <c r="F42" s="191">
        <f>E42/60</f>
        <v>0.25</v>
      </c>
      <c r="G42" s="191">
        <f>F42/$H$30*10</f>
        <v>0.625</v>
      </c>
      <c r="H42" s="429">
        <f>IF([1]WD.ILeist!$AB$150&lt;$B42,"",VLOOKUP("A2",Matrix2,7,0))</f>
        <v>1.32</v>
      </c>
      <c r="I42" s="751">
        <f>G42*H42</f>
        <v>0.82500000000000007</v>
      </c>
      <c r="J42" s="179"/>
      <c r="K42" s="131"/>
      <c r="L42" s="134"/>
    </row>
    <row r="43" spans="1:12" ht="12.75" customHeight="1" thickBot="1" x14ac:dyDescent="0.25">
      <c r="A43" s="179"/>
      <c r="B43" s="200" t="str">
        <f>"Summe variable Maschinenkosten - "&amp;WD.1Dgl!C30</f>
        <v>Summe variable Maschinenkosten - Jauche</v>
      </c>
      <c r="C43" s="200"/>
      <c r="D43" s="200"/>
      <c r="E43" s="200"/>
      <c r="F43" s="200"/>
      <c r="G43" s="432"/>
      <c r="H43" s="433"/>
      <c r="I43" s="434"/>
      <c r="J43" s="179"/>
      <c r="K43" s="131"/>
      <c r="L43" s="134"/>
    </row>
    <row r="44" spans="1:12" ht="12.75" customHeight="1" thickBot="1" x14ac:dyDescent="0.25">
      <c r="A44" s="179"/>
      <c r="B44" s="197" t="s">
        <v>340</v>
      </c>
      <c r="C44" s="197"/>
      <c r="D44" s="184"/>
      <c r="E44" s="184"/>
      <c r="F44" s="184"/>
      <c r="G44" s="435"/>
      <c r="H44" s="352">
        <f>IF([1]WD.ILeist!D24="","",[1]WD.ILeist!D24)</f>
        <v>0.2</v>
      </c>
      <c r="I44" s="850"/>
      <c r="J44" s="179"/>
      <c r="K44" s="131"/>
      <c r="L44" s="134"/>
    </row>
    <row r="45" spans="1:12" ht="12.75" customHeight="1" thickBot="1" x14ac:dyDescent="0.25">
      <c r="A45" s="179"/>
      <c r="B45" s="184"/>
      <c r="C45" s="184"/>
      <c r="D45" s="184"/>
      <c r="E45" s="184"/>
      <c r="F45" s="184"/>
      <c r="G45" s="400" t="s">
        <v>341</v>
      </c>
      <c r="H45" s="352">
        <f>IF([1]WD.ILeist!S75="","",[1]WD.ILeist!S75)</f>
        <v>7.0000000000000007E-2</v>
      </c>
      <c r="I45" s="850"/>
      <c r="J45" s="179"/>
      <c r="K45" s="131"/>
      <c r="L45" s="134"/>
    </row>
    <row r="46" spans="1:12" ht="12.75" customHeight="1" thickBot="1" x14ac:dyDescent="0.25">
      <c r="A46" s="179"/>
      <c r="B46" s="436" t="str">
        <f>"GESAMTE MASCHINENKOSTEN je "&amp;IF(C30="Festmist",100&amp;" dt",10&amp;" m³")</f>
        <v>GESAMTE MASCHINENKOSTEN je 10 m³</v>
      </c>
      <c r="C46" s="437"/>
      <c r="D46" s="437"/>
      <c r="E46" s="437"/>
      <c r="F46" s="437"/>
      <c r="G46" s="437"/>
      <c r="H46" s="437"/>
      <c r="I46" s="438"/>
      <c r="J46" s="179"/>
      <c r="K46" s="131"/>
      <c r="L46" s="134"/>
    </row>
    <row r="47" spans="1:12" ht="6" customHeight="1" x14ac:dyDescent="0.2">
      <c r="A47" s="179"/>
      <c r="B47" s="179"/>
      <c r="C47" s="179"/>
      <c r="D47" s="179"/>
      <c r="E47" s="179"/>
      <c r="F47" s="179"/>
      <c r="G47" s="179"/>
      <c r="H47" s="179"/>
      <c r="I47" s="439"/>
      <c r="J47" s="179"/>
      <c r="K47" s="131"/>
      <c r="L47" s="134"/>
    </row>
    <row r="48" spans="1:12" ht="12.75" customHeight="1" thickBot="1" x14ac:dyDescent="0.25">
      <c r="A48" s="179"/>
      <c r="B48" s="440" t="s">
        <v>342</v>
      </c>
      <c r="C48" s="440"/>
      <c r="D48" s="440"/>
      <c r="E48" s="440"/>
      <c r="F48" s="440"/>
      <c r="G48" s="1168" t="s">
        <v>343</v>
      </c>
      <c r="H48" s="1168"/>
      <c r="I48" s="183" t="s">
        <v>344</v>
      </c>
      <c r="J48" s="179"/>
      <c r="K48" s="131"/>
      <c r="L48" s="753"/>
    </row>
    <row r="49" spans="1:12" ht="12.75" customHeight="1" thickBot="1" x14ac:dyDescent="0.25">
      <c r="A49" s="179"/>
      <c r="B49" s="441">
        <f>IF([1]WD.ILeist!S77="","",[1]WD.ILeist!S77)</f>
        <v>14</v>
      </c>
      <c r="C49" s="442" t="str">
        <f>IF([1]WD.ILeist!F77="","",[1]WD.ILeist!I77)</f>
        <v>m³</v>
      </c>
      <c r="D49" s="443" t="str">
        <f>IF([1]WD.ILeist!D52="Festmist",[1]WD.ILeist!D18&amp;" kg Stickstoff/t",[1]WD.ILeist!D18&amp;" kg Stickstoff/m³")</f>
        <v>3,5 kg Stickstoff/m³</v>
      </c>
      <c r="E49" s="1169">
        <f>IF([1]WD.ILeist!D52="Festmist",[1]WD.ILeist!D18*[1]WD.ILeist!F77/10,[1]WD.ILeist!D18*[1]WD.ILeist!F77)</f>
        <v>56</v>
      </c>
      <c r="F49" s="1170"/>
      <c r="G49" s="1171" t="str">
        <f>IF(OR(H44="",I49=""),"noch leer",(I49*100%)/(100%+H44))</f>
        <v>noch leer</v>
      </c>
      <c r="H49" s="1172"/>
      <c r="I49" s="851"/>
      <c r="J49" s="179"/>
      <c r="K49" s="131"/>
      <c r="L49" s="753"/>
    </row>
    <row r="50" spans="1:12" ht="6" customHeight="1" x14ac:dyDescent="0.2">
      <c r="A50" s="179"/>
      <c r="B50" s="179"/>
      <c r="C50" s="179"/>
      <c r="D50" s="179"/>
      <c r="E50" s="179"/>
      <c r="F50" s="179"/>
      <c r="G50" s="179"/>
      <c r="H50" s="179"/>
      <c r="I50" s="179"/>
      <c r="J50" s="179"/>
      <c r="K50" s="131"/>
      <c r="L50" s="753"/>
    </row>
    <row r="51" spans="1:12" ht="12.75" customHeight="1" thickBot="1" x14ac:dyDescent="0.25">
      <c r="A51" s="179"/>
      <c r="B51" s="444" t="str">
        <f>"Arbeitszeitbedarf - "&amp;C30</f>
        <v>Arbeitszeitbedarf - Jauche</v>
      </c>
      <c r="C51" s="444"/>
      <c r="D51" s="248"/>
      <c r="E51" s="445"/>
      <c r="F51" s="445"/>
      <c r="G51" s="445"/>
      <c r="H51" s="445"/>
      <c r="I51" s="179"/>
      <c r="J51" s="179"/>
      <c r="K51" s="131"/>
      <c r="L51" s="753"/>
    </row>
    <row r="52" spans="1:12" ht="12.75" customHeight="1" thickBot="1" x14ac:dyDescent="0.25">
      <c r="A52" s="179"/>
      <c r="B52" s="446" t="s">
        <v>345</v>
      </c>
      <c r="C52" s="446"/>
      <c r="D52" s="446"/>
      <c r="E52" s="446"/>
      <c r="F52" s="446"/>
      <c r="G52" s="852"/>
      <c r="H52" s="3" t="s">
        <v>529</v>
      </c>
      <c r="I52" s="179"/>
      <c r="J52" s="179"/>
      <c r="K52" s="131"/>
      <c r="L52" s="753"/>
    </row>
    <row r="53" spans="1:12" ht="12.75" customHeight="1" x14ac:dyDescent="0.2">
      <c r="A53" s="179"/>
      <c r="B53" s="179"/>
      <c r="C53" s="179"/>
      <c r="D53" s="179"/>
      <c r="E53" s="179"/>
      <c r="F53" s="179"/>
      <c r="G53" s="439"/>
      <c r="H53" s="179"/>
      <c r="I53" s="179"/>
      <c r="J53" s="179"/>
      <c r="K53" s="131"/>
      <c r="L53" s="753"/>
    </row>
    <row r="54" spans="1:12" ht="12.75" customHeight="1" x14ac:dyDescent="0.2">
      <c r="A54" s="179"/>
      <c r="B54" s="194" t="str">
        <f>"Gesamtbedarf pro Jahr bei "&amp;B2</f>
        <v>Gesamtbedarf pro Jahr bei Dauergrünland 3-schnittig</v>
      </c>
      <c r="C54" s="194"/>
      <c r="D54" s="194"/>
      <c r="E54" s="194"/>
      <c r="F54" s="194"/>
      <c r="G54" s="350"/>
      <c r="H54" s="248"/>
      <c r="I54" s="450" t="s">
        <v>348</v>
      </c>
      <c r="J54" s="179"/>
      <c r="K54" s="131"/>
      <c r="L54" s="753"/>
    </row>
    <row r="55" spans="1:12" ht="12.75" customHeight="1" x14ac:dyDescent="0.2">
      <c r="A55" s="179"/>
      <c r="B55" s="451" t="s">
        <v>349</v>
      </c>
      <c r="C55" s="451"/>
      <c r="D55" s="451"/>
      <c r="E55" s="451"/>
      <c r="F55" s="451"/>
      <c r="G55" s="452">
        <f>IF([1]WD.ILeist!D20="","",[1]WD.ILeist!D20)</f>
        <v>7.24</v>
      </c>
      <c r="H55" s="3" t="s">
        <v>350</v>
      </c>
      <c r="I55" s="1173" t="str">
        <f>IF(G56&gt;=[1]WD.ILeist!D14,"Achtung: Zu hohe
N-Gaben für das ÖPUL (ab 15.12.2005)","-")</f>
        <v>-</v>
      </c>
      <c r="J55" s="179"/>
      <c r="K55" s="131"/>
      <c r="L55" s="753"/>
    </row>
    <row r="56" spans="1:12" ht="12.75" customHeight="1" thickBot="1" x14ac:dyDescent="0.25">
      <c r="A56" s="179"/>
      <c r="B56" s="451" t="s">
        <v>351</v>
      </c>
      <c r="C56" s="451"/>
      <c r="D56" s="451"/>
      <c r="E56" s="451"/>
      <c r="F56" s="451"/>
      <c r="G56" s="756">
        <f>SUM(E24,E49)</f>
        <v>122.5</v>
      </c>
      <c r="H56" s="3" t="s">
        <v>352</v>
      </c>
      <c r="I56" s="1174"/>
      <c r="J56" s="179"/>
      <c r="K56" s="131"/>
      <c r="L56" s="753"/>
    </row>
    <row r="57" spans="1:12" ht="12.75" customHeight="1" thickBot="1" x14ac:dyDescent="0.25">
      <c r="A57" s="179"/>
      <c r="B57" s="451" t="str">
        <f>"Bedarf an: "&amp;C5</f>
        <v>Bedarf an: Festmist</v>
      </c>
      <c r="C57" s="451"/>
      <c r="D57" s="451"/>
      <c r="E57" s="451"/>
      <c r="F57" s="451"/>
      <c r="G57" s="853"/>
      <c r="H57" s="3" t="str">
        <f>IF(C5="Festmist"," dt/Jahr"," m³/Jahr")</f>
        <v xml:space="preserve"> dt/Jahr</v>
      </c>
      <c r="I57" s="1174"/>
      <c r="J57" s="179"/>
      <c r="K57" s="131"/>
      <c r="L57" s="134"/>
    </row>
    <row r="58" spans="1:12" ht="12.75" customHeight="1" thickBot="1" x14ac:dyDescent="0.25">
      <c r="A58" s="179"/>
      <c r="B58" s="451" t="str">
        <f>"                   "&amp;C30</f>
        <v xml:space="preserve">                   Jauche</v>
      </c>
      <c r="C58" s="451"/>
      <c r="D58" s="451"/>
      <c r="E58" s="451"/>
      <c r="F58" s="451"/>
      <c r="G58" s="853"/>
      <c r="H58" s="3" t="str">
        <f>IF(C30="Festmist"," dt/Jahr"," m³/Jahr")</f>
        <v xml:space="preserve"> m³/Jahr</v>
      </c>
      <c r="I58" s="1174"/>
      <c r="J58" s="179"/>
      <c r="K58" s="131"/>
      <c r="L58" s="134"/>
    </row>
    <row r="59" spans="1:12" ht="12.75" customHeight="1" thickBot="1" x14ac:dyDescent="0.25">
      <c r="A59" s="179"/>
      <c r="B59" s="451" t="str">
        <f>"Arbeitszeitbedarf - gesamt ("&amp;C5&amp;" und "&amp;C30&amp;")"</f>
        <v>Arbeitszeitbedarf - gesamt (Festmist und Jauche)</v>
      </c>
      <c r="C59" s="451"/>
      <c r="D59" s="451"/>
      <c r="E59" s="451"/>
      <c r="F59" s="451"/>
      <c r="G59" s="854"/>
      <c r="H59" s="3" t="s">
        <v>529</v>
      </c>
      <c r="I59" s="1175"/>
      <c r="J59" s="179"/>
      <c r="K59" s="131"/>
      <c r="L59" s="134"/>
    </row>
    <row r="60" spans="1:12" ht="12.75" customHeight="1" x14ac:dyDescent="0.2">
      <c r="A60" s="179"/>
      <c r="B60" s="179"/>
      <c r="C60" s="179"/>
      <c r="D60" s="179"/>
      <c r="E60" s="179"/>
      <c r="F60" s="179"/>
      <c r="G60" s="179"/>
      <c r="H60" s="179"/>
      <c r="I60" s="179"/>
      <c r="J60" s="179"/>
      <c r="K60" s="131"/>
      <c r="L60" s="134"/>
    </row>
    <row r="61" spans="1:12" hidden="1" x14ac:dyDescent="0.2">
      <c r="K61" s="18"/>
      <c r="L61" s="220"/>
    </row>
    <row r="62" spans="1:12" hidden="1" x14ac:dyDescent="0.2">
      <c r="K62" s="18"/>
      <c r="L62" s="220"/>
    </row>
    <row r="63" spans="1:12" hidden="1" x14ac:dyDescent="0.2">
      <c r="K63" s="18"/>
    </row>
    <row r="64" spans="1:12" hidden="1" x14ac:dyDescent="0.2">
      <c r="K64" s="18"/>
    </row>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sheetData>
  <sheetProtection algorithmName="SHA-512" hashValue="gFQHxcoK+x3bj8r1r8HGUtIH5XJ5t9IpvtliPxjPsNBbmTgcTmt9X9UZYvfBr1hE1MtB/3BR0exAlj9ZKZ0wrg==" saltValue="Lvri0jkkb6297r7C7VRUww==" spinCount="100000" sheet="1" objects="1" scenarios="1"/>
  <mergeCells count="13">
    <mergeCell ref="L1:L3"/>
    <mergeCell ref="G48:H48"/>
    <mergeCell ref="E49:F49"/>
    <mergeCell ref="G49:H49"/>
    <mergeCell ref="I55:I59"/>
    <mergeCell ref="E24:F24"/>
    <mergeCell ref="G24:H24"/>
    <mergeCell ref="G23:H23"/>
    <mergeCell ref="C30:C31"/>
    <mergeCell ref="E32:F32"/>
    <mergeCell ref="A1:A2"/>
    <mergeCell ref="C5:C6"/>
    <mergeCell ref="E7:F7"/>
  </mergeCells>
  <phoneticPr fontId="4" type="noConversion"/>
  <conditionalFormatting sqref="H5 H30">
    <cfRule type="expression" dxfId="54" priority="1" stopIfTrue="1">
      <formula>F5=""</formula>
    </cfRule>
    <cfRule type="expression" dxfId="53" priority="2" stopIfTrue="1">
      <formula>G5&lt;&gt;" kg"</formula>
    </cfRule>
  </conditionalFormatting>
  <conditionalFormatting sqref="E10:I11 E35:I36 E41:I42 E38:I39 E16:I17 E13:I14">
    <cfRule type="expression" dxfId="52" priority="3" stopIfTrue="1">
      <formula>OR($C10="",$D10="")</formula>
    </cfRule>
  </conditionalFormatting>
  <conditionalFormatting sqref="H6 H31 H44:H45 H19:H20">
    <cfRule type="cellIs" dxfId="51" priority="4" stopIfTrue="1" operator="equal">
      <formula>""</formula>
    </cfRule>
  </conditionalFormatting>
  <conditionalFormatting sqref="C5 C30">
    <cfRule type="cellIs" dxfId="50" priority="5" stopIfTrue="1" operator="equal">
      <formula>""</formula>
    </cfRule>
  </conditionalFormatting>
  <conditionalFormatting sqref="G24:H24 G49:H49">
    <cfRule type="cellIs" dxfId="49" priority="6" stopIfTrue="1" operator="equal">
      <formula>"noch leer"</formula>
    </cfRule>
  </conditionalFormatting>
  <conditionalFormatting sqref="I55:I59">
    <cfRule type="cellIs" dxfId="48" priority="7" stopIfTrue="1" operator="equal">
      <formula>"-"</formula>
    </cfRule>
  </conditionalFormatting>
  <conditionalFormatting sqref="G5 G30">
    <cfRule type="cellIs" dxfId="47" priority="8" stopIfTrue="1" operator="notEqual">
      <formula>" t"</formula>
    </cfRule>
  </conditionalFormatting>
  <conditionalFormatting sqref="F5 F30">
    <cfRule type="cellIs" dxfId="46" priority="9" stopIfTrue="1" operator="equal">
      <formula>""</formula>
    </cfRule>
    <cfRule type="expression" dxfId="45" priority="10" stopIfTrue="1">
      <formula>G5&lt;&gt;" t"</formula>
    </cfRule>
  </conditionalFormatting>
  <printOptions horizontalCentered="1"/>
  <pageMargins left="0.39370078740157483" right="0.39370078740157483" top="0.59055118110236227" bottom="0.39370078740157483" header="0" footer="0"/>
  <pageSetup paperSize="9" orientation="portrait" blackAndWhite="1" horizontalDpi="4294967295" r:id="rId1"/>
  <headerFooter alignWithMargins="0">
    <oddHeader>&amp;R&amp;8&amp;U&amp;F - Seite &amp;P/&amp;N</oddHead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37</vt:i4>
      </vt:variant>
    </vt:vector>
  </HeadingPairs>
  <TitlesOfParts>
    <vt:vector size="53" baseType="lpstr">
      <vt:lpstr>Korrektur</vt:lpstr>
      <vt:lpstr>ErgInt</vt:lpstr>
      <vt:lpstr>Fin</vt:lpstr>
      <vt:lpstr>Plan</vt:lpstr>
      <vt:lpstr>Ist</vt:lpstr>
      <vt:lpstr>Milch</vt:lpstr>
      <vt:lpstr>MuKu</vt:lpstr>
      <vt:lpstr>1xDgl</vt:lpstr>
      <vt:lpstr>WD.1Dgl</vt:lpstr>
      <vt:lpstr>Jog</vt:lpstr>
      <vt:lpstr>FK</vt:lpstr>
      <vt:lpstr>UV</vt:lpstr>
      <vt:lpstr>AV</vt:lpstr>
      <vt:lpstr>MKK1</vt:lpstr>
      <vt:lpstr>MKK2</vt:lpstr>
      <vt:lpstr>2NGeb</vt:lpstr>
      <vt:lpstr>ErgInt!Ankreuzen</vt:lpstr>
      <vt:lpstr>ErgInt!Arbeitskräfte</vt:lpstr>
      <vt:lpstr>Ausnahmen</vt:lpstr>
      <vt:lpstr>Begünstigte</vt:lpstr>
      <vt:lpstr>'1xDgl'!Druckbereich</vt:lpstr>
      <vt:lpstr>'2NGeb'!Druckbereich</vt:lpstr>
      <vt:lpstr>AV!Druckbereich</vt:lpstr>
      <vt:lpstr>ErgInt!Druckbereich</vt:lpstr>
      <vt:lpstr>Fin!Druckbereich</vt:lpstr>
      <vt:lpstr>FK!Druckbereich</vt:lpstr>
      <vt:lpstr>Ist!Druckbereich</vt:lpstr>
      <vt:lpstr>Jog!Druckbereich</vt:lpstr>
      <vt:lpstr>Korrektur!Druckbereich</vt:lpstr>
      <vt:lpstr>Milch!Druckbereich</vt:lpstr>
      <vt:lpstr>'MKK1'!Druckbereich</vt:lpstr>
      <vt:lpstr>'MKK2'!Druckbereich</vt:lpstr>
      <vt:lpstr>MuKu!Druckbereich</vt:lpstr>
      <vt:lpstr>Plan!Druckbereich</vt:lpstr>
      <vt:lpstr>UV!Druckbereich</vt:lpstr>
      <vt:lpstr>WD.1Dgl!Druckbereich</vt:lpstr>
      <vt:lpstr>Korrektur!Drucktitel</vt:lpstr>
      <vt:lpstr>Milch!Drucktitel</vt:lpstr>
      <vt:lpstr>Eigentümer</vt:lpstr>
      <vt:lpstr>ErgInt!Energiebilanz</vt:lpstr>
      <vt:lpstr>ErgInt!Finanzierbarkeit</vt:lpstr>
      <vt:lpstr>ErgInt!FolgerungenArbeitskräfte</vt:lpstr>
      <vt:lpstr>ErgInt!FolgerungenEnergiebilanz</vt:lpstr>
      <vt:lpstr>ErgInt!FolgerungenFinanzierbarkeit</vt:lpstr>
      <vt:lpstr>ErgInt!FolgerungenKD_KDG</vt:lpstr>
      <vt:lpstr>ErgInt!FolgerungenWirtschaftlichkeit</vt:lpstr>
      <vt:lpstr>ErgInt!FolgerungLHK_GEK</vt:lpstr>
      <vt:lpstr>KDGvsKD</vt:lpstr>
      <vt:lpstr>Pflichten</vt:lpstr>
      <vt:lpstr>Rechte</vt:lpstr>
      <vt:lpstr>ErgInt!VglKD_KDG</vt:lpstr>
      <vt:lpstr>ErgInt!VglLHK_GEK</vt:lpstr>
      <vt:lpstr>ErgInt!Wirtschaftlichkeit</vt:lpstr>
    </vt:vector>
  </TitlesOfParts>
  <Company>e&amp;wh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Wolfgang Harasleben</dc:creator>
  <cp:lastModifiedBy>wharasleben</cp:lastModifiedBy>
  <cp:lastPrinted>2008-05-02T12:20:14Z</cp:lastPrinted>
  <dcterms:created xsi:type="dcterms:W3CDTF">2007-02-22T21:16:57Z</dcterms:created>
  <dcterms:modified xsi:type="dcterms:W3CDTF">2019-03-18T11:39:44Z</dcterms:modified>
</cp:coreProperties>
</file>